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3.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backupFile="1" codeName="ThisWorkbook" defaultThemeVersion="124226"/>
  <mc:AlternateContent xmlns:mc="http://schemas.openxmlformats.org/markup-compatibility/2006">
    <mc:Choice Requires="x15">
      <x15ac:absPath xmlns:x15ac="http://schemas.microsoft.com/office/spreadsheetml/2010/11/ac" url="E:\Programming &amp; Trans Bills\Projects &amp; Facilites\Caldwell IC\Website\"/>
    </mc:Choice>
  </mc:AlternateContent>
  <xr:revisionPtr revIDLastSave="0" documentId="8_{4601765D-19FE-4227-BAA3-2153007BC03C}" xr6:coauthVersionLast="47" xr6:coauthVersionMax="47" xr10:uidLastSave="{00000000-0000-0000-0000-000000000000}"/>
  <bookViews>
    <workbookView xWindow="28680" yWindow="285" windowWidth="25440" windowHeight="15390" tabRatio="864" firstSheet="1" activeTab="1" xr2:uid="{00000000-000D-0000-FFFF-FFFF00000000}"/>
  </bookViews>
  <sheets>
    <sheet name="Title" sheetId="13" r:id="rId1"/>
    <sheet name="Instructions" sheetId="14" r:id="rId2"/>
    <sheet name="1) Project Information" sheetId="4" r:id="rId3"/>
    <sheet name="2) Model Inputs" sheetId="5" r:id="rId4"/>
    <sheet name="3) Results" sheetId="6" r:id="rId5"/>
    <sheet name="Travel Time" sheetId="7" r:id="rId6"/>
    <sheet name="Consumer Surplus" sheetId="18" r:id="rId7"/>
    <sheet name="Reliability" sheetId="19" r:id="rId8"/>
    <sheet name="Vehicle Operating Costs" sheetId="8" r:id="rId9"/>
    <sheet name="Accident Costs" sheetId="16" r:id="rId10"/>
    <sheet name="Emissions" sheetId="9" r:id="rId11"/>
    <sheet name="Final Calculations" sheetId="10" r:id="rId12"/>
    <sheet name="Model Group Inputs" sheetId="24" r:id="rId13"/>
    <sheet name="PARAMETERS" sheetId="22" r:id="rId14"/>
  </sheet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2</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2</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"Scenario 1"</definedName>
    <definedName name="_AtRisk_SimSetting_SimName002" hidden="1">"Scenario 2"</definedName>
    <definedName name="_AtRisk_SimSetting_SimName003" hidden="1">"Scenario 3"</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lock_Accident">'Accident Costs'!$A$24:$S$55</definedName>
    <definedName name="_Block_AccidentColumn">'Accident Costs'!$V$26:$V$153</definedName>
    <definedName name="_Block_CD1">'Final Calculations'!$AC$34:$AG$53</definedName>
    <definedName name="_Block_CD2">'Final Calculations'!$AH$34:$AL$53</definedName>
    <definedName name="_Block_CD3">'Final Calculations'!$AM$34:$AQ$53</definedName>
    <definedName name="_Block_CD4">'Final Calculations'!$AR$34:$AV$53</definedName>
    <definedName name="_Block_Emissions">Emissions!$A$18:$BK$49</definedName>
    <definedName name="_Block_EmissionsColumn">Emissions!$BO$20:$BO$487</definedName>
    <definedName name="_Block_PV1">'Final Calculations'!$C$34:$F$66</definedName>
    <definedName name="_Block_PV2">'Final Calculations'!$G$34:$J$66</definedName>
    <definedName name="_Block_PV3">'Final Calculations'!$K$34:$N$66</definedName>
    <definedName name="_Block_PV4">'Final Calculations'!$O$34:$R$66</definedName>
    <definedName name="_Block_Reliability">Reliability!$A$20:$AB$51</definedName>
    <definedName name="_Block_ReliabilityColumn">Reliability!$AE$22:$AE$79</definedName>
    <definedName name="_Block_TravelTime">'Travel Time'!$A$18:$T$49</definedName>
    <definedName name="_Block_TravelTimeColumn">'Travel Time'!$W$20:$W$81</definedName>
    <definedName name="_Block_VOC">'Vehicle Operating Costs'!$A$18:$T$49</definedName>
    <definedName name="_Block_VOCColumn">'Vehicle Operating Costs'!$X$20:$X$138</definedName>
    <definedName name="_CS">'Consumer Surplus'!$AE$15:$AM$45</definedName>
    <definedName name="_Fill" localSheetId="9" hidden="1">#REF!</definedName>
    <definedName name="_Fill" localSheetId="12" hidden="1">#REF!</definedName>
    <definedName name="_Fill" hidden="1">#REF!</definedName>
    <definedName name="_Order1" hidden="1">255</definedName>
    <definedName name="_Order2" hidden="1">255</definedName>
    <definedName name="_ReliabilitySegments">'1) Project Information'!$N$13</definedName>
    <definedName name="_SafetySegments">'1) Project Information'!$N$12</definedName>
    <definedName name="_Segments">'1) Project Information'!$N$11</definedName>
    <definedName name="_Years">'1) Project Information'!$N$14</definedName>
    <definedName name="_YearsModel">'1) Project Information'!$P$14</definedName>
    <definedName name="Accidents">'3) Results'!$H$35</definedName>
    <definedName name="AlphaSTD">PARAMETERS!$EL$12</definedName>
    <definedName name="AlphaTTI">PARAMETERS!$EJ$12</definedName>
    <definedName name="AM">PARAMETERS!$AA$38</definedName>
    <definedName name="AnnSickDays">PARAMETERS!$U$57</definedName>
    <definedName name="AnnualFactor">PARAMETERS!$M$24</definedName>
    <definedName name="ASM">PARAMETERS!$AA$41</definedName>
    <definedName name="AuxLane">PARAMETERS!$AA$27</definedName>
    <definedName name="AvgAccCost">PARAMETERS!$E$74</definedName>
    <definedName name="AvgAccCostA">PARAMETERS!$BC$67</definedName>
    <definedName name="AvgAccCostR">PARAMETERS!$BB$67</definedName>
    <definedName name="AvgAccCostS">PARAMETERS!$BA$67</definedName>
    <definedName name="AvgAccCostU">PARAMETERS!$AZ$67</definedName>
    <definedName name="AVL">PARAMETERS!$AA$42</definedName>
    <definedName name="AVLCapSaving">PARAMETERS!$EA$37</definedName>
    <definedName name="AvlOMsaving">PARAMETERS!$EB$37</definedName>
    <definedName name="AVLTTsaving">PARAMETERS!$DZ$37</definedName>
    <definedName name="BetaSTD">PARAMETERS!$EM$12</definedName>
    <definedName name="BetaTTI">PARAMETERS!$EK$12</definedName>
    <definedName name="BIG" localSheetId="12" hidden="1">{#N/A,#N/A,FALSE,"Pricing";#N/A,#N/A,FALSE,"Summary";#N/A,#N/A,FALSE,"CompProd";#N/A,#N/A,FALSE,"CompJobhrs";#N/A,#N/A,FALSE,"Escalation";#N/A,#N/A,FALSE,"Contingency";#N/A,#N/A,FALSE,"GM";#N/A,#N/A,FALSE,"CompWage";#N/A,#N/A,FALSE,"costSum"}</definedName>
    <definedName name="BIG" localSheetId="13" hidden="1">{#N/A,#N/A,FALSE,"Pricing";#N/A,#N/A,FALSE,"Summary";#N/A,#N/A,FALSE,"CompProd";#N/A,#N/A,FALSE,"CompJobhrs";#N/A,#N/A,FALSE,"Escalation";#N/A,#N/A,FALSE,"Contingency";#N/A,#N/A,FALSE,"GM";#N/A,#N/A,FALSE,"CompWage";#N/A,#N/A,FALSE,"costSum"}</definedName>
    <definedName name="BIG" hidden="1">{#N/A,#N/A,FALSE,"Pricing";#N/A,#N/A,FALSE,"Summary";#N/A,#N/A,FALSE,"CompProd";#N/A,#N/A,FALSE,"CompJobhrs";#N/A,#N/A,FALSE,"Escalation";#N/A,#N/A,FALSE,"Contingency";#N/A,#N/A,FALSE,"GM";#N/A,#N/A,FALSE,"CompWage";#N/A,#N/A,FALSE,"costSum"}</definedName>
    <definedName name="BRT">PARAMETERS!$AA$44</definedName>
    <definedName name="BrtTTsaving">PARAMETERS!$DZ$39</definedName>
    <definedName name="Bus">PARAMETERS!$AA$23</definedName>
    <definedName name="BusAccCost">PARAMETERS!$BJ$39</definedName>
    <definedName name="Bypass">PARAMETERS!$AA$16</definedName>
    <definedName name="CHUCK" localSheetId="12" hidden="1">{#N/A,#N/A,FALSE,"Pricing";#N/A,#N/A,FALSE,"Summary";#N/A,#N/A,FALSE,"CompProd";#N/A,#N/A,FALSE,"CompJobhrs";#N/A,#N/A,FALSE,"Escalation";#N/A,#N/A,FALSE,"Contingency";#N/A,#N/A,FALSE,"GM";#N/A,#N/A,FALSE,"CompWage";#N/A,#N/A,FALSE,"costSum"}</definedName>
    <definedName name="CHUCK" localSheetId="13" hidden="1">{#N/A,#N/A,FALSE,"Pricing";#N/A,#N/A,FALSE,"Summary";#N/A,#N/A,FALSE,"CompProd";#N/A,#N/A,FALSE,"CompJobhrs";#N/A,#N/A,FALSE,"Escalation";#N/A,#N/A,FALSE,"Contingency";#N/A,#N/A,FALSE,"GM";#N/A,#N/A,FALSE,"CompWage";#N/A,#N/A,FALSE,"costSum"}</definedName>
    <definedName name="CHUCK" hidden="1">{#N/A,#N/A,FALSE,"Pricing";#N/A,#N/A,FALSE,"Summary";#N/A,#N/A,FALSE,"CompProd";#N/A,#N/A,FALSE,"CompJobhrs";#N/A,#N/A,FALSE,"Escalation";#N/A,#N/A,FALSE,"Contingency";#N/A,#N/A,FALSE,"GM";#N/A,#N/A,FALSE,"CompWage";#N/A,#N/A,FALSE,"costSum"}</definedName>
    <definedName name="CLASS1MRS">PARAMETERS!$U$41</definedName>
    <definedName name="CLASS2MRS">PARAMETERS!$U$42</definedName>
    <definedName name="CLASS3MRS">PARAMETERS!$U$43</definedName>
    <definedName name="CLASS4MRS">PARAMETERS!$U$44</definedName>
    <definedName name="ClearCont1">'2) Model Inputs'!$BN$40:$BO$40,'2) Model Inputs'!$BR$40:$BS$40</definedName>
    <definedName name="ClearCont2">'2) Model Inputs'!$BN$51:$BO$51,'2) Model Inputs'!$BR$51:$BS$51</definedName>
    <definedName name="ClearCont3">'2) Model Inputs'!$BZ$40:$CC$40,'2) Model Inputs'!$CF$40:$CG$40</definedName>
    <definedName name="ClearCont4">'2) Model Inputs'!$BZ$51:$CC$51,'2) Model Inputs'!$CF$51:$CG$51</definedName>
    <definedName name="CO2Uprater">PARAMETERS!$CR$16</definedName>
    <definedName name="CycDistPerTrip">PARAMETERS!$AJ$60:$AL$61</definedName>
    <definedName name="CycleDays">PARAMETERS!$U$20</definedName>
    <definedName name="CycSpeed">PARAMETERS!$U$29</definedName>
    <definedName name="CycTripPurpose">PARAMETERS!$AJ$71:$AL$73</definedName>
    <definedName name="DepRateConv">PARAMETERS!$O$30</definedName>
    <definedName name="DepRateExp">PARAMETERS!$O$29</definedName>
    <definedName name="DepRateFwy">PARAMETERS!$O$28</definedName>
    <definedName name="DiscRate">PARAMETERS!$F$12</definedName>
    <definedName name="DivCycAutoNB">PARAMETERS!$U$33</definedName>
    <definedName name="DivIndTrips">'2) Model Inputs'!$V$11:$AD$16</definedName>
    <definedName name="DivPedAutoNB">PARAMETERS!$U$34</definedName>
    <definedName name="EmAuto1">PARAMETERS!$BQ$12:$BX$78</definedName>
    <definedName name="EmAuto20">PARAMETERS!$CC$12:$CJ$78</definedName>
    <definedName name="EmBus1">PARAMETERS!$BQ$148:$BX$214</definedName>
    <definedName name="EmBus20">PARAMETERS!$CC$148:$CJ$214</definedName>
    <definedName name="EmCost">PARAMETERS!$CP$12:$CV$14</definedName>
    <definedName name="EmFreightTrain">PARAMETERS!$CP$44:$CW$45</definedName>
    <definedName name="Emissions">'3) Results'!$H$37</definedName>
    <definedName name="EmLRT">PARAMETERS!$CP$36:$CW$37</definedName>
    <definedName name="EmPassTrain">PARAMETERS!$CP$28:$CW$29</definedName>
    <definedName name="EmTruck1">PARAMETERS!$BQ$80:$BX$146</definedName>
    <definedName name="EmTruck20">PARAMETERS!$CC$80:$CJ$146</definedName>
    <definedName name="ExciseTaxDieselFed">PARAMETERS!$E$45</definedName>
    <definedName name="ExciseTaxDieselState">PARAMETERS!$E$47</definedName>
    <definedName name="ExciseTaxGasFed">PARAMETERS!$E$44</definedName>
    <definedName name="ExciseTaxGasState">PARAMETERS!$E$46</definedName>
    <definedName name="FatValue">PARAMETERS!$E$61</definedName>
    <definedName name="FreeConn">PARAMETERS!$AA$28</definedName>
    <definedName name="FreightRailAccCost">PARAMETERS!$BK$39</definedName>
    <definedName name="FringeTruck">PARAMETERS!$E$23</definedName>
    <definedName name="FuelAuto">PARAMETERS!$E$50</definedName>
    <definedName name="FuelCon">PARAMETERS!$AR$12:$AT$77</definedName>
    <definedName name="FuelConPavAdj">PARAMETERS!$DB$42:$DD$60</definedName>
    <definedName name="FuelFreightRail">PARAMETERS!$CS$47</definedName>
    <definedName name="FuelPriceAuto">PARAMETERS!$E$37</definedName>
    <definedName name="FuelPriceTruck">PARAMETERS!$E$38</definedName>
    <definedName name="FuelTruck">PARAMETERS!$E$51</definedName>
    <definedName name="GenAlphaB">PARAMETERS!$L$36</definedName>
    <definedName name="GenAlphaNB">PARAMETERS!$L$35</definedName>
    <definedName name="GenBetaB">PARAMETERS!$M$36</definedName>
    <definedName name="GenBetaNB">PARAMETERS!$M$35</definedName>
    <definedName name="GenHwy">PARAMETERS!$AA$10</definedName>
    <definedName name="GenLaneCapB">PARAMETERS!$N$36</definedName>
    <definedName name="GenLaneCapNB">PARAMETERS!$N$35</definedName>
    <definedName name="HOT">PARAMETERS!$AA$12</definedName>
    <definedName name="HOTConv">PARAMETERS!$AA$34</definedName>
    <definedName name="HOV">PARAMETERS!$AA$11</definedName>
    <definedName name="HOV2to3">PARAMETERS!$AA$33</definedName>
    <definedName name="HOVAlpha">PARAMETERS!$L$31</definedName>
    <definedName name="HOVBeta">PARAMETERS!$M$31</definedName>
    <definedName name="HOVConn">PARAMETERS!$AA$29</definedName>
    <definedName name="HOVDrop">PARAMETERS!$AA$30</definedName>
    <definedName name="HOVLaneCap">PARAMETERS!$N$31</definedName>
    <definedName name="HTML_CodePage" hidden="1">1252</definedName>
    <definedName name="HTML_Control" localSheetId="12" hidden="1">{"'2-17'!$A$1:$Q$34"}</definedName>
    <definedName name="HTML_Control" localSheetId="13" hidden="1">{"'2-17'!$A$1:$Q$34"}</definedName>
    <definedName name="HTML_Control" hidden="1">{"'2-17'!$A$1:$Q$34"}</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"C:\WINNT\Profiles\dmegret\Desktop\current tasks\nts2000\nts2000\HTML\Ch2_web\2-17.htm"</definedName>
    <definedName name="HTML_Title" hidden="1">"Table 2-17"</definedName>
    <definedName name="Hwy">PARAMETERS!$J$12</definedName>
    <definedName name="HwyFatCost">PARAMETERS!$E$71</definedName>
    <definedName name="HwyFatCostA">PARAMETERS!$BC$64</definedName>
    <definedName name="HwyFatCostR">PARAMETERS!$BB$64</definedName>
    <definedName name="HwyFatCostS">PARAMETERS!$BA$64</definedName>
    <definedName name="HwyFatCostU">PARAMETERS!$AZ$64</definedName>
    <definedName name="HwyInjCost">PARAMETERS!$E$72</definedName>
    <definedName name="HwyInjCostA">PARAMETERS!$BC$65</definedName>
    <definedName name="HwyInjCostR">PARAMETERS!$BB$65</definedName>
    <definedName name="HwyInjCostS">PARAMETERS!$BA$65</definedName>
    <definedName name="HwyInjCostU">PARAMETERS!$AZ$65</definedName>
    <definedName name="HwyPDOCost">PARAMETERS!$E$73</definedName>
    <definedName name="HwyPDOCostA">PARAMETERS!$BC$66</definedName>
    <definedName name="HwyPDOCostR">PARAMETERS!$BB$66</definedName>
    <definedName name="HwyPDOCostS">PARAMETERS!$BA$66</definedName>
    <definedName name="HwyPDOCostU">PARAMETERS!$AZ$66</definedName>
    <definedName name="HwyRail">PARAMETERS!$AA$24</definedName>
    <definedName name="HwyTransitModelGroup">'2) Model Inputs'!$F$11:$N$16</definedName>
    <definedName name="IdleFreightRail">PARAMETERS!$CS$48</definedName>
    <definedName name="IdleSpeed">PARAMETERS!$E$57</definedName>
    <definedName name="IM">PARAMETERS!$AA$39</definedName>
    <definedName name="Induced">'3) Results'!$H$29</definedName>
    <definedName name="InjAValue">PARAMETERS!$E$64</definedName>
    <definedName name="InjBValue">PARAMETERS!$E$65</definedName>
    <definedName name="InjCValue">PARAMETERS!$E$66</definedName>
    <definedName name="Intersect">PARAMETERS!$AA$14</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JANA" localSheetId="12" hidden="1">{#N/A,#N/A,FALSE,"Pricing";#N/A,#N/A,FALSE,"Summary";#N/A,#N/A,FALSE,"CompProd";#N/A,#N/A,FALSE,"CompJobhrs";#N/A,#N/A,FALSE,"Escalation";#N/A,#N/A,FALSE,"Contingency";#N/A,#N/A,FALSE,"GM";#N/A,#N/A,FALSE,"CompWage";#N/A,#N/A,FALSE,"costSum"}</definedName>
    <definedName name="JANA" localSheetId="13" hidden="1">{#N/A,#N/A,FALSE,"Pricing";#N/A,#N/A,FALSE,"Summary";#N/A,#N/A,FALSE,"CompProd";#N/A,#N/A,FALSE,"CompJobhrs";#N/A,#N/A,FALSE,"Escalation";#N/A,#N/A,FALSE,"Contingency";#N/A,#N/A,FALSE,"GM";#N/A,#N/A,FALSE,"CompWage";#N/A,#N/A,FALSE,"costSum"}</definedName>
    <definedName name="JANA" hidden="1">{#N/A,#N/A,FALSE,"Pricing";#N/A,#N/A,FALSE,"Summary";#N/A,#N/A,FALSE,"CompProd";#N/A,#N/A,FALSE,"CompJobhrs";#N/A,#N/A,FALSE,"Escalation";#N/A,#N/A,FALSE,"Contingency";#N/A,#N/A,FALSE,"GM";#N/A,#N/A,FALSE,"CompWage";#N/A,#N/A,FALSE,"costSum"}</definedName>
    <definedName name="JQValCyc">PARAMETERS!$U$41:$U$44</definedName>
    <definedName name="JQValPed">PARAMETERS!$U$48:$U$54</definedName>
    <definedName name="LifeCycleAcc">'3) Results'!$Q$17</definedName>
    <definedName name="LifeCycleBene">'Final Calculations'!$W$55</definedName>
    <definedName name="LifeCycleCO2">'3) Results'!$Q$31</definedName>
    <definedName name="LifeCycleCO2Tons">'3) Results'!$O$31</definedName>
    <definedName name="LifeCycleCost">'Final Calculations'!$X$55</definedName>
    <definedName name="LifeCycleCOTons">'3) Results'!$O$30</definedName>
    <definedName name="LifeCycleEm">'3) Results'!$Q$18</definedName>
    <definedName name="LifeCycleFatAv">'3) Results'!$Q$22</definedName>
    <definedName name="LifeCycleInjAv">'3) Results'!$Q$23</definedName>
    <definedName name="LifeCycleNOxTons">'3) Results'!$O$32</definedName>
    <definedName name="LifeCyclePDOAv">'3) Results'!$Q$24</definedName>
    <definedName name="LifeCyclePM10Tons">'3) Results'!$O$33</definedName>
    <definedName name="LifeCyclePM2.5Tons">'3) Results'!$O$34</definedName>
    <definedName name="LifeCycleSOxTons">'3) Results'!$O$35</definedName>
    <definedName name="LifeCycleTT">'3) Results'!$Q$14</definedName>
    <definedName name="LifeCycleTTHrs">'3) Results'!$Q$21</definedName>
    <definedName name="LifeCycleVOC">'3) Results'!$Q$16</definedName>
    <definedName name="LifeCycleVOCTons">'3) Results'!$O$36</definedName>
    <definedName name="LRT">PARAMETERS!$AA$22</definedName>
    <definedName name="LRTAccCost">PARAMETERS!$BI$39</definedName>
    <definedName name="MaxVC">PARAMETERS!$M$19</definedName>
    <definedName name="ModelBlock">'2) Model Inputs'!$B$4:$AF$56</definedName>
    <definedName name="ModelData1B">'2) Model Inputs'!$F$45:$N$50</definedName>
    <definedName name="ModelData1NB">'2) Model Inputs'!$F$34:$N$39</definedName>
    <definedName name="ModelData20B">'2) Model Inputs'!$V$45:$AD$50</definedName>
    <definedName name="ModelData20NB">'2) Model Inputs'!$V$34:$AD$39</definedName>
    <definedName name="ModelGroup">'2) Model Inputs'!$G$11:$N$16</definedName>
    <definedName name="Modes">PARAMETERS!$J$9:$J$12</definedName>
    <definedName name="ModeShare1">'Consumer Surplus'!$G$169:$G$175</definedName>
    <definedName name="ModeShare20">'Consumer Surplus'!$K$169:$K$175</definedName>
    <definedName name="MortRateCyc">PARAMETERS!$U$68</definedName>
    <definedName name="MortRatePed">PARAMETERS!$U$69</definedName>
    <definedName name="NetPresentValue">'Final Calculations'!$Y$55</definedName>
    <definedName name="NoInjValue">PARAMETERS!$E$68</definedName>
    <definedName name="NonFuelAuto">PARAMETERS!$E$54</definedName>
    <definedName name="NonFuelPavAdj">PARAMETERS!$DI$42:$DK$60</definedName>
    <definedName name="NonFuelTruck">PARAMETERS!$E$55</definedName>
    <definedName name="NonFwyAccRate">PARAMETERS!$E$80</definedName>
    <definedName name="NoTransit1">'Consumer Surplus'!$H$169:$H$175</definedName>
    <definedName name="NoTransit20">'Consumer Surplus'!$L$169:$L$175</definedName>
    <definedName name="OffRamp">PARAMETERS!$AA$31</definedName>
    <definedName name="OnRamp">PARAMETERS!$AA$32</definedName>
    <definedName name="Pal_Workbook_GUID" hidden="1">"3XHXXQSLF67LVVUJ7F3SICY8"</definedName>
    <definedName name="PassAccReduce">PARAMETERS!$BG$64:$BJ$66</definedName>
    <definedName name="Passing">PARAMETERS!$AA$13</definedName>
    <definedName name="PassRail">PARAMETERS!$AA$21</definedName>
    <definedName name="PassRailAccCost">PARAMETERS!$BH$39</definedName>
    <definedName name="PaveDet">PARAMETERS!$DB$13:$DE$31</definedName>
    <definedName name="Pavement">PARAMETERS!$AA$18</definedName>
    <definedName name="Payback">'Final Calculations'!$BC$58</definedName>
    <definedName name="Pdo3Yr">'1) Project Information'!$Q$15</definedName>
    <definedName name="PedDistPerTrip">PARAMETERS!$AJ$62:$AL$63</definedName>
    <definedName name="PedSpeed">PARAMETERS!$U$30</definedName>
    <definedName name="PedTripPurpose">PARAMETERS!$AJ$74:$AL$76</definedName>
    <definedName name="PerCycAge">PARAMETERS!$U$62</definedName>
    <definedName name="PerCycRiskRed">PARAMETERS!$U$65</definedName>
    <definedName name="PerIndHOV">'1) Project Information'!$H$97</definedName>
    <definedName name="PerPeakADT">PARAMETERS!$M$21</definedName>
    <definedName name="PerPeakAvgHr">PARAMETERS!$M$22</definedName>
    <definedName name="PerPeakTable">PARAMETERS!$AG$14:$AM$37</definedName>
    <definedName name="PerPedAge">PARAMETERS!$U$63</definedName>
    <definedName name="PerPedRiskRed">PARAMETERS!$U$66</definedName>
    <definedName name="PerSickDaysLeave">PARAMETERS!$U$58</definedName>
    <definedName name="PerSickDaysRed">PARAMETERS!$U$59</definedName>
    <definedName name="_xlnm.Print_Area" localSheetId="2">'1) Project Information'!$A$1:$AG$122</definedName>
    <definedName name="_xlnm.Print_Area" localSheetId="3">'2) Model Inputs'!$A$4:$AU$56,'2) Model Inputs'!$BK$4:$BK$21,'2) Model Inputs'!$AV$22:$CJ$56,'2) Model Inputs'!$CR$4:$DM$21</definedName>
    <definedName name="_xlnm.Print_Area" localSheetId="4">'3) Results'!$B$1:$T$40</definedName>
    <definedName name="_xlnm.Print_Area" localSheetId="9">'Accident Costs'!$U$21:$AE$53</definedName>
    <definedName name="_xlnm.Print_Area" localSheetId="6">'Consumer Surplus'!$AE$15:$AM$45</definedName>
    <definedName name="_xlnm.Print_Area" localSheetId="10">Emissions!$BN$15:$CL$47</definedName>
    <definedName name="_xlnm.Print_Area" localSheetId="11">'Final Calculations'!$A$14:$BL$96</definedName>
    <definedName name="_xlnm.Print_Area" localSheetId="1">Instructions!$A$1:$F$43</definedName>
    <definedName name="_xlnm.Print_Area" localSheetId="13">PARAMETERS!$A$1:$BM$88,PARAMETERS!$BN$1:$CL$219,PARAMETERS!$CM$1:$EO$63</definedName>
    <definedName name="_xlnm.Print_Area" localSheetId="0">Title!$B$2:$C$29</definedName>
    <definedName name="_xlnm.Print_Area" localSheetId="5">'Travel Time'!$V$15:$AH$79</definedName>
    <definedName name="_xlnm.Print_Area" localSheetId="8">'Vehicle Operating Costs'!$V$15:$AG$77</definedName>
    <definedName name="_xlnm.Print_Titles" localSheetId="10">Emissions!$BN:$BN</definedName>
    <definedName name="_xlnm.Print_Titles" localSheetId="13">PARAMETERS!$1:$16</definedName>
    <definedName name="_xlnm.Print_Titles" localSheetId="5">'Travel Time'!$V:$V</definedName>
    <definedName name="ProjLoc">'1) Project Information'!$H$12</definedName>
    <definedName name="ProjName">'1) Project Information'!$E$4</definedName>
    <definedName name="ProjTypeList">PARAMETERS!$Z$8:$Z$44</definedName>
    <definedName name="Queuing">PARAMETERS!$AA$17</definedName>
    <definedName name="RailFatCost">PARAMETERS!$BI$52</definedName>
    <definedName name="RailGradeFatRate">PARAMETERS!$BI$51</definedName>
    <definedName name="RailGradeInjRate">PARAMETERS!$BJ$51</definedName>
    <definedName name="RailInjCost">PARAMETERS!$BJ$52</definedName>
    <definedName name="Rel1AVOB">'2) Model Inputs'!$CO$11</definedName>
    <definedName name="Rel1AVONB">'2) Model Inputs'!$CH$11</definedName>
    <definedName name="Rel1AvSpdBE">'2) Model Inputs'!$CG$45</definedName>
    <definedName name="Rel1AvSpdBS">'2) Model Inputs'!$BS$45</definedName>
    <definedName name="Rel1AvSpdNBE">'2) Model Inputs'!$CG$34</definedName>
    <definedName name="Rel1AvSpdNBS">'2) Model Inputs'!$BS$34</definedName>
    <definedName name="Rel1Dur">'2) Model Inputs'!$CB$11</definedName>
    <definedName name="Rel1FFSB">'2) Model Inputs'!$CN$11</definedName>
    <definedName name="Rel1FFSNB">'2) Model Inputs'!$CG$11</definedName>
    <definedName name="Rel1ImpactedB">'2) Model Inputs'!$CM$11</definedName>
    <definedName name="Rel1ImpactedNB">'2) Model Inputs'!$CF$11</definedName>
    <definedName name="Rel1PAutoAdj">'2) Model Inputs'!$CY$11</definedName>
    <definedName name="Rel1PTruckAdj">'2) Model Inputs'!$DI$11</definedName>
    <definedName name="Rel1TruckBE">'2) Model Inputs'!$CF$45</definedName>
    <definedName name="Rel1TruckBS">'2) Model Inputs'!$BR$45</definedName>
    <definedName name="Rel1TruckNBE">'2) Model Inputs'!$CF$34</definedName>
    <definedName name="Rel1TruckNBS">'2) Model Inputs'!$BR$34</definedName>
    <definedName name="Rel1VolBE">'2) Model Inputs'!$CH$45</definedName>
    <definedName name="Rel1VolBS">'2) Model Inputs'!$BT$45</definedName>
    <definedName name="Rel1VolNBE">'2) Model Inputs'!$CH$34</definedName>
    <definedName name="Rel1VolNBS">'2) Model Inputs'!$BT$34</definedName>
    <definedName name="RelAdjFactors">'2) Model Inputs'!$CU$11:$DK$16</definedName>
    <definedName name="Reliability">'3) Results'!$H$31</definedName>
    <definedName name="ReliabilityBlock">'2) Model Inputs'!$BL$4:$DM$54</definedName>
    <definedName name="ReliabilityData1B">'2) Model Inputs'!$BP$45:$BT$50</definedName>
    <definedName name="ReliabilityData1NB">'2) Model Inputs'!$BP$34:$BT$39</definedName>
    <definedName name="ReliabilityData20B">'2) Model Inputs'!$CD$45:$CH$50</definedName>
    <definedName name="ReliabilityData20NB">'2) Model Inputs'!$CD$34:$CH$39</definedName>
    <definedName name="ReliabilityGroup">'2) Model Inputs'!$BP$11:$CO$16</definedName>
    <definedName name="ReliabilityModelGroup">'2) Model Inputs'!$BQ$11:$CO$16</definedName>
    <definedName name="ReliabilityNames">'2) Model Inputs'!$BQ$11:BJ1048562</definedName>
    <definedName name="RelTransitModelGroup">'2) Model Inputs'!$BQ$11:$CB$11</definedName>
    <definedName name="RelYearFirst">'2) Model Inputs'!$BP$18</definedName>
    <definedName name="RelYearLast">'2) Model Inputs'!$BP$19</definedName>
    <definedName name="ReturnOnInvest">'Final Calculations'!$BC$54</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1917</definedName>
    <definedName name="RiskHasSettings" hidden="1">7</definedName>
    <definedName name="RiskMinimizeOnStart" hidden="1">FALSE</definedName>
    <definedName name="RiskMonitorConvergence" hidden="1">FALSE</definedName>
    <definedName name="RiskMultipleCPUSupportEnabled" hidden="1">FALSE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SwapState" hidden="1">FALSE</definedName>
    <definedName name="RiskUpdateDisplay" hidden="1">FALSE</definedName>
    <definedName name="RiskUseDifferentSeedForEachSim" hidden="1">FALSE</definedName>
    <definedName name="RiskUseFixedSeed" hidden="1">TRUE</definedName>
    <definedName name="RiskUseMultipleCPUs" hidden="1">FALSE</definedName>
    <definedName name="RM">PARAMETERS!$AA$37</definedName>
    <definedName name="RTCycNB">PARAMETERS!$U$31</definedName>
    <definedName name="RTPedNB">PARAMETERS!$U$32</definedName>
    <definedName name="SafetyBlock">'2) Model Inputs'!$AH$4:$BI$55</definedName>
    <definedName name="SafetyData1B">'2) Model Inputs'!$AM$45:$AS$50</definedName>
    <definedName name="SafetyData1NB">'2) Model Inputs'!$AM$34:$AS$39</definedName>
    <definedName name="SafetyData20B">'2) Model Inputs'!$BA$45:$BG$50</definedName>
    <definedName name="SafetyData20NB">'2) Model Inputs'!$BA$34:$BG$39</definedName>
    <definedName name="SafetyGroup">'2) Model Inputs'!$AL$11:$AS$16</definedName>
    <definedName name="SafetyModelGroup">'2) Model Inputs'!$AM$11:$AS$16</definedName>
    <definedName name="SafetyYearFirst">'2) Model Inputs'!$AL$18</definedName>
    <definedName name="SafetyYearLast">'2) Model Inputs'!$AL$19</definedName>
    <definedName name="SalesTaxDieselState">PARAMETERS!$E$42</definedName>
    <definedName name="SalesTaxGasState">PARAMETERS!$E$41</definedName>
    <definedName name="SalesTaxLocal">PARAMETERS!$E$43</definedName>
    <definedName name="SchDays">PARAMETERS!$U$22</definedName>
    <definedName name="Services2" localSheetId="12" hidden="1">{#N/A,#N/A,FALSE,"Pricing";#N/A,#N/A,FALSE,"Summary";#N/A,#N/A,FALSE,"CompProd";#N/A,#N/A,FALSE,"CompJobhrs";#N/A,#N/A,FALSE,"Escalation";#N/A,#N/A,FALSE,"Contingency";#N/A,#N/A,FALSE,"GM";#N/A,#N/A,FALSE,"CompWage";#N/A,#N/A,FALSE,"costSum"}</definedName>
    <definedName name="Services2" localSheetId="13" hidden="1">{#N/A,#N/A,FALSE,"Pricing";#N/A,#N/A,FALSE,"Summary";#N/A,#N/A,FALSE,"CompProd";#N/A,#N/A,FALSE,"CompJobhrs";#N/A,#N/A,FALSE,"Escalation";#N/A,#N/A,FALSE,"Contingency";#N/A,#N/A,FALSE,"GM";#N/A,#N/A,FALSE,"CompWage";#N/A,#N/A,FALSE,"costSum"}</definedName>
    <definedName name="Services2" hidden="1">{#N/A,#N/A,FALSE,"Pricing";#N/A,#N/A,FALSE,"Summary";#N/A,#N/A,FALSE,"CompProd";#N/A,#N/A,FALSE,"CompJobhrs";#N/A,#N/A,FALSE,"Escalation";#N/A,#N/A,FALSE,"Contingency";#N/A,#N/A,FALSE,"GM";#N/A,#N/A,FALSE,"CompWage";#N/A,#N/A,FALSE,"costSum"}</definedName>
    <definedName name="SigPriority">PARAMETERS!$AA$43</definedName>
    <definedName name="SigTTsaving">PARAMETERS!$DZ$38</definedName>
    <definedName name="SpeedPavAdj">PARAMETERS!$DI$13:$DK$31</definedName>
    <definedName name="SpeedWeaveAdj">PARAMETERS!$DP$13:$DR$53</definedName>
    <definedName name="StateFatRate">PARAMETERS!$E$77</definedName>
    <definedName name="StateInjRate">PARAMETERS!$E$78</definedName>
    <definedName name="StatePDORate">PARAMETERS!$E$79</definedName>
    <definedName name="temp" localSheetId="12" hidden="1">{#N/A,#N/A,FALSE,"Pricing";#N/A,#N/A,FALSE,"Summary";#N/A,#N/A,FALSE,"CompProd";#N/A,#N/A,FALSE,"CompJobhrs";#N/A,#N/A,FALSE,"Escalation";#N/A,#N/A,FALSE,"Contingency";#N/A,#N/A,FALSE,"GM";#N/A,#N/A,FALSE,"CompWage";#N/A,#N/A,FALSE,"costSum"}</definedName>
    <definedName name="temp" localSheetId="13" hidden="1">{#N/A,#N/A,FALSE,"Pricing";#N/A,#N/A,FALSE,"Summary";#N/A,#N/A,FALSE,"CompProd";#N/A,#N/A,FALSE,"CompJobhrs";#N/A,#N/A,FALSE,"Escalation";#N/A,#N/A,FALSE,"Contingency";#N/A,#N/A,FALSE,"GM";#N/A,#N/A,FALSE,"CompWage";#N/A,#N/A,FALSE,"costSum"}</definedName>
    <definedName name="temp" hidden="1">{#N/A,#N/A,FALSE,"Pricing";#N/A,#N/A,FALSE,"Summary";#N/A,#N/A,FALSE,"CompProd";#N/A,#N/A,FALSE,"CompJobhrs";#N/A,#N/A,FALSE,"Escalation";#N/A,#N/A,FALSE,"Contingency";#N/A,#N/A,FALSE,"GM";#N/A,#N/A,FALSE,"CompWage";#N/A,#N/A,FALSE,"costSum"}</definedName>
    <definedName name="test" localSheetId="12" hidden="1">{#N/A,#N/A,FALSE,"Pricing";#N/A,#N/A,FALSE,"Summary";#N/A,#N/A,FALSE,"CompProd";#N/A,#N/A,FALSE,"CompJobhrs";#N/A,#N/A,FALSE,"Escalation";#N/A,#N/A,FALSE,"Contingency";#N/A,#N/A,FALSE,"GM";#N/A,#N/A,FALSE,"CompWage";#N/A,#N/A,FALSE,"costSum"}</definedName>
    <definedName name="test" localSheetId="13" hidden="1">{#N/A,#N/A,FALSE,"Pricing";#N/A,#N/A,FALSE,"Summary";#N/A,#N/A,FALSE,"CompProd";#N/A,#N/A,FALSE,"CompJobhrs";#N/A,#N/A,FALSE,"Escalation";#N/A,#N/A,FALSE,"Contingency";#N/A,#N/A,FALSE,"GM";#N/A,#N/A,FALSE,"CompWage";#N/A,#N/A,FALSE,"costSum"}</definedName>
    <definedName name="test" hidden="1">{#N/A,#N/A,FALSE,"Pricing";#N/A,#N/A,FALSE,"Summary";#N/A,#N/A,FALSE,"CompProd";#N/A,#N/A,FALSE,"CompJobhrs";#N/A,#N/A,FALSE,"Escalation";#N/A,#N/A,FALSE,"Contingency";#N/A,#N/A,FALSE,"GM";#N/A,#N/A,FALSE,"CompWage";#N/A,#N/A,FALSE,"costSum"}</definedName>
    <definedName name="TI">PARAMETERS!$AA$40</definedName>
    <definedName name="TMSAdj">PARAMETERS!$DW$13:$EE$23</definedName>
    <definedName name="TMSLookup">PARAMETERS!$AA$46</definedName>
    <definedName name="TruckLane">PARAMETERS!$AA$15</definedName>
    <definedName name="TTReliabilityGroup">'2) Model Inputs'!$CW$11:$DK$11</definedName>
    <definedName name="TTUprater">PARAMETERS!$E$32</definedName>
    <definedName name="UserAdjInputs">PARAMETERS!$AA$47</definedName>
    <definedName name="ValRelAuto">PARAMETERS!$EK$24</definedName>
    <definedName name="ValRelTruck">PARAMETERS!$EK$25</definedName>
    <definedName name="ValTimeAT">PARAMETERS!$U$37</definedName>
    <definedName name="ValTimeAuto">PARAMETERS!$E$26</definedName>
    <definedName name="ValTimeChild">PARAMETERS!$U$38</definedName>
    <definedName name="ValTimeIMFactor">PARAMETERS!$E$31</definedName>
    <definedName name="ValTimeOVFactor">PARAMETERS!$E$30</definedName>
    <definedName name="ValTimeTransit">PARAMETERS!$E$29</definedName>
    <definedName name="ValTimeTruck">PARAMETERS!$E$27</definedName>
    <definedName name="ValueUpdate">PARAMETERS!$F$10</definedName>
    <definedName name="VehOcc">PARAMETERS!$U$26</definedName>
    <definedName name="VehOp">'3) Results'!$H$33</definedName>
    <definedName name="VehSpeed">PARAMETERS!$U$25</definedName>
    <definedName name="WageStatewide">PARAMETERS!$E$19</definedName>
    <definedName name="WageTruck">PARAMETERS!$E$22</definedName>
    <definedName name="WalkDays">PARAMETERS!$U$21</definedName>
    <definedName name="wrn.all." localSheetId="12" hidden="1">{#N/A,#N/A,FALSE,"Pricing";#N/A,#N/A,FALSE,"Summary";#N/A,#N/A,FALSE,"CompProd";#N/A,#N/A,FALSE,"CompJobhrs";#N/A,#N/A,FALSE,"Escalation";#N/A,#N/A,FALSE,"Contingency";#N/A,#N/A,FALSE,"GM";#N/A,#N/A,FALSE,"CompWage";#N/A,#N/A,FALSE,"costSum"}</definedName>
    <definedName name="wrn.all." localSheetId="13" hidden="1">{#N/A,#N/A,FALSE,"Pricing";#N/A,#N/A,FALSE,"Summary";#N/A,#N/A,FALSE,"CompProd";#N/A,#N/A,FALSE,"CompJobhrs";#N/A,#N/A,FALSE,"Escalation";#N/A,#N/A,FALSE,"Contingency";#N/A,#N/A,FALSE,"GM";#N/A,#N/A,FALSE,"CompWage";#N/A,#N/A,FALSE,"costSum"}</definedName>
    <definedName name="wrn.all." hidden="1">{#N/A,#N/A,FALSE,"Pricing";#N/A,#N/A,FALSE,"Summary";#N/A,#N/A,FALSE,"CompProd";#N/A,#N/A,FALSE,"CompJobhrs";#N/A,#N/A,FALSE,"Escalation";#N/A,#N/A,FALSE,"Contingency";#N/A,#N/A,FALSE,"GM";#N/A,#N/A,FALSE,"CompWage";#N/A,#N/A,FALSE,"costSum"}</definedName>
    <definedName name="wrn.ESTIMATE." localSheetId="12" hidden="1">{#N/A,#N/A,FALSE,"SUM";#N/A,#N/A,FALSE,"MECH.";#N/A,#N/A,FALSE,"PIPE";#N/A,#N/A,FALSE,"ELECT";#N/A,#N/A,FALSE,"PR CONT";#N/A,#N/A,FALSE,"STRUCT"}</definedName>
    <definedName name="wrn.ESTIMATE." localSheetId="13" hidden="1">{#N/A,#N/A,FALSE,"SUM";#N/A,#N/A,FALSE,"MECH.";#N/A,#N/A,FALSE,"PIPE";#N/A,#N/A,FALSE,"ELECT";#N/A,#N/A,FALSE,"PR CONT";#N/A,#N/A,FALSE,"STRUCT"}</definedName>
    <definedName name="wrn.ESTIMATE." hidden="1">{#N/A,#N/A,FALSE,"SUM";#N/A,#N/A,FALSE,"MECH.";#N/A,#N/A,FALSE,"PIPE";#N/A,#N/A,FALSE,"ELECT";#N/A,#N/A,FALSE,"PR CONT";#N/A,#N/A,FALSE,"STRUCT"}</definedName>
    <definedName name="wrn.Labor._.Cost._.Workbook." localSheetId="12" hidden="1">{#N/A,#N/A,FALSE,"RATES";#N/A,#N/A,FALSE,"LOADED RATES"}</definedName>
    <definedName name="wrn.Labor._.Cost._.Workbook." localSheetId="13" hidden="1">{#N/A,#N/A,FALSE,"RATES";#N/A,#N/A,FALSE,"LOADED RATES"}</definedName>
    <definedName name="wrn.Labor._.Cost._.Workbook." hidden="1">{#N/A,#N/A,FALSE,"RATES";#N/A,#N/A,FALSE,"LOADED RATES"}</definedName>
    <definedName name="YearCurrent">'1) Project Information'!$F$16</definedName>
    <definedName name="YearFirst">'2) Model Inputs'!$F$18</definedName>
    <definedName name="YearLast">'2) Model Inputs'!$F$19</definedName>
    <definedName name="YearOpen">'1) Project Information'!$F$20</definedName>
    <definedName name="YearStart">'1) Project Information'!$F$18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 i="24" l="1"/>
  <c r="L9" i="24"/>
  <c r="K9" i="24"/>
  <c r="J9" i="24"/>
  <c r="I9" i="24"/>
  <c r="H9" i="24"/>
  <c r="I8" i="24"/>
  <c r="M8" i="24" s="1"/>
  <c r="H8" i="24"/>
  <c r="K8" i="24" s="1"/>
  <c r="M7" i="24"/>
  <c r="L7" i="24"/>
  <c r="K7" i="24"/>
  <c r="J7" i="24"/>
  <c r="I7" i="24"/>
  <c r="H7" i="24"/>
  <c r="I6" i="24"/>
  <c r="M6" i="24" s="1"/>
  <c r="H6" i="24"/>
  <c r="K6" i="24" s="1"/>
  <c r="M5" i="24"/>
  <c r="L5" i="24"/>
  <c r="K5" i="24"/>
  <c r="J5" i="24"/>
  <c r="I5" i="24"/>
  <c r="H5" i="24"/>
  <c r="I4" i="24"/>
  <c r="M4" i="24" s="1"/>
  <c r="H4" i="24"/>
  <c r="K4" i="24" s="1"/>
  <c r="CO13" i="5"/>
  <c r="CO14" i="5"/>
  <c r="CO15" i="5"/>
  <c r="CO16" i="5"/>
  <c r="CO12" i="5"/>
  <c r="CO11" i="5"/>
  <c r="CH13" i="5"/>
  <c r="CH14" i="5"/>
  <c r="CH15" i="5"/>
  <c r="CH16" i="5"/>
  <c r="CH12" i="5"/>
  <c r="CH11" i="5"/>
  <c r="CF47" i="5"/>
  <c r="CF48" i="5"/>
  <c r="CF49" i="5"/>
  <c r="CF50" i="5"/>
  <c r="CF46" i="5"/>
  <c r="CF45" i="5"/>
  <c r="CG46" i="5"/>
  <c r="CG48" i="5"/>
  <c r="CG49" i="5"/>
  <c r="CG50" i="5"/>
  <c r="CF36" i="5"/>
  <c r="CF37" i="5"/>
  <c r="CF38" i="5"/>
  <c r="CF39" i="5"/>
  <c r="CF35" i="5"/>
  <c r="CF34" i="5"/>
  <c r="BR47" i="5"/>
  <c r="BR48" i="5"/>
  <c r="BR49" i="5"/>
  <c r="BR50" i="5"/>
  <c r="BR46" i="5"/>
  <c r="BR45" i="5"/>
  <c r="BR36" i="5"/>
  <c r="BR37" i="5"/>
  <c r="BR38" i="5"/>
  <c r="BR39" i="5"/>
  <c r="BR35" i="5"/>
  <c r="BR34" i="5"/>
  <c r="CE45" i="5"/>
  <c r="CE46" i="5"/>
  <c r="CE47" i="5"/>
  <c r="CE48" i="5"/>
  <c r="CE49" i="5"/>
  <c r="CE50" i="5"/>
  <c r="CD50" i="5"/>
  <c r="CD47" i="5"/>
  <c r="CG47" i="5" s="1"/>
  <c r="CD48" i="5"/>
  <c r="CD49" i="5"/>
  <c r="CD46" i="5"/>
  <c r="CD45" i="5"/>
  <c r="CE34" i="5"/>
  <c r="CE35" i="5"/>
  <c r="CE36" i="5"/>
  <c r="CE37" i="5"/>
  <c r="CE38" i="5"/>
  <c r="CE39" i="5"/>
  <c r="CD39" i="5"/>
  <c r="CD36" i="5"/>
  <c r="CD37" i="5"/>
  <c r="CD38" i="5"/>
  <c r="CD35" i="5"/>
  <c r="CD34" i="5"/>
  <c r="BQ50" i="5"/>
  <c r="BQ47" i="5"/>
  <c r="BQ48" i="5"/>
  <c r="BQ49" i="5"/>
  <c r="BQ46" i="5"/>
  <c r="BQ45" i="5"/>
  <c r="BP50" i="5"/>
  <c r="BP47" i="5"/>
  <c r="BP48" i="5"/>
  <c r="BP49" i="5"/>
  <c r="BP46" i="5"/>
  <c r="BP45" i="5"/>
  <c r="BQ39" i="5"/>
  <c r="BQ36" i="5"/>
  <c r="BQ37" i="5"/>
  <c r="BQ38" i="5"/>
  <c r="BQ35" i="5"/>
  <c r="BQ34" i="5"/>
  <c r="BP39" i="5"/>
  <c r="BP36" i="5"/>
  <c r="BP37" i="5"/>
  <c r="BP38" i="5"/>
  <c r="BP35" i="5"/>
  <c r="BP34" i="5"/>
  <c r="BA50" i="5"/>
  <c r="BA47" i="5"/>
  <c r="BA48" i="5"/>
  <c r="BA49" i="5"/>
  <c r="BA46" i="5"/>
  <c r="BA45" i="5"/>
  <c r="BA39" i="5"/>
  <c r="BA36" i="5"/>
  <c r="BA37" i="5"/>
  <c r="BA38" i="5"/>
  <c r="BA35" i="5"/>
  <c r="BA34" i="5"/>
  <c r="AM50" i="5"/>
  <c r="AM47" i="5"/>
  <c r="AM48" i="5"/>
  <c r="AM49" i="5"/>
  <c r="AM46" i="5"/>
  <c r="AM45" i="5"/>
  <c r="AM36" i="5"/>
  <c r="AM37" i="5"/>
  <c r="AM38" i="5"/>
  <c r="AM35" i="5"/>
  <c r="AM34" i="5"/>
  <c r="AM39" i="5"/>
  <c r="J4" i="24" l="1"/>
  <c r="J6" i="24"/>
  <c r="J8" i="24"/>
  <c r="L4" i="24"/>
  <c r="L6" i="24"/>
  <c r="L8" i="24"/>
  <c r="CG45" i="5"/>
  <c r="B170" i="18"/>
  <c r="D170" i="18"/>
  <c r="E170" i="18"/>
  <c r="F170" i="18"/>
  <c r="I170" i="18"/>
  <c r="J170" i="18"/>
  <c r="O170" i="18"/>
  <c r="B171" i="18"/>
  <c r="D171" i="18"/>
  <c r="E171" i="18"/>
  <c r="F171" i="18"/>
  <c r="I171" i="18"/>
  <c r="J171" i="18"/>
  <c r="O171" i="18"/>
  <c r="B172" i="18"/>
  <c r="D172" i="18"/>
  <c r="E172" i="18"/>
  <c r="F172" i="18"/>
  <c r="I172" i="18"/>
  <c r="J172" i="18"/>
  <c r="O172" i="18"/>
  <c r="B173" i="18"/>
  <c r="D173" i="18"/>
  <c r="E173" i="18"/>
  <c r="F173" i="18"/>
  <c r="I173" i="18"/>
  <c r="J173" i="18"/>
  <c r="O173" i="18"/>
  <c r="B174" i="18"/>
  <c r="D174" i="18"/>
  <c r="E174" i="18"/>
  <c r="F174" i="18"/>
  <c r="I174" i="18"/>
  <c r="J174" i="18"/>
  <c r="O174" i="18"/>
  <c r="W27" i="16"/>
  <c r="X27" i="16"/>
  <c r="Y27" i="16"/>
  <c r="Z27" i="16"/>
  <c r="AA27" i="16"/>
  <c r="W61" i="16"/>
  <c r="X61" i="16"/>
  <c r="Y61" i="16"/>
  <c r="Z61" i="16"/>
  <c r="AA61" i="16"/>
  <c r="W95" i="16"/>
  <c r="X95" i="16"/>
  <c r="Y95" i="16"/>
  <c r="Z95" i="16"/>
  <c r="AA95" i="16"/>
  <c r="W129" i="16"/>
  <c r="X129" i="16"/>
  <c r="Y129" i="16"/>
  <c r="Z129" i="16"/>
  <c r="AA129" i="16"/>
  <c r="B193" i="16"/>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161" i="16"/>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29" i="16"/>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97" i="16"/>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65" i="16"/>
  <c r="B66" i="16" s="1"/>
  <c r="B67" i="16" s="1"/>
  <c r="B68" i="16" s="1"/>
  <c r="B69" i="16" s="1"/>
  <c r="B70" i="16" s="1"/>
  <c r="B71" i="16" s="1"/>
  <c r="B72" i="16" s="1"/>
  <c r="B73" i="16" s="1"/>
  <c r="B74" i="16" s="1"/>
  <c r="B75" i="16" s="1"/>
  <c r="B76" i="16" s="1"/>
  <c r="B77" i="16" s="1"/>
  <c r="B78" i="16" s="1"/>
  <c r="B79" i="16" s="1"/>
  <c r="B80" i="16" s="1"/>
  <c r="B81" i="16" s="1"/>
  <c r="B82" i="16" s="1"/>
  <c r="B83" i="16" s="1"/>
  <c r="B84" i="16" s="1"/>
  <c r="BP21" i="9"/>
  <c r="BQ21" i="9"/>
  <c r="BR21" i="9"/>
  <c r="BS21" i="9"/>
  <c r="BT21" i="9"/>
  <c r="BP55" i="9"/>
  <c r="BQ55" i="9"/>
  <c r="BR55" i="9"/>
  <c r="BS55" i="9"/>
  <c r="BT55" i="9"/>
  <c r="BP89" i="9"/>
  <c r="BQ89" i="9"/>
  <c r="BR89" i="9"/>
  <c r="BS89" i="9"/>
  <c r="BT89" i="9"/>
  <c r="BP123" i="9"/>
  <c r="BQ123" i="9"/>
  <c r="BR123" i="9"/>
  <c r="BS123" i="9"/>
  <c r="BT123" i="9"/>
  <c r="BP157" i="9"/>
  <c r="BQ157" i="9"/>
  <c r="BR157" i="9"/>
  <c r="BS157" i="9"/>
  <c r="BT157" i="9"/>
  <c r="BP191" i="9"/>
  <c r="BQ191" i="9"/>
  <c r="BR191" i="9"/>
  <c r="BS191" i="9"/>
  <c r="BT191" i="9"/>
  <c r="BP225" i="9"/>
  <c r="BQ225" i="9"/>
  <c r="BR225" i="9"/>
  <c r="BS225" i="9"/>
  <c r="BT225" i="9"/>
  <c r="BP259" i="9"/>
  <c r="BQ259" i="9"/>
  <c r="BR259" i="9"/>
  <c r="BS259" i="9"/>
  <c r="BT259" i="9"/>
  <c r="BP293" i="9"/>
  <c r="BQ293" i="9"/>
  <c r="BR293" i="9"/>
  <c r="BS293" i="9"/>
  <c r="BT293" i="9"/>
  <c r="BP327" i="9"/>
  <c r="BQ327" i="9"/>
  <c r="BR327" i="9"/>
  <c r="BS327" i="9"/>
  <c r="BT327" i="9"/>
  <c r="BP361" i="9"/>
  <c r="BQ361" i="9"/>
  <c r="BR361" i="9"/>
  <c r="BS361" i="9"/>
  <c r="BT361" i="9"/>
  <c r="BP395" i="9"/>
  <c r="BQ395" i="9"/>
  <c r="BR395" i="9"/>
  <c r="BS395" i="9"/>
  <c r="BT395" i="9"/>
  <c r="BP429" i="9"/>
  <c r="BQ429" i="9"/>
  <c r="BR429" i="9"/>
  <c r="BS429" i="9"/>
  <c r="BT429" i="9"/>
  <c r="BP463" i="9"/>
  <c r="BQ463" i="9"/>
  <c r="BR463" i="9"/>
  <c r="BS463" i="9"/>
  <c r="BT463" i="9"/>
  <c r="B187" i="9"/>
  <c r="B188" i="9" s="1"/>
  <c r="B189" i="9" s="1"/>
  <c r="B190" i="9" s="1"/>
  <c r="B191" i="9" s="1"/>
  <c r="B192" i="9" s="1"/>
  <c r="B193" i="9" s="1"/>
  <c r="B194" i="9" s="1"/>
  <c r="B195" i="9" s="1"/>
  <c r="B196" i="9" s="1"/>
  <c r="B197" i="9" s="1"/>
  <c r="B198" i="9" s="1"/>
  <c r="B199" i="9" s="1"/>
  <c r="B200" i="9" s="1"/>
  <c r="B201" i="9" s="1"/>
  <c r="B202" i="9" s="1"/>
  <c r="B203" i="9" s="1"/>
  <c r="B204" i="9" s="1"/>
  <c r="B205" i="9" s="1"/>
  <c r="B206" i="9" s="1"/>
  <c r="B185" i="9"/>
  <c r="B184" i="9"/>
  <c r="B155" i="9"/>
  <c r="B156" i="9" s="1"/>
  <c r="B157" i="9" s="1"/>
  <c r="B158" i="9" s="1"/>
  <c r="B159" i="9" s="1"/>
  <c r="B160" i="9" s="1"/>
  <c r="B161" i="9" s="1"/>
  <c r="B162" i="9" s="1"/>
  <c r="B163" i="9" s="1"/>
  <c r="B164" i="9" s="1"/>
  <c r="B165" i="9" s="1"/>
  <c r="B166" i="9" s="1"/>
  <c r="B167" i="9" s="1"/>
  <c r="B168" i="9" s="1"/>
  <c r="B169" i="9" s="1"/>
  <c r="B170" i="9" s="1"/>
  <c r="B171" i="9" s="1"/>
  <c r="B172" i="9" s="1"/>
  <c r="B173" i="9" s="1"/>
  <c r="B174" i="9" s="1"/>
  <c r="B153" i="9"/>
  <c r="B152" i="9"/>
  <c r="B124" i="9"/>
  <c r="B125" i="9" s="1"/>
  <c r="B126" i="9" s="1"/>
  <c r="B127" i="9" s="1"/>
  <c r="B128" i="9" s="1"/>
  <c r="B129" i="9" s="1"/>
  <c r="B130" i="9" s="1"/>
  <c r="B131" i="9" s="1"/>
  <c r="B132" i="9" s="1"/>
  <c r="B133" i="9" s="1"/>
  <c r="B134" i="9" s="1"/>
  <c r="B135" i="9" s="1"/>
  <c r="B136" i="9" s="1"/>
  <c r="B137" i="9" s="1"/>
  <c r="B138" i="9" s="1"/>
  <c r="B139" i="9" s="1"/>
  <c r="B140" i="9" s="1"/>
  <c r="B141" i="9" s="1"/>
  <c r="B142" i="9" s="1"/>
  <c r="B123" i="9"/>
  <c r="B121" i="9"/>
  <c r="B120" i="9"/>
  <c r="B91" i="9"/>
  <c r="B92" i="9" s="1"/>
  <c r="B93" i="9" s="1"/>
  <c r="B94" i="9" s="1"/>
  <c r="B95" i="9" s="1"/>
  <c r="B96" i="9" s="1"/>
  <c r="B97" i="9" s="1"/>
  <c r="B98" i="9" s="1"/>
  <c r="B99" i="9" s="1"/>
  <c r="B100" i="9" s="1"/>
  <c r="B101" i="9" s="1"/>
  <c r="B102" i="9" s="1"/>
  <c r="B103" i="9" s="1"/>
  <c r="B104" i="9" s="1"/>
  <c r="B105" i="9" s="1"/>
  <c r="B106" i="9" s="1"/>
  <c r="B107" i="9" s="1"/>
  <c r="B108" i="9" s="1"/>
  <c r="B109" i="9" s="1"/>
  <c r="B110" i="9" s="1"/>
  <c r="B89" i="9"/>
  <c r="B88" i="9"/>
  <c r="B59" i="9"/>
  <c r="B60" i="9" s="1"/>
  <c r="B61" i="9" s="1"/>
  <c r="B62" i="9" s="1"/>
  <c r="B63" i="9" s="1"/>
  <c r="B64" i="9" s="1"/>
  <c r="B65" i="9" s="1"/>
  <c r="B66" i="9" s="1"/>
  <c r="B67" i="9" s="1"/>
  <c r="B68" i="9" s="1"/>
  <c r="B69" i="9" s="1"/>
  <c r="B70" i="9" s="1"/>
  <c r="B71" i="9" s="1"/>
  <c r="B72" i="9" s="1"/>
  <c r="B73" i="9" s="1"/>
  <c r="B74" i="9" s="1"/>
  <c r="B75" i="9" s="1"/>
  <c r="B76" i="9" s="1"/>
  <c r="B77" i="9" s="1"/>
  <c r="B78" i="9" s="1"/>
  <c r="B57" i="9"/>
  <c r="B56" i="9"/>
  <c r="Y21" i="8"/>
  <c r="Z21" i="8"/>
  <c r="AA21" i="8"/>
  <c r="AB21" i="8"/>
  <c r="AC21" i="8"/>
  <c r="Y52" i="8"/>
  <c r="Z52" i="8"/>
  <c r="AA52" i="8"/>
  <c r="AB52" i="8"/>
  <c r="AC52" i="8"/>
  <c r="Y83" i="8"/>
  <c r="Z83" i="8"/>
  <c r="AA83" i="8"/>
  <c r="AB83" i="8"/>
  <c r="AC83" i="8"/>
  <c r="Y114" i="8"/>
  <c r="Z114" i="8"/>
  <c r="AA114" i="8"/>
  <c r="AB114" i="8"/>
  <c r="AC114" i="8"/>
  <c r="B187" i="8"/>
  <c r="B188" i="8" s="1"/>
  <c r="B189" i="8" s="1"/>
  <c r="B190" i="8" s="1"/>
  <c r="B191" i="8" s="1"/>
  <c r="B192" i="8" s="1"/>
  <c r="B193" i="8" s="1"/>
  <c r="B194" i="8" s="1"/>
  <c r="B195" i="8" s="1"/>
  <c r="B196" i="8" s="1"/>
  <c r="B197" i="8" s="1"/>
  <c r="B198" i="8" s="1"/>
  <c r="B199" i="8" s="1"/>
  <c r="B200" i="8" s="1"/>
  <c r="B201" i="8" s="1"/>
  <c r="B202" i="8" s="1"/>
  <c r="B203" i="8" s="1"/>
  <c r="B204" i="8" s="1"/>
  <c r="B205" i="8" s="1"/>
  <c r="B206" i="8" s="1"/>
  <c r="B185" i="8"/>
  <c r="B184" i="8"/>
  <c r="B155" i="8"/>
  <c r="B156" i="8" s="1"/>
  <c r="B157" i="8" s="1"/>
  <c r="B158" i="8" s="1"/>
  <c r="B159" i="8" s="1"/>
  <c r="B160" i="8" s="1"/>
  <c r="B161" i="8" s="1"/>
  <c r="B162" i="8" s="1"/>
  <c r="B163" i="8" s="1"/>
  <c r="B164" i="8" s="1"/>
  <c r="B165" i="8" s="1"/>
  <c r="B166" i="8" s="1"/>
  <c r="B167" i="8" s="1"/>
  <c r="B168" i="8" s="1"/>
  <c r="B169" i="8" s="1"/>
  <c r="B170" i="8" s="1"/>
  <c r="B171" i="8" s="1"/>
  <c r="B172" i="8" s="1"/>
  <c r="B173" i="8" s="1"/>
  <c r="B174" i="8" s="1"/>
  <c r="B153" i="8"/>
  <c r="B152" i="8"/>
  <c r="B124" i="8"/>
  <c r="B125" i="8" s="1"/>
  <c r="B126" i="8" s="1"/>
  <c r="B127" i="8" s="1"/>
  <c r="B128" i="8" s="1"/>
  <c r="B129" i="8" s="1"/>
  <c r="B130" i="8" s="1"/>
  <c r="B131" i="8" s="1"/>
  <c r="B132" i="8" s="1"/>
  <c r="B133" i="8" s="1"/>
  <c r="B134" i="8" s="1"/>
  <c r="B135" i="8" s="1"/>
  <c r="B136" i="8" s="1"/>
  <c r="B137" i="8" s="1"/>
  <c r="B138" i="8" s="1"/>
  <c r="B139" i="8" s="1"/>
  <c r="B140" i="8" s="1"/>
  <c r="B141" i="8" s="1"/>
  <c r="B142" i="8" s="1"/>
  <c r="B123" i="8"/>
  <c r="B121" i="8"/>
  <c r="B120" i="8"/>
  <c r="B91" i="8"/>
  <c r="B92" i="8" s="1"/>
  <c r="B93" i="8" s="1"/>
  <c r="B94" i="8" s="1"/>
  <c r="B95" i="8" s="1"/>
  <c r="B96" i="8" s="1"/>
  <c r="B97" i="8" s="1"/>
  <c r="B98" i="8" s="1"/>
  <c r="B99" i="8" s="1"/>
  <c r="B100" i="8" s="1"/>
  <c r="B101" i="8" s="1"/>
  <c r="B102" i="8" s="1"/>
  <c r="B103" i="8" s="1"/>
  <c r="B104" i="8" s="1"/>
  <c r="B105" i="8" s="1"/>
  <c r="B106" i="8" s="1"/>
  <c r="B107" i="8" s="1"/>
  <c r="B108" i="8" s="1"/>
  <c r="B109" i="8" s="1"/>
  <c r="B110" i="8" s="1"/>
  <c r="B89" i="8"/>
  <c r="B88" i="8"/>
  <c r="B59" i="8"/>
  <c r="B60" i="8" s="1"/>
  <c r="B61" i="8" s="1"/>
  <c r="B62" i="8" s="1"/>
  <c r="B63" i="8" s="1"/>
  <c r="B64" i="8" s="1"/>
  <c r="B65" i="8" s="1"/>
  <c r="B66" i="8" s="1"/>
  <c r="B67" i="8" s="1"/>
  <c r="B68" i="8" s="1"/>
  <c r="B69" i="8" s="1"/>
  <c r="B70" i="8" s="1"/>
  <c r="B71" i="8" s="1"/>
  <c r="B72" i="8" s="1"/>
  <c r="B73" i="8" s="1"/>
  <c r="B74" i="8" s="1"/>
  <c r="B75" i="8" s="1"/>
  <c r="B76" i="8" s="1"/>
  <c r="B77" i="8" s="1"/>
  <c r="B78" i="8" s="1"/>
  <c r="B57" i="8"/>
  <c r="B56" i="8"/>
  <c r="AF23" i="19"/>
  <c r="AG23" i="19"/>
  <c r="AH23" i="19"/>
  <c r="AI23" i="19"/>
  <c r="AJ23" i="19"/>
  <c r="AF53" i="19"/>
  <c r="AG53" i="19"/>
  <c r="AH53" i="19"/>
  <c r="AI53" i="19"/>
  <c r="AJ53" i="19"/>
  <c r="P189" i="19"/>
  <c r="P190" i="19" s="1"/>
  <c r="P191" i="19" s="1"/>
  <c r="P192" i="19" s="1"/>
  <c r="P193" i="19" s="1"/>
  <c r="P194" i="19" s="1"/>
  <c r="P195" i="19" s="1"/>
  <c r="P196" i="19" s="1"/>
  <c r="P197" i="19" s="1"/>
  <c r="P198" i="19" s="1"/>
  <c r="P199" i="19" s="1"/>
  <c r="P200" i="19" s="1"/>
  <c r="P201" i="19" s="1"/>
  <c r="P202" i="19" s="1"/>
  <c r="P203" i="19" s="1"/>
  <c r="P204" i="19" s="1"/>
  <c r="P205" i="19" s="1"/>
  <c r="P206" i="19" s="1"/>
  <c r="P207" i="19" s="1"/>
  <c r="P208" i="19" s="1"/>
  <c r="B189" i="19"/>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P187" i="19"/>
  <c r="B187" i="19"/>
  <c r="P186" i="19"/>
  <c r="B186" i="19"/>
  <c r="P157" i="19"/>
  <c r="P158" i="19" s="1"/>
  <c r="P159" i="19" s="1"/>
  <c r="P160" i="19" s="1"/>
  <c r="P161" i="19" s="1"/>
  <c r="P162" i="19" s="1"/>
  <c r="P163" i="19" s="1"/>
  <c r="P164" i="19" s="1"/>
  <c r="P165" i="19" s="1"/>
  <c r="P166" i="19" s="1"/>
  <c r="P167" i="19" s="1"/>
  <c r="P168" i="19" s="1"/>
  <c r="P169" i="19" s="1"/>
  <c r="P170" i="19" s="1"/>
  <c r="P171" i="19" s="1"/>
  <c r="P172" i="19" s="1"/>
  <c r="P173" i="19" s="1"/>
  <c r="P174" i="19" s="1"/>
  <c r="P175" i="19" s="1"/>
  <c r="P176" i="19" s="1"/>
  <c r="B157" i="19"/>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P155" i="19"/>
  <c r="B155" i="19"/>
  <c r="P154" i="19"/>
  <c r="B154" i="19"/>
  <c r="P125" i="19"/>
  <c r="P126" i="19" s="1"/>
  <c r="P127" i="19" s="1"/>
  <c r="P128" i="19" s="1"/>
  <c r="P129" i="19" s="1"/>
  <c r="P130" i="19" s="1"/>
  <c r="P131" i="19" s="1"/>
  <c r="P132" i="19" s="1"/>
  <c r="P133" i="19" s="1"/>
  <c r="P134" i="19" s="1"/>
  <c r="P135" i="19" s="1"/>
  <c r="P136" i="19" s="1"/>
  <c r="P137" i="19" s="1"/>
  <c r="P138" i="19" s="1"/>
  <c r="P139" i="19" s="1"/>
  <c r="P140" i="19" s="1"/>
  <c r="P141" i="19" s="1"/>
  <c r="P142" i="19" s="1"/>
  <c r="P143" i="19" s="1"/>
  <c r="P144" i="19" s="1"/>
  <c r="B125" i="19"/>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P123" i="19"/>
  <c r="B123" i="19"/>
  <c r="P122" i="19"/>
  <c r="B122" i="19"/>
  <c r="P93" i="19"/>
  <c r="P94" i="19" s="1"/>
  <c r="P95" i="19" s="1"/>
  <c r="P96" i="19" s="1"/>
  <c r="P97" i="19" s="1"/>
  <c r="P98" i="19" s="1"/>
  <c r="P99" i="19" s="1"/>
  <c r="P100" i="19" s="1"/>
  <c r="P101" i="19" s="1"/>
  <c r="P102" i="19" s="1"/>
  <c r="P103" i="19" s="1"/>
  <c r="P104" i="19" s="1"/>
  <c r="P105" i="19" s="1"/>
  <c r="P106" i="19" s="1"/>
  <c r="P107" i="19" s="1"/>
  <c r="P108" i="19" s="1"/>
  <c r="P109" i="19" s="1"/>
  <c r="P110" i="19" s="1"/>
  <c r="P111" i="19" s="1"/>
  <c r="P112" i="19" s="1"/>
  <c r="B93" i="19"/>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P91" i="19"/>
  <c r="B91" i="19"/>
  <c r="P90" i="19"/>
  <c r="B90" i="19"/>
  <c r="P61" i="19"/>
  <c r="P62" i="19" s="1"/>
  <c r="P63" i="19" s="1"/>
  <c r="P64" i="19" s="1"/>
  <c r="P65" i="19" s="1"/>
  <c r="P66" i="19" s="1"/>
  <c r="P67" i="19" s="1"/>
  <c r="P68" i="19" s="1"/>
  <c r="P69" i="19" s="1"/>
  <c r="P70" i="19" s="1"/>
  <c r="P71" i="19" s="1"/>
  <c r="P72" i="19" s="1"/>
  <c r="P73" i="19" s="1"/>
  <c r="P74" i="19" s="1"/>
  <c r="P75" i="19" s="1"/>
  <c r="P76" i="19" s="1"/>
  <c r="P77" i="19" s="1"/>
  <c r="P78" i="19" s="1"/>
  <c r="P79" i="19" s="1"/>
  <c r="P80" i="19" s="1"/>
  <c r="B61" i="19"/>
  <c r="B62" i="19" s="1"/>
  <c r="B63" i="19" s="1"/>
  <c r="B64" i="19" s="1"/>
  <c r="B65" i="19" s="1"/>
  <c r="B66" i="19" s="1"/>
  <c r="B67" i="19" s="1"/>
  <c r="B68" i="19" s="1"/>
  <c r="B69" i="19" s="1"/>
  <c r="B70" i="19" s="1"/>
  <c r="B71" i="19" s="1"/>
  <c r="B72" i="19" s="1"/>
  <c r="B73" i="19" s="1"/>
  <c r="B74" i="19" s="1"/>
  <c r="B75" i="19" s="1"/>
  <c r="B76" i="19" s="1"/>
  <c r="B77" i="19" s="1"/>
  <c r="B78" i="19" s="1"/>
  <c r="B79" i="19" s="1"/>
  <c r="B80" i="19" s="1"/>
  <c r="P59" i="19"/>
  <c r="B59" i="19"/>
  <c r="P58" i="19"/>
  <c r="B58" i="19"/>
  <c r="X21" i="7"/>
  <c r="Y21" i="7"/>
  <c r="Z21" i="7"/>
  <c r="AA21" i="7"/>
  <c r="AB21" i="7"/>
  <c r="X55" i="7"/>
  <c r="Y55" i="7"/>
  <c r="Z55" i="7"/>
  <c r="AA55" i="7"/>
  <c r="AB55" i="7"/>
  <c r="B187" i="7"/>
  <c r="B188" i="7" s="1"/>
  <c r="B189" i="7" s="1"/>
  <c r="B190" i="7" s="1"/>
  <c r="B191" i="7" s="1"/>
  <c r="B192" i="7" s="1"/>
  <c r="B193" i="7" s="1"/>
  <c r="B194" i="7" s="1"/>
  <c r="B195" i="7" s="1"/>
  <c r="B196" i="7" s="1"/>
  <c r="B197" i="7" s="1"/>
  <c r="B198" i="7" s="1"/>
  <c r="B199" i="7" s="1"/>
  <c r="B200" i="7" s="1"/>
  <c r="B201" i="7" s="1"/>
  <c r="B202" i="7" s="1"/>
  <c r="B203" i="7" s="1"/>
  <c r="B204" i="7" s="1"/>
  <c r="B205" i="7" s="1"/>
  <c r="B206" i="7" s="1"/>
  <c r="B185" i="7"/>
  <c r="B184" i="7"/>
  <c r="B155" i="7"/>
  <c r="B156" i="7" s="1"/>
  <c r="B157" i="7" s="1"/>
  <c r="B158" i="7" s="1"/>
  <c r="B159" i="7" s="1"/>
  <c r="B160" i="7" s="1"/>
  <c r="B161" i="7" s="1"/>
  <c r="B162" i="7" s="1"/>
  <c r="B163" i="7" s="1"/>
  <c r="B164" i="7" s="1"/>
  <c r="B165" i="7" s="1"/>
  <c r="B166" i="7" s="1"/>
  <c r="B167" i="7" s="1"/>
  <c r="B168" i="7" s="1"/>
  <c r="B169" i="7" s="1"/>
  <c r="B170" i="7" s="1"/>
  <c r="B171" i="7" s="1"/>
  <c r="B172" i="7" s="1"/>
  <c r="B173" i="7" s="1"/>
  <c r="B174" i="7" s="1"/>
  <c r="B153" i="7"/>
  <c r="B152" i="7"/>
  <c r="B123" i="7"/>
  <c r="B124" i="7" s="1"/>
  <c r="B125" i="7" s="1"/>
  <c r="B126" i="7" s="1"/>
  <c r="B127" i="7" s="1"/>
  <c r="B128" i="7" s="1"/>
  <c r="B129" i="7" s="1"/>
  <c r="B130" i="7" s="1"/>
  <c r="B131" i="7" s="1"/>
  <c r="B132" i="7" s="1"/>
  <c r="B133" i="7" s="1"/>
  <c r="B134" i="7" s="1"/>
  <c r="B135" i="7" s="1"/>
  <c r="B136" i="7" s="1"/>
  <c r="B137" i="7" s="1"/>
  <c r="B138" i="7" s="1"/>
  <c r="B139" i="7" s="1"/>
  <c r="B140" i="7" s="1"/>
  <c r="B141" i="7" s="1"/>
  <c r="B142" i="7" s="1"/>
  <c r="B121" i="7"/>
  <c r="B120" i="7"/>
  <c r="B92" i="7"/>
  <c r="B93" i="7" s="1"/>
  <c r="B94" i="7" s="1"/>
  <c r="B95" i="7" s="1"/>
  <c r="B96" i="7" s="1"/>
  <c r="B97" i="7" s="1"/>
  <c r="B98" i="7" s="1"/>
  <c r="B99" i="7" s="1"/>
  <c r="B100" i="7" s="1"/>
  <c r="B101" i="7" s="1"/>
  <c r="B102" i="7" s="1"/>
  <c r="B103" i="7" s="1"/>
  <c r="B104" i="7" s="1"/>
  <c r="B105" i="7" s="1"/>
  <c r="B106" i="7" s="1"/>
  <c r="B107" i="7" s="1"/>
  <c r="B108" i="7" s="1"/>
  <c r="B109" i="7" s="1"/>
  <c r="B110" i="7" s="1"/>
  <c r="B91" i="7"/>
  <c r="B89" i="7"/>
  <c r="B88" i="7"/>
  <c r="B59" i="7"/>
  <c r="B60" i="7" s="1"/>
  <c r="B61" i="7" s="1"/>
  <c r="B62" i="7" s="1"/>
  <c r="B63" i="7" s="1"/>
  <c r="B64" i="7" s="1"/>
  <c r="B65" i="7" s="1"/>
  <c r="B66" i="7" s="1"/>
  <c r="B67" i="7" s="1"/>
  <c r="B68" i="7" s="1"/>
  <c r="B69" i="7" s="1"/>
  <c r="B70" i="7" s="1"/>
  <c r="B71" i="7" s="1"/>
  <c r="B72" i="7" s="1"/>
  <c r="B73" i="7" s="1"/>
  <c r="B74" i="7" s="1"/>
  <c r="B75" i="7" s="1"/>
  <c r="B76" i="7" s="1"/>
  <c r="B77" i="7" s="1"/>
  <c r="B78" i="7" s="1"/>
  <c r="B57" i="7"/>
  <c r="B56" i="7"/>
  <c r="V51" i="5"/>
  <c r="W51" i="5"/>
  <c r="X51" i="5"/>
  <c r="Y51" i="5"/>
  <c r="Z51" i="5"/>
  <c r="F51" i="5"/>
  <c r="G51" i="5"/>
  <c r="H51" i="5"/>
  <c r="I51" i="5"/>
  <c r="J51" i="5"/>
  <c r="E46" i="5"/>
  <c r="L46" i="5"/>
  <c r="M46" i="5"/>
  <c r="N46" i="5"/>
  <c r="U46" i="5"/>
  <c r="AB46" i="5"/>
  <c r="AC46" i="5"/>
  <c r="AD46" i="5"/>
  <c r="E47" i="5"/>
  <c r="L47" i="5"/>
  <c r="M47" i="5"/>
  <c r="N47" i="5"/>
  <c r="U47" i="5"/>
  <c r="AB47" i="5"/>
  <c r="AC47" i="5"/>
  <c r="AD47" i="5"/>
  <c r="E48" i="5"/>
  <c r="L48" i="5"/>
  <c r="M48" i="5"/>
  <c r="N48" i="5"/>
  <c r="U48" i="5"/>
  <c r="AB48" i="5"/>
  <c r="AC48" i="5"/>
  <c r="AD48" i="5"/>
  <c r="E49" i="5"/>
  <c r="L49" i="5"/>
  <c r="M49" i="5"/>
  <c r="N49" i="5"/>
  <c r="U49" i="5"/>
  <c r="AB49" i="5"/>
  <c r="AC49" i="5"/>
  <c r="AD49" i="5"/>
  <c r="E50" i="5"/>
  <c r="L50" i="5"/>
  <c r="M50" i="5"/>
  <c r="N50" i="5"/>
  <c r="U50" i="5"/>
  <c r="AB50" i="5"/>
  <c r="AC50" i="5"/>
  <c r="AD50" i="5"/>
  <c r="V40" i="5"/>
  <c r="W40" i="5"/>
  <c r="X40" i="5"/>
  <c r="Y40" i="5"/>
  <c r="Z40" i="5"/>
  <c r="F40" i="5"/>
  <c r="G40" i="5"/>
  <c r="H40" i="5"/>
  <c r="I40" i="5"/>
  <c r="J40" i="5"/>
  <c r="E35" i="5"/>
  <c r="C170" i="18" s="1"/>
  <c r="L35" i="5"/>
  <c r="M35" i="5"/>
  <c r="N35" i="5"/>
  <c r="U35" i="5"/>
  <c r="AB35" i="5"/>
  <c r="AC35" i="5"/>
  <c r="AD35" i="5"/>
  <c r="E36" i="5"/>
  <c r="C171" i="18" s="1"/>
  <c r="L36" i="5"/>
  <c r="M36" i="5"/>
  <c r="N36" i="5"/>
  <c r="U36" i="5"/>
  <c r="AB36" i="5"/>
  <c r="AC36" i="5"/>
  <c r="AD36" i="5"/>
  <c r="E37" i="5"/>
  <c r="C172" i="18" s="1"/>
  <c r="L37" i="5"/>
  <c r="M37" i="5"/>
  <c r="N37" i="5"/>
  <c r="U37" i="5"/>
  <c r="AB37" i="5"/>
  <c r="AC37" i="5"/>
  <c r="AD37" i="5"/>
  <c r="E38" i="5"/>
  <c r="C173" i="18" s="1"/>
  <c r="L38" i="5"/>
  <c r="M38" i="5"/>
  <c r="N38" i="5"/>
  <c r="U38" i="5"/>
  <c r="AB38" i="5"/>
  <c r="AC38" i="5"/>
  <c r="AD38" i="5"/>
  <c r="E39" i="5"/>
  <c r="C174" i="18" s="1"/>
  <c r="L39" i="5"/>
  <c r="M39" i="5"/>
  <c r="N39" i="5"/>
  <c r="U39" i="5"/>
  <c r="AB39" i="5"/>
  <c r="AC39" i="5"/>
  <c r="AD39" i="5"/>
  <c r="T12" i="5"/>
  <c r="T13" i="5"/>
  <c r="T14" i="5"/>
  <c r="T15" i="5"/>
  <c r="T16" i="5"/>
  <c r="BA40" i="5"/>
  <c r="AM40" i="5"/>
  <c r="AK35" i="5"/>
  <c r="AQ35" i="5"/>
  <c r="AR35" i="5"/>
  <c r="AS35" i="5"/>
  <c r="AZ35" i="5"/>
  <c r="BB35" i="5"/>
  <c r="BE35" i="5" s="1"/>
  <c r="BC35" i="5"/>
  <c r="BF35" i="5" s="1"/>
  <c r="BD35" i="5"/>
  <c r="BG35" i="5" s="1"/>
  <c r="AK36" i="5"/>
  <c r="AQ36" i="5"/>
  <c r="AR36" i="5"/>
  <c r="AS36" i="5"/>
  <c r="AZ36" i="5"/>
  <c r="BB36" i="5"/>
  <c r="BE36" i="5" s="1"/>
  <c r="BC36" i="5"/>
  <c r="BF36" i="5" s="1"/>
  <c r="BD36" i="5"/>
  <c r="BG36" i="5" s="1"/>
  <c r="AK37" i="5"/>
  <c r="AQ37" i="5"/>
  <c r="AR37" i="5"/>
  <c r="AS37" i="5"/>
  <c r="AZ37" i="5"/>
  <c r="BB37" i="5"/>
  <c r="BE37" i="5" s="1"/>
  <c r="BC37" i="5"/>
  <c r="BF37" i="5" s="1"/>
  <c r="BD37" i="5"/>
  <c r="BG37" i="5" s="1"/>
  <c r="AK38" i="5"/>
  <c r="AQ38" i="5"/>
  <c r="AR38" i="5"/>
  <c r="AS38" i="5"/>
  <c r="AZ38" i="5"/>
  <c r="BB38" i="5"/>
  <c r="BE38" i="5" s="1"/>
  <c r="BC38" i="5"/>
  <c r="BF38" i="5" s="1"/>
  <c r="BD38" i="5"/>
  <c r="BG38" i="5" s="1"/>
  <c r="AK39" i="5"/>
  <c r="AQ39" i="5"/>
  <c r="AR39" i="5"/>
  <c r="AS39" i="5"/>
  <c r="AZ39" i="5"/>
  <c r="BB39" i="5"/>
  <c r="BE39" i="5" s="1"/>
  <c r="BC39" i="5"/>
  <c r="BF39" i="5" s="1"/>
  <c r="BD39" i="5"/>
  <c r="BG39" i="5" s="1"/>
  <c r="BA51" i="5"/>
  <c r="AM51" i="5"/>
  <c r="AK46" i="5"/>
  <c r="AN46" i="5"/>
  <c r="AQ46" i="5" s="1"/>
  <c r="AO46" i="5"/>
  <c r="AR46" i="5" s="1"/>
  <c r="AP46" i="5"/>
  <c r="AS46" i="5" s="1"/>
  <c r="AZ46" i="5"/>
  <c r="BB46" i="5"/>
  <c r="BE46" i="5" s="1"/>
  <c r="AK47" i="5"/>
  <c r="AN47" i="5"/>
  <c r="AQ47" i="5" s="1"/>
  <c r="AO47" i="5"/>
  <c r="AR47" i="5" s="1"/>
  <c r="AP47" i="5"/>
  <c r="AS47" i="5" s="1"/>
  <c r="AZ47" i="5"/>
  <c r="BD47" i="5"/>
  <c r="BG47" i="5" s="1"/>
  <c r="AK48" i="5"/>
  <c r="AN48" i="5"/>
  <c r="AQ48" i="5" s="1"/>
  <c r="AO48" i="5"/>
  <c r="AR48" i="5" s="1"/>
  <c r="AP48" i="5"/>
  <c r="AS48" i="5" s="1"/>
  <c r="AZ48" i="5"/>
  <c r="BB48" i="5"/>
  <c r="BE48" i="5" s="1"/>
  <c r="AK49" i="5"/>
  <c r="AN49" i="5"/>
  <c r="AQ49" i="5" s="1"/>
  <c r="AO49" i="5"/>
  <c r="AR49" i="5" s="1"/>
  <c r="AP49" i="5"/>
  <c r="AS49" i="5" s="1"/>
  <c r="AZ49" i="5"/>
  <c r="BC49" i="5"/>
  <c r="BF49" i="5" s="1"/>
  <c r="AK50" i="5"/>
  <c r="AN50" i="5"/>
  <c r="AQ50" i="5" s="1"/>
  <c r="AO50" i="5"/>
  <c r="AR50" i="5" s="1"/>
  <c r="AP50" i="5"/>
  <c r="AS50" i="5" s="1"/>
  <c r="AZ50" i="5"/>
  <c r="BB50" i="5"/>
  <c r="BE50" i="5" s="1"/>
  <c r="BD50" i="5"/>
  <c r="BG50" i="5" s="1"/>
  <c r="CE40" i="5"/>
  <c r="CD40" i="5"/>
  <c r="BQ40" i="5"/>
  <c r="BP40" i="5"/>
  <c r="BO35" i="5"/>
  <c r="BS35" i="5"/>
  <c r="CA35" i="5"/>
  <c r="CG35" i="5"/>
  <c r="BO36" i="5"/>
  <c r="BS36" i="5"/>
  <c r="CA36" i="5"/>
  <c r="CG36" i="5"/>
  <c r="BO37" i="5"/>
  <c r="BS37" i="5"/>
  <c r="CA37" i="5"/>
  <c r="CG37" i="5"/>
  <c r="BO38" i="5"/>
  <c r="BS38" i="5"/>
  <c r="CA38" i="5"/>
  <c r="CG38" i="5"/>
  <c r="BO39" i="5"/>
  <c r="BS39" i="5"/>
  <c r="CA39" i="5"/>
  <c r="CG39" i="5"/>
  <c r="CE51" i="5"/>
  <c r="CD51" i="5"/>
  <c r="BQ51" i="5"/>
  <c r="BP51" i="5"/>
  <c r="BO46" i="5"/>
  <c r="BS46" i="5"/>
  <c r="CA46" i="5"/>
  <c r="BO47" i="5"/>
  <c r="BS47" i="5"/>
  <c r="CA47" i="5"/>
  <c r="BO48" i="5"/>
  <c r="BS48" i="5"/>
  <c r="CA48" i="5"/>
  <c r="BO49" i="5"/>
  <c r="BS49" i="5"/>
  <c r="CA49" i="5"/>
  <c r="BO50" i="5"/>
  <c r="BS50" i="5"/>
  <c r="CA50" i="5"/>
  <c r="CF12" i="5"/>
  <c r="BT35" i="5" s="1"/>
  <c r="CM12" i="5"/>
  <c r="BT46" i="5" s="1"/>
  <c r="CU12" i="5"/>
  <c r="CW12" i="5"/>
  <c r="CY12" i="5" s="1"/>
  <c r="DG12" i="5"/>
  <c r="DI12" i="5"/>
  <c r="CF13" i="5"/>
  <c r="BT36" i="5" s="1"/>
  <c r="CM13" i="5"/>
  <c r="BT47" i="5" s="1"/>
  <c r="CU13" i="5"/>
  <c r="CW13" i="5"/>
  <c r="CY13" i="5"/>
  <c r="DG13" i="5"/>
  <c r="DI13" i="5"/>
  <c r="CF14" i="5"/>
  <c r="BT37" i="5" s="1"/>
  <c r="CM14" i="5"/>
  <c r="CU14" i="5"/>
  <c r="CW14" i="5"/>
  <c r="CY14" i="5"/>
  <c r="DG14" i="5"/>
  <c r="DI14" i="5" s="1"/>
  <c r="CF15" i="5"/>
  <c r="BT38" i="5" s="1"/>
  <c r="CM15" i="5"/>
  <c r="BT49" i="5" s="1"/>
  <c r="CU15" i="5"/>
  <c r="CW15" i="5"/>
  <c r="CY15" i="5"/>
  <c r="DG15" i="5"/>
  <c r="DI15" i="5"/>
  <c r="CF16" i="5"/>
  <c r="BT39" i="5" s="1"/>
  <c r="CM16" i="5"/>
  <c r="CU16" i="5"/>
  <c r="CW16" i="5"/>
  <c r="CY16" i="5" s="1"/>
  <c r="DG16" i="5"/>
  <c r="DI16" i="5" s="1"/>
  <c r="Y17" i="4"/>
  <c r="Y16" i="4"/>
  <c r="Y15" i="4"/>
  <c r="W17" i="4"/>
  <c r="W16" i="4"/>
  <c r="W15" i="4"/>
  <c r="AE53" i="19"/>
  <c r="AE23" i="19"/>
  <c r="V129" i="16"/>
  <c r="V95" i="16"/>
  <c r="V61" i="16"/>
  <c r="BT50" i="5" l="1"/>
  <c r="CH50" i="5"/>
  <c r="CH49" i="5"/>
  <c r="BT48" i="5"/>
  <c r="CH48" i="5"/>
  <c r="CH47" i="5"/>
  <c r="CH46" i="5"/>
  <c r="BD46" i="5"/>
  <c r="BG46" i="5" s="1"/>
  <c r="BD48" i="5"/>
  <c r="BG48" i="5" s="1"/>
  <c r="BD49" i="5"/>
  <c r="BG49" i="5" s="1"/>
  <c r="BC46" i="5"/>
  <c r="BF46" i="5" s="1"/>
  <c r="BC47" i="5"/>
  <c r="BF47" i="5" s="1"/>
  <c r="BC48" i="5"/>
  <c r="BF48" i="5" s="1"/>
  <c r="BB47" i="5"/>
  <c r="BE47" i="5" s="1"/>
  <c r="CH39" i="5"/>
  <c r="CH37" i="5"/>
  <c r="CH35" i="5"/>
  <c r="BC50" i="5"/>
  <c r="BF50" i="5" s="1"/>
  <c r="CH38" i="5"/>
  <c r="CH36" i="5"/>
  <c r="BB49" i="5"/>
  <c r="BE49" i="5" s="1"/>
  <c r="L174" i="18"/>
  <c r="L173" i="18"/>
  <c r="L172" i="18"/>
  <c r="L171" i="18"/>
  <c r="L170" i="18"/>
  <c r="H174" i="18"/>
  <c r="H173" i="18"/>
  <c r="H172" i="18"/>
  <c r="H171" i="18"/>
  <c r="H170" i="18"/>
  <c r="O160" i="18"/>
  <c r="C160" i="18"/>
  <c r="O159" i="18"/>
  <c r="C159" i="18"/>
  <c r="O158" i="18"/>
  <c r="C158" i="18"/>
  <c r="O157" i="18"/>
  <c r="C157" i="18"/>
  <c r="B117" i="18"/>
  <c r="B84" i="18"/>
  <c r="B51" i="18"/>
  <c r="B18" i="18"/>
  <c r="E79" i="22"/>
  <c r="E78" i="22"/>
  <c r="E77" i="22"/>
  <c r="E68" i="22"/>
  <c r="BC66" i="22" s="1"/>
  <c r="AZ66" i="22"/>
  <c r="E66" i="22"/>
  <c r="E65" i="22"/>
  <c r="E64" i="22"/>
  <c r="U63" i="22"/>
  <c r="U62" i="22"/>
  <c r="E61" i="22"/>
  <c r="E55" i="22"/>
  <c r="E54" i="22"/>
  <c r="BC52" i="22"/>
  <c r="BB52" i="22"/>
  <c r="BA52" i="22"/>
  <c r="AZ52" i="22"/>
  <c r="BJ51" i="22"/>
  <c r="BI51" i="22"/>
  <c r="BC51" i="22"/>
  <c r="BB51" i="22"/>
  <c r="BA51" i="22"/>
  <c r="AZ51" i="22"/>
  <c r="BC50" i="22"/>
  <c r="BB50" i="22"/>
  <c r="BA50" i="22"/>
  <c r="AZ50" i="22"/>
  <c r="CS48" i="22"/>
  <c r="U44" i="22"/>
  <c r="E38" i="22"/>
  <c r="E51" i="22" s="1"/>
  <c r="E37" i="22"/>
  <c r="E50" i="22" s="1"/>
  <c r="BJ26" i="22"/>
  <c r="BI26" i="22"/>
  <c r="BH26" i="22"/>
  <c r="BI52" i="22" s="1"/>
  <c r="E22" i="22"/>
  <c r="E23" i="22" s="1"/>
  <c r="E27" i="22" s="1"/>
  <c r="DY19" i="22"/>
  <c r="DX19" i="22"/>
  <c r="E19" i="22"/>
  <c r="E29" i="22" s="1"/>
  <c r="DY18" i="22"/>
  <c r="DX18" i="22"/>
  <c r="CV14" i="22"/>
  <c r="CU14" i="22"/>
  <c r="CT14" i="22"/>
  <c r="CS14" i="22"/>
  <c r="CR14" i="22"/>
  <c r="CQ14" i="22"/>
  <c r="BC14" i="22"/>
  <c r="BB14" i="22"/>
  <c r="BA14" i="22"/>
  <c r="AZ14" i="22"/>
  <c r="CV13" i="22"/>
  <c r="CU13" i="22"/>
  <c r="CT13" i="22"/>
  <c r="CS13" i="22"/>
  <c r="CR13" i="22"/>
  <c r="CQ13" i="22"/>
  <c r="BC13" i="22"/>
  <c r="BB13" i="22"/>
  <c r="BA13" i="22"/>
  <c r="AZ13" i="22"/>
  <c r="CV12" i="22"/>
  <c r="CU12" i="22"/>
  <c r="CT12" i="22"/>
  <c r="CS12" i="22"/>
  <c r="CR12" i="22"/>
  <c r="CQ12" i="22"/>
  <c r="BC12" i="22"/>
  <c r="BB12" i="22"/>
  <c r="BA12" i="22"/>
  <c r="AZ12" i="22"/>
  <c r="BA64" i="22" l="1"/>
  <c r="BH27" i="22"/>
  <c r="BJ52" i="22" s="1"/>
  <c r="BK26" i="22"/>
  <c r="BC65" i="22"/>
  <c r="E26" i="22"/>
  <c r="U38" i="22" s="1"/>
  <c r="BB64" i="22"/>
  <c r="R171" i="18"/>
  <c r="S171" i="18"/>
  <c r="W171" i="18"/>
  <c r="X171" i="18"/>
  <c r="R172" i="18"/>
  <c r="S172" i="18"/>
  <c r="W172" i="18"/>
  <c r="X172" i="18"/>
  <c r="R173" i="18"/>
  <c r="S173" i="18"/>
  <c r="W173" i="18"/>
  <c r="X173" i="18"/>
  <c r="R174" i="18"/>
  <c r="S174" i="18"/>
  <c r="W174" i="18"/>
  <c r="X174" i="18"/>
  <c r="P170" i="18"/>
  <c r="Q170" i="18"/>
  <c r="U170" i="18"/>
  <c r="V170" i="18"/>
  <c r="P171" i="18"/>
  <c r="Q171" i="18"/>
  <c r="U171" i="18"/>
  <c r="V171" i="18"/>
  <c r="P172" i="18"/>
  <c r="Q172" i="18"/>
  <c r="U172" i="18"/>
  <c r="V172" i="18"/>
  <c r="P173" i="18"/>
  <c r="Q173" i="18"/>
  <c r="U173" i="18"/>
  <c r="V173" i="18"/>
  <c r="R170" i="18"/>
  <c r="S170" i="18"/>
  <c r="W170" i="18"/>
  <c r="X170" i="18"/>
  <c r="P174" i="18"/>
  <c r="Q174" i="18"/>
  <c r="U174" i="18"/>
  <c r="V174" i="18"/>
  <c r="BJ27" i="22"/>
  <c r="BJ39" i="22" s="1"/>
  <c r="BC64" i="22"/>
  <c r="BC67" i="22" s="1"/>
  <c r="BA66" i="22"/>
  <c r="BK27" i="22"/>
  <c r="BB66" i="22"/>
  <c r="E73" i="22" s="1"/>
  <c r="E28" i="22"/>
  <c r="U37" i="22"/>
  <c r="AZ65" i="22"/>
  <c r="E72" i="22" s="1"/>
  <c r="BA65" i="22"/>
  <c r="BB65" i="22"/>
  <c r="AZ64" i="22"/>
  <c r="E71" i="22" s="1"/>
  <c r="BI27" i="22"/>
  <c r="BI39" i="22" s="1"/>
  <c r="BK39" i="22" l="1"/>
  <c r="BB67" i="22"/>
  <c r="BA67" i="22"/>
  <c r="BH39" i="22"/>
  <c r="AZ67" i="22"/>
  <c r="E74" i="22" l="1"/>
  <c r="CU11" i="5"/>
  <c r="CG34" i="5" l="1"/>
  <c r="BS45" i="5"/>
  <c r="BS34" i="5"/>
  <c r="CA45" i="5"/>
  <c r="CA34" i="5"/>
  <c r="BO45" i="5"/>
  <c r="BO34" i="5"/>
  <c r="AK34" i="5"/>
  <c r="AD56" i="19" l="1"/>
  <c r="AD57" i="19" s="1"/>
  <c r="AD58" i="19" s="1"/>
  <c r="AD59" i="19" s="1"/>
  <c r="AD60" i="19" s="1"/>
  <c r="AD61" i="19" s="1"/>
  <c r="AD62" i="19" s="1"/>
  <c r="AD63" i="19" s="1"/>
  <c r="AD64" i="19" s="1"/>
  <c r="AD65" i="19" s="1"/>
  <c r="AD66" i="19" s="1"/>
  <c r="AD67" i="19" s="1"/>
  <c r="AD68" i="19" s="1"/>
  <c r="AD69" i="19" s="1"/>
  <c r="AD70" i="19" s="1"/>
  <c r="AD71" i="19" s="1"/>
  <c r="AD72" i="19" s="1"/>
  <c r="AD73" i="19" s="1"/>
  <c r="AD74" i="19" s="1"/>
  <c r="AD75" i="19" s="1"/>
  <c r="AD26" i="19"/>
  <c r="AD27" i="19" s="1"/>
  <c r="AD28" i="19" s="1"/>
  <c r="AD29" i="19" s="1"/>
  <c r="AD30" i="19" s="1"/>
  <c r="AD31" i="19" s="1"/>
  <c r="AD32" i="19" s="1"/>
  <c r="AD33" i="19" s="1"/>
  <c r="AD34" i="19" s="1"/>
  <c r="AD35" i="19" s="1"/>
  <c r="AD36" i="19" s="1"/>
  <c r="AD37" i="19" s="1"/>
  <c r="AD38" i="19" s="1"/>
  <c r="AD39" i="19" s="1"/>
  <c r="AD40" i="19" s="1"/>
  <c r="AD41" i="19" s="1"/>
  <c r="AD42" i="19" s="1"/>
  <c r="AD43" i="19" s="1"/>
  <c r="AD44" i="19" s="1"/>
  <c r="AD45" i="19" s="1"/>
  <c r="P29" i="19"/>
  <c r="P30" i="19" s="1"/>
  <c r="P31" i="19" s="1"/>
  <c r="P32" i="19" s="1"/>
  <c r="P33" i="19" s="1"/>
  <c r="P34" i="19" s="1"/>
  <c r="P35" i="19" s="1"/>
  <c r="P36" i="19" s="1"/>
  <c r="P37" i="19" s="1"/>
  <c r="P38" i="19" s="1"/>
  <c r="P39" i="19" s="1"/>
  <c r="P40" i="19" s="1"/>
  <c r="P41" i="19" s="1"/>
  <c r="P42" i="19" s="1"/>
  <c r="P43" i="19" s="1"/>
  <c r="P44" i="19" s="1"/>
  <c r="P45" i="19" s="1"/>
  <c r="P46" i="19" s="1"/>
  <c r="P47" i="19" s="1"/>
  <c r="P48" i="19" s="1"/>
  <c r="B29" i="19"/>
  <c r="B30" i="19" s="1"/>
  <c r="B31" i="19" s="1"/>
  <c r="B32" i="19" s="1"/>
  <c r="B33" i="19" s="1"/>
  <c r="B34" i="19" s="1"/>
  <c r="B35" i="19" s="1"/>
  <c r="B36" i="19" s="1"/>
  <c r="B37" i="19" s="1"/>
  <c r="B38" i="19" s="1"/>
  <c r="B39" i="19" s="1"/>
  <c r="B40" i="19" s="1"/>
  <c r="B41" i="19" s="1"/>
  <c r="B42" i="19" s="1"/>
  <c r="B43" i="19" s="1"/>
  <c r="B44" i="19" s="1"/>
  <c r="B45" i="19" s="1"/>
  <c r="B46" i="19" s="1"/>
  <c r="B47" i="19" s="1"/>
  <c r="B48" i="19" s="1"/>
  <c r="O20" i="19"/>
  <c r="A20" i="19"/>
  <c r="DG11" i="5"/>
  <c r="CW11" i="5"/>
  <c r="A52" i="19" l="1"/>
  <c r="F27" i="19"/>
  <c r="H27" i="19" s="1"/>
  <c r="F26" i="19"/>
  <c r="H26" i="19" s="1"/>
  <c r="E27" i="19"/>
  <c r="G27" i="19" s="1"/>
  <c r="E26" i="19"/>
  <c r="G26" i="19" s="1"/>
  <c r="B20" i="19"/>
  <c r="O52" i="19"/>
  <c r="O84" i="19" s="1"/>
  <c r="T26" i="19"/>
  <c r="V26" i="19" s="1"/>
  <c r="T27" i="19"/>
  <c r="V27" i="19" s="1"/>
  <c r="S26" i="19"/>
  <c r="U26" i="19" s="1"/>
  <c r="S27" i="19"/>
  <c r="U27" i="19" s="1"/>
  <c r="P20" i="19"/>
  <c r="N13" i="4"/>
  <c r="N12" i="4"/>
  <c r="P84" i="19" l="1"/>
  <c r="T91" i="19"/>
  <c r="V91" i="19" s="1"/>
  <c r="X91" i="19" s="1"/>
  <c r="S91" i="19"/>
  <c r="U91" i="19" s="1"/>
  <c r="W91" i="19" s="1"/>
  <c r="R91" i="19"/>
  <c r="T90" i="19"/>
  <c r="Q91" i="19"/>
  <c r="S90" i="19"/>
  <c r="R90" i="19"/>
  <c r="Q90" i="19"/>
  <c r="C59" i="19"/>
  <c r="E58" i="19"/>
  <c r="D58" i="19"/>
  <c r="C58" i="19"/>
  <c r="B52" i="19"/>
  <c r="F59" i="19"/>
  <c r="H59" i="19" s="1"/>
  <c r="J59" i="19" s="1"/>
  <c r="E59" i="19"/>
  <c r="G59" i="19" s="1"/>
  <c r="I59" i="19" s="1"/>
  <c r="D59" i="19"/>
  <c r="F58" i="19"/>
  <c r="R58" i="19"/>
  <c r="Q58" i="19"/>
  <c r="P52" i="19"/>
  <c r="T59" i="19"/>
  <c r="V59" i="19" s="1"/>
  <c r="X59" i="19" s="1"/>
  <c r="S59" i="19"/>
  <c r="U59" i="19" s="1"/>
  <c r="W59" i="19" s="1"/>
  <c r="R59" i="19"/>
  <c r="T58" i="19"/>
  <c r="Q59" i="19"/>
  <c r="S58" i="19"/>
  <c r="O148" i="19"/>
  <c r="A84" i="19"/>
  <c r="O116" i="19"/>
  <c r="O180" i="19" s="1"/>
  <c r="AS55" i="10"/>
  <c r="AN55" i="10"/>
  <c r="AI55" i="10"/>
  <c r="S55" i="10"/>
  <c r="N55" i="10"/>
  <c r="I55" i="10"/>
  <c r="L59" i="19" l="1"/>
  <c r="Y59" i="19"/>
  <c r="Y91" i="19"/>
  <c r="T187" i="19"/>
  <c r="V187" i="19" s="1"/>
  <c r="X187" i="19" s="1"/>
  <c r="S187" i="19"/>
  <c r="U187" i="19" s="1"/>
  <c r="W187" i="19" s="1"/>
  <c r="R187" i="19"/>
  <c r="T186" i="19"/>
  <c r="Q186" i="19"/>
  <c r="P180" i="19"/>
  <c r="S186" i="19"/>
  <c r="R186" i="19"/>
  <c r="Q187" i="19"/>
  <c r="Z90" i="19"/>
  <c r="R109" i="19"/>
  <c r="R111" i="19"/>
  <c r="R110" i="19"/>
  <c r="R112" i="19"/>
  <c r="R106" i="19"/>
  <c r="R105" i="19"/>
  <c r="R104" i="19"/>
  <c r="R108" i="19"/>
  <c r="R97" i="19"/>
  <c r="R107" i="19"/>
  <c r="R99" i="19"/>
  <c r="R98" i="19"/>
  <c r="R102" i="19"/>
  <c r="R101" i="19"/>
  <c r="R103" i="19"/>
  <c r="R96" i="19"/>
  <c r="R93" i="19"/>
  <c r="R95" i="19"/>
  <c r="R94" i="19"/>
  <c r="R100" i="19"/>
  <c r="R63" i="19"/>
  <c r="R80" i="19"/>
  <c r="R74" i="19"/>
  <c r="R68" i="19"/>
  <c r="R62" i="19"/>
  <c r="R78" i="19"/>
  <c r="R72" i="19"/>
  <c r="R66" i="19"/>
  <c r="R77" i="19"/>
  <c r="R61" i="19"/>
  <c r="R79" i="19"/>
  <c r="R69" i="19"/>
  <c r="R70" i="19"/>
  <c r="R67" i="19"/>
  <c r="R75" i="19"/>
  <c r="R65" i="19"/>
  <c r="R76" i="19"/>
  <c r="R73" i="19"/>
  <c r="R71" i="19"/>
  <c r="R64" i="19"/>
  <c r="U90" i="19"/>
  <c r="W90" i="19" s="1"/>
  <c r="S108" i="19"/>
  <c r="U108" i="19" s="1"/>
  <c r="W108" i="19" s="1"/>
  <c r="S107" i="19"/>
  <c r="U107" i="19" s="1"/>
  <c r="W107" i="19" s="1"/>
  <c r="S112" i="19"/>
  <c r="U112" i="19" s="1"/>
  <c r="W112" i="19" s="1"/>
  <c r="S99" i="19"/>
  <c r="U99" i="19" s="1"/>
  <c r="W99" i="19" s="1"/>
  <c r="S98" i="19"/>
  <c r="U98" i="19" s="1"/>
  <c r="W98" i="19" s="1"/>
  <c r="S97" i="19"/>
  <c r="U97" i="19" s="1"/>
  <c r="W97" i="19" s="1"/>
  <c r="S102" i="19"/>
  <c r="U102" i="19" s="1"/>
  <c r="W102" i="19" s="1"/>
  <c r="S101" i="19"/>
  <c r="U101" i="19" s="1"/>
  <c r="W101" i="19" s="1"/>
  <c r="S106" i="19"/>
  <c r="U106" i="19" s="1"/>
  <c r="W106" i="19" s="1"/>
  <c r="S96" i="19"/>
  <c r="U96" i="19" s="1"/>
  <c r="W96" i="19" s="1"/>
  <c r="S95" i="19"/>
  <c r="U95" i="19" s="1"/>
  <c r="W95" i="19" s="1"/>
  <c r="S100" i="19"/>
  <c r="U100" i="19" s="1"/>
  <c r="W100" i="19" s="1"/>
  <c r="S93" i="19"/>
  <c r="U93" i="19" s="1"/>
  <c r="W93" i="19" s="1"/>
  <c r="S94" i="19"/>
  <c r="U94" i="19" s="1"/>
  <c r="W94" i="19" s="1"/>
  <c r="S111" i="19"/>
  <c r="U111" i="19" s="1"/>
  <c r="W111" i="19" s="1"/>
  <c r="S110" i="19"/>
  <c r="U110" i="19" s="1"/>
  <c r="W110" i="19" s="1"/>
  <c r="S109" i="19"/>
  <c r="U109" i="19" s="1"/>
  <c r="W109" i="19" s="1"/>
  <c r="S105" i="19"/>
  <c r="U105" i="19" s="1"/>
  <c r="W105" i="19" s="1"/>
  <c r="S104" i="19"/>
  <c r="U104" i="19" s="1"/>
  <c r="W104" i="19" s="1"/>
  <c r="S103" i="19"/>
  <c r="U103" i="19" s="1"/>
  <c r="W103" i="19" s="1"/>
  <c r="S155" i="19"/>
  <c r="U155" i="19" s="1"/>
  <c r="W155" i="19" s="1"/>
  <c r="R155" i="19"/>
  <c r="T154" i="19"/>
  <c r="Q155" i="19"/>
  <c r="S154" i="19"/>
  <c r="R154" i="19"/>
  <c r="Q154" i="19"/>
  <c r="P148" i="19"/>
  <c r="T155" i="19"/>
  <c r="V155" i="19" s="1"/>
  <c r="X155" i="19" s="1"/>
  <c r="S62" i="19"/>
  <c r="U62" i="19" s="1"/>
  <c r="W62" i="19" s="1"/>
  <c r="S61" i="19"/>
  <c r="U61" i="19" s="1"/>
  <c r="W61" i="19" s="1"/>
  <c r="U58" i="19"/>
  <c r="W58" i="19" s="1"/>
  <c r="S77" i="19"/>
  <c r="U77" i="19" s="1"/>
  <c r="W77" i="19" s="1"/>
  <c r="S71" i="19"/>
  <c r="U71" i="19" s="1"/>
  <c r="W71" i="19" s="1"/>
  <c r="S65" i="19"/>
  <c r="U65" i="19" s="1"/>
  <c r="W65" i="19" s="1"/>
  <c r="S68" i="19"/>
  <c r="U68" i="19" s="1"/>
  <c r="W68" i="19" s="1"/>
  <c r="S75" i="19"/>
  <c r="U75" i="19" s="1"/>
  <c r="W75" i="19" s="1"/>
  <c r="S70" i="19"/>
  <c r="U70" i="19" s="1"/>
  <c r="W70" i="19" s="1"/>
  <c r="S72" i="19"/>
  <c r="U72" i="19" s="1"/>
  <c r="W72" i="19" s="1"/>
  <c r="S67" i="19"/>
  <c r="U67" i="19" s="1"/>
  <c r="W67" i="19" s="1"/>
  <c r="S74" i="19"/>
  <c r="U74" i="19" s="1"/>
  <c r="W74" i="19" s="1"/>
  <c r="S63" i="19"/>
  <c r="U63" i="19" s="1"/>
  <c r="W63" i="19" s="1"/>
  <c r="S76" i="19"/>
  <c r="U76" i="19" s="1"/>
  <c r="W76" i="19" s="1"/>
  <c r="S78" i="19"/>
  <c r="U78" i="19" s="1"/>
  <c r="W78" i="19" s="1"/>
  <c r="S73" i="19"/>
  <c r="U73" i="19" s="1"/>
  <c r="W73" i="19" s="1"/>
  <c r="S80" i="19"/>
  <c r="U80" i="19" s="1"/>
  <c r="W80" i="19" s="1"/>
  <c r="S69" i="19"/>
  <c r="U69" i="19" s="1"/>
  <c r="W69" i="19" s="1"/>
  <c r="S64" i="19"/>
  <c r="U64" i="19" s="1"/>
  <c r="W64" i="19" s="1"/>
  <c r="S66" i="19"/>
  <c r="U66" i="19" s="1"/>
  <c r="W66" i="19" s="1"/>
  <c r="S79" i="19"/>
  <c r="U79" i="19" s="1"/>
  <c r="W79" i="19" s="1"/>
  <c r="V90" i="19"/>
  <c r="X90" i="19" s="1"/>
  <c r="T96" i="19"/>
  <c r="V96" i="19" s="1"/>
  <c r="X96" i="19" s="1"/>
  <c r="T110" i="19"/>
  <c r="V110" i="19" s="1"/>
  <c r="X110" i="19" s="1"/>
  <c r="T109" i="19"/>
  <c r="V109" i="19" s="1"/>
  <c r="X109" i="19" s="1"/>
  <c r="T112" i="19"/>
  <c r="V112" i="19" s="1"/>
  <c r="X112" i="19" s="1"/>
  <c r="T104" i="19"/>
  <c r="V104" i="19" s="1"/>
  <c r="X104" i="19" s="1"/>
  <c r="T103" i="19"/>
  <c r="V103" i="19" s="1"/>
  <c r="X103" i="19" s="1"/>
  <c r="T99" i="19"/>
  <c r="V99" i="19" s="1"/>
  <c r="X99" i="19" s="1"/>
  <c r="T107" i="19"/>
  <c r="V107" i="19" s="1"/>
  <c r="X107" i="19" s="1"/>
  <c r="T108" i="19"/>
  <c r="V108" i="19" s="1"/>
  <c r="X108" i="19" s="1"/>
  <c r="T106" i="19"/>
  <c r="V106" i="19" s="1"/>
  <c r="X106" i="19" s="1"/>
  <c r="T98" i="19"/>
  <c r="V98" i="19" s="1"/>
  <c r="X98" i="19" s="1"/>
  <c r="T97" i="19"/>
  <c r="V97" i="19" s="1"/>
  <c r="X97" i="19" s="1"/>
  <c r="T101" i="19"/>
  <c r="V101" i="19" s="1"/>
  <c r="X101" i="19" s="1"/>
  <c r="T100" i="19"/>
  <c r="V100" i="19" s="1"/>
  <c r="X100" i="19" s="1"/>
  <c r="T93" i="19"/>
  <c r="V93" i="19" s="1"/>
  <c r="X93" i="19" s="1"/>
  <c r="T95" i="19"/>
  <c r="V95" i="19" s="1"/>
  <c r="X95" i="19" s="1"/>
  <c r="T102" i="19"/>
  <c r="V102" i="19" s="1"/>
  <c r="X102" i="19" s="1"/>
  <c r="T105" i="19"/>
  <c r="V105" i="19" s="1"/>
  <c r="X105" i="19" s="1"/>
  <c r="T94" i="19"/>
  <c r="V94" i="19" s="1"/>
  <c r="X94" i="19" s="1"/>
  <c r="T111" i="19"/>
  <c r="V111" i="19" s="1"/>
  <c r="X111" i="19" s="1"/>
  <c r="Z91" i="19"/>
  <c r="B84" i="19"/>
  <c r="F91" i="19"/>
  <c r="H91" i="19" s="1"/>
  <c r="J91" i="19" s="1"/>
  <c r="E91" i="19"/>
  <c r="G91" i="19" s="1"/>
  <c r="I91" i="19" s="1"/>
  <c r="D91" i="19"/>
  <c r="F90" i="19"/>
  <c r="C91" i="19"/>
  <c r="E90" i="19"/>
  <c r="D90" i="19"/>
  <c r="C90" i="19"/>
  <c r="T62" i="19"/>
  <c r="V62" i="19" s="1"/>
  <c r="X62" i="19" s="1"/>
  <c r="T79" i="19"/>
  <c r="V79" i="19" s="1"/>
  <c r="X79" i="19" s="1"/>
  <c r="T73" i="19"/>
  <c r="V73" i="19" s="1"/>
  <c r="X73" i="19" s="1"/>
  <c r="T67" i="19"/>
  <c r="V67" i="19" s="1"/>
  <c r="X67" i="19" s="1"/>
  <c r="T61" i="19"/>
  <c r="V61" i="19" s="1"/>
  <c r="X61" i="19" s="1"/>
  <c r="V58" i="19"/>
  <c r="X58" i="19" s="1"/>
  <c r="T77" i="19"/>
  <c r="V77" i="19" s="1"/>
  <c r="X77" i="19" s="1"/>
  <c r="T71" i="19"/>
  <c r="V71" i="19" s="1"/>
  <c r="X71" i="19" s="1"/>
  <c r="T65" i="19"/>
  <c r="V65" i="19" s="1"/>
  <c r="X65" i="19" s="1"/>
  <c r="T78" i="19"/>
  <c r="V78" i="19" s="1"/>
  <c r="X78" i="19" s="1"/>
  <c r="T68" i="19"/>
  <c r="V68" i="19" s="1"/>
  <c r="X68" i="19" s="1"/>
  <c r="T76" i="19"/>
  <c r="V76" i="19" s="1"/>
  <c r="X76" i="19" s="1"/>
  <c r="T69" i="19"/>
  <c r="V69" i="19" s="1"/>
  <c r="X69" i="19" s="1"/>
  <c r="T66" i="19"/>
  <c r="V66" i="19" s="1"/>
  <c r="X66" i="19" s="1"/>
  <c r="T74" i="19"/>
  <c r="V74" i="19" s="1"/>
  <c r="X74" i="19" s="1"/>
  <c r="T64" i="19"/>
  <c r="V64" i="19" s="1"/>
  <c r="X64" i="19" s="1"/>
  <c r="T75" i="19"/>
  <c r="V75" i="19" s="1"/>
  <c r="X75" i="19" s="1"/>
  <c r="T72" i="19"/>
  <c r="V72" i="19" s="1"/>
  <c r="X72" i="19" s="1"/>
  <c r="T80" i="19"/>
  <c r="V80" i="19" s="1"/>
  <c r="X80" i="19" s="1"/>
  <c r="T70" i="19"/>
  <c r="V70" i="19" s="1"/>
  <c r="X70" i="19" s="1"/>
  <c r="T63" i="19"/>
  <c r="V63" i="19" s="1"/>
  <c r="X63" i="19" s="1"/>
  <c r="Z59" i="19"/>
  <c r="AA59" i="19" s="1"/>
  <c r="AB59" i="19" s="1"/>
  <c r="F61" i="19"/>
  <c r="H61" i="19" s="1"/>
  <c r="J61" i="19" s="1"/>
  <c r="H58" i="19"/>
  <c r="J58" i="19" s="1"/>
  <c r="F77" i="19"/>
  <c r="H77" i="19" s="1"/>
  <c r="J77" i="19" s="1"/>
  <c r="F71" i="19"/>
  <c r="H71" i="19" s="1"/>
  <c r="J71" i="19" s="1"/>
  <c r="F65" i="19"/>
  <c r="H65" i="19" s="1"/>
  <c r="J65" i="19" s="1"/>
  <c r="F75" i="19"/>
  <c r="H75" i="19" s="1"/>
  <c r="J75" i="19" s="1"/>
  <c r="F70" i="19"/>
  <c r="H70" i="19" s="1"/>
  <c r="J70" i="19" s="1"/>
  <c r="F72" i="19"/>
  <c r="H72" i="19" s="1"/>
  <c r="J72" i="19" s="1"/>
  <c r="F67" i="19"/>
  <c r="H67" i="19" s="1"/>
  <c r="J67" i="19" s="1"/>
  <c r="F74" i="19"/>
  <c r="H74" i="19" s="1"/>
  <c r="J74" i="19" s="1"/>
  <c r="F63" i="19"/>
  <c r="H63" i="19" s="1"/>
  <c r="J63" i="19" s="1"/>
  <c r="F76" i="19"/>
  <c r="H76" i="19" s="1"/>
  <c r="J76" i="19" s="1"/>
  <c r="F78" i="19"/>
  <c r="H78" i="19" s="1"/>
  <c r="J78" i="19" s="1"/>
  <c r="F73" i="19"/>
  <c r="H73" i="19" s="1"/>
  <c r="J73" i="19" s="1"/>
  <c r="F80" i="19"/>
  <c r="H80" i="19" s="1"/>
  <c r="J80" i="19" s="1"/>
  <c r="F62" i="19"/>
  <c r="H62" i="19" s="1"/>
  <c r="J62" i="19" s="1"/>
  <c r="F69" i="19"/>
  <c r="H69" i="19" s="1"/>
  <c r="J69" i="19" s="1"/>
  <c r="F64" i="19"/>
  <c r="H64" i="19" s="1"/>
  <c r="J64" i="19" s="1"/>
  <c r="F66" i="19"/>
  <c r="H66" i="19" s="1"/>
  <c r="J66" i="19" s="1"/>
  <c r="F79" i="19"/>
  <c r="H79" i="19" s="1"/>
  <c r="J79" i="19" s="1"/>
  <c r="F68" i="19"/>
  <c r="H68" i="19" s="1"/>
  <c r="J68" i="19" s="1"/>
  <c r="E63" i="19"/>
  <c r="G63" i="19" s="1"/>
  <c r="I63" i="19" s="1"/>
  <c r="E80" i="19"/>
  <c r="G80" i="19" s="1"/>
  <c r="I80" i="19" s="1"/>
  <c r="E74" i="19"/>
  <c r="G74" i="19" s="1"/>
  <c r="I74" i="19" s="1"/>
  <c r="E68" i="19"/>
  <c r="G68" i="19" s="1"/>
  <c r="I68" i="19" s="1"/>
  <c r="E62" i="19"/>
  <c r="G62" i="19" s="1"/>
  <c r="I62" i="19" s="1"/>
  <c r="E78" i="19"/>
  <c r="G78" i="19" s="1"/>
  <c r="I78" i="19" s="1"/>
  <c r="E72" i="19"/>
  <c r="G72" i="19" s="1"/>
  <c r="I72" i="19" s="1"/>
  <c r="E66" i="19"/>
  <c r="G66" i="19" s="1"/>
  <c r="I66" i="19" s="1"/>
  <c r="G58" i="19"/>
  <c r="I58" i="19" s="1"/>
  <c r="E61" i="19"/>
  <c r="G61" i="19" s="1"/>
  <c r="I61" i="19" s="1"/>
  <c r="E79" i="19"/>
  <c r="G79" i="19" s="1"/>
  <c r="I79" i="19" s="1"/>
  <c r="E69" i="19"/>
  <c r="G69" i="19" s="1"/>
  <c r="I69" i="19" s="1"/>
  <c r="E77" i="19"/>
  <c r="G77" i="19" s="1"/>
  <c r="I77" i="19" s="1"/>
  <c r="E70" i="19"/>
  <c r="G70" i="19" s="1"/>
  <c r="I70" i="19" s="1"/>
  <c r="E67" i="19"/>
  <c r="G67" i="19" s="1"/>
  <c r="I67" i="19" s="1"/>
  <c r="E75" i="19"/>
  <c r="G75" i="19" s="1"/>
  <c r="I75" i="19" s="1"/>
  <c r="E65" i="19"/>
  <c r="G65" i="19" s="1"/>
  <c r="I65" i="19" s="1"/>
  <c r="E76" i="19"/>
  <c r="G76" i="19" s="1"/>
  <c r="I76" i="19" s="1"/>
  <c r="E73" i="19"/>
  <c r="G73" i="19" s="1"/>
  <c r="I73" i="19" s="1"/>
  <c r="E71" i="19"/>
  <c r="G71" i="19" s="1"/>
  <c r="I71" i="19" s="1"/>
  <c r="E64" i="19"/>
  <c r="G64" i="19" s="1"/>
  <c r="I64" i="19" s="1"/>
  <c r="Q62" i="19"/>
  <c r="Q72" i="19"/>
  <c r="Q66" i="19"/>
  <c r="Q78" i="19"/>
  <c r="Q67" i="19"/>
  <c r="Q80" i="19"/>
  <c r="Q69" i="19"/>
  <c r="Q76" i="19"/>
  <c r="Q71" i="19"/>
  <c r="Q73" i="19"/>
  <c r="Q68" i="19"/>
  <c r="Q75" i="19"/>
  <c r="Q64" i="19"/>
  <c r="Q77" i="19"/>
  <c r="Q61" i="19"/>
  <c r="Q79" i="19"/>
  <c r="Q74" i="19"/>
  <c r="Q63" i="19"/>
  <c r="Q70" i="19"/>
  <c r="Q65" i="19"/>
  <c r="K59" i="19"/>
  <c r="D78" i="19"/>
  <c r="D72" i="19"/>
  <c r="D66" i="19"/>
  <c r="D80" i="19"/>
  <c r="D62" i="19"/>
  <c r="D69" i="19"/>
  <c r="D76" i="19"/>
  <c r="D71" i="19"/>
  <c r="D73" i="19"/>
  <c r="D68" i="19"/>
  <c r="D75" i="19"/>
  <c r="D64" i="19"/>
  <c r="D77" i="19"/>
  <c r="D61" i="19"/>
  <c r="D79" i="19"/>
  <c r="D74" i="19"/>
  <c r="D63" i="19"/>
  <c r="D70" i="19"/>
  <c r="D65" i="19"/>
  <c r="D67" i="19"/>
  <c r="A116" i="19"/>
  <c r="A148" i="19" s="1"/>
  <c r="T123" i="19"/>
  <c r="V123" i="19" s="1"/>
  <c r="X123" i="19" s="1"/>
  <c r="S123" i="19"/>
  <c r="U123" i="19" s="1"/>
  <c r="W123" i="19" s="1"/>
  <c r="Q123" i="19"/>
  <c r="S122" i="19"/>
  <c r="R122" i="19"/>
  <c r="Q122" i="19"/>
  <c r="T122" i="19"/>
  <c r="P116" i="19"/>
  <c r="R123" i="19"/>
  <c r="C75" i="19"/>
  <c r="C69" i="19"/>
  <c r="C63" i="19"/>
  <c r="C79" i="19"/>
  <c r="C73" i="19"/>
  <c r="C67" i="19"/>
  <c r="C61" i="19"/>
  <c r="C65" i="19"/>
  <c r="C64" i="19"/>
  <c r="C62" i="19"/>
  <c r="C80" i="19"/>
  <c r="C70" i="19"/>
  <c r="C71" i="19"/>
  <c r="C78" i="19"/>
  <c r="C68" i="19"/>
  <c r="C76" i="19"/>
  <c r="C66" i="19"/>
  <c r="C77" i="19"/>
  <c r="C74" i="19"/>
  <c r="C72" i="19"/>
  <c r="Q99" i="19"/>
  <c r="Q98" i="19"/>
  <c r="Q103" i="19"/>
  <c r="Q102" i="19"/>
  <c r="Q107" i="19"/>
  <c r="Q94" i="19"/>
  <c r="Q97" i="19"/>
  <c r="Q96" i="19"/>
  <c r="Q101" i="19"/>
  <c r="Q95" i="19"/>
  <c r="Q112" i="19"/>
  <c r="Q111" i="19"/>
  <c r="Q110" i="19"/>
  <c r="Q106" i="19"/>
  <c r="Q93" i="19"/>
  <c r="Q105" i="19"/>
  <c r="Q104" i="19"/>
  <c r="Q109" i="19"/>
  <c r="Q108" i="19"/>
  <c r="Q100" i="19"/>
  <c r="AO55" i="10"/>
  <c r="Z58" i="19" l="1"/>
  <c r="L58" i="19"/>
  <c r="M59" i="19"/>
  <c r="N59" i="19" s="1"/>
  <c r="K58" i="19"/>
  <c r="K71" i="19"/>
  <c r="K61" i="19"/>
  <c r="AA91" i="19"/>
  <c r="AB91" i="19" s="1"/>
  <c r="K64" i="19"/>
  <c r="L78" i="19"/>
  <c r="K67" i="19"/>
  <c r="K66" i="19"/>
  <c r="L75" i="19"/>
  <c r="Z155" i="19"/>
  <c r="K80" i="19"/>
  <c r="L91" i="19"/>
  <c r="K62" i="19"/>
  <c r="L63" i="19"/>
  <c r="K72" i="19"/>
  <c r="K65" i="19"/>
  <c r="K74" i="19"/>
  <c r="L77" i="19"/>
  <c r="K79" i="19"/>
  <c r="K69" i="19"/>
  <c r="L68" i="19"/>
  <c r="K70" i="19"/>
  <c r="F155" i="19"/>
  <c r="H155" i="19" s="1"/>
  <c r="J155" i="19" s="1"/>
  <c r="E155" i="19"/>
  <c r="G155" i="19" s="1"/>
  <c r="I155" i="19" s="1"/>
  <c r="D155" i="19"/>
  <c r="F154" i="19"/>
  <c r="C155" i="19"/>
  <c r="E154" i="19"/>
  <c r="D154" i="19"/>
  <c r="B148" i="19"/>
  <c r="C154" i="19"/>
  <c r="Y123" i="19"/>
  <c r="L61" i="19"/>
  <c r="L72" i="19"/>
  <c r="K91" i="19"/>
  <c r="Y80" i="19"/>
  <c r="Y71" i="19"/>
  <c r="V154" i="19"/>
  <c r="X154" i="19" s="1"/>
  <c r="T162" i="19"/>
  <c r="V162" i="19" s="1"/>
  <c r="X162" i="19" s="1"/>
  <c r="T175" i="19"/>
  <c r="V175" i="19" s="1"/>
  <c r="X175" i="19" s="1"/>
  <c r="T167" i="19"/>
  <c r="V167" i="19" s="1"/>
  <c r="X167" i="19" s="1"/>
  <c r="T166" i="19"/>
  <c r="V166" i="19" s="1"/>
  <c r="X166" i="19" s="1"/>
  <c r="T165" i="19"/>
  <c r="V165" i="19" s="1"/>
  <c r="X165" i="19" s="1"/>
  <c r="T159" i="19"/>
  <c r="V159" i="19" s="1"/>
  <c r="X159" i="19" s="1"/>
  <c r="T171" i="19"/>
  <c r="V171" i="19" s="1"/>
  <c r="X171" i="19" s="1"/>
  <c r="T160" i="19"/>
  <c r="V160" i="19" s="1"/>
  <c r="X160" i="19" s="1"/>
  <c r="T176" i="19"/>
  <c r="V176" i="19" s="1"/>
  <c r="X176" i="19" s="1"/>
  <c r="T172" i="19"/>
  <c r="V172" i="19" s="1"/>
  <c r="X172" i="19" s="1"/>
  <c r="T163" i="19"/>
  <c r="V163" i="19" s="1"/>
  <c r="X163" i="19" s="1"/>
  <c r="T170" i="19"/>
  <c r="V170" i="19" s="1"/>
  <c r="X170" i="19" s="1"/>
  <c r="T173" i="19"/>
  <c r="V173" i="19" s="1"/>
  <c r="X173" i="19" s="1"/>
  <c r="T161" i="19"/>
  <c r="V161" i="19" s="1"/>
  <c r="X161" i="19" s="1"/>
  <c r="T168" i="19"/>
  <c r="V168" i="19" s="1"/>
  <c r="X168" i="19" s="1"/>
  <c r="T157" i="19"/>
  <c r="V157" i="19" s="1"/>
  <c r="X157" i="19" s="1"/>
  <c r="T169" i="19"/>
  <c r="V169" i="19" s="1"/>
  <c r="X169" i="19" s="1"/>
  <c r="T164" i="19"/>
  <c r="V164" i="19" s="1"/>
  <c r="X164" i="19" s="1"/>
  <c r="T174" i="19"/>
  <c r="V174" i="19" s="1"/>
  <c r="X174" i="19" s="1"/>
  <c r="T158" i="19"/>
  <c r="V158" i="19" s="1"/>
  <c r="X158" i="19" s="1"/>
  <c r="Y96" i="19"/>
  <c r="Z71" i="19"/>
  <c r="Z72" i="19"/>
  <c r="Z96" i="19"/>
  <c r="Z112" i="19"/>
  <c r="Y73" i="19"/>
  <c r="Y77" i="19"/>
  <c r="Q170" i="19"/>
  <c r="Q172" i="19"/>
  <c r="Q167" i="19"/>
  <c r="Q158" i="19"/>
  <c r="Q165" i="19"/>
  <c r="Q175" i="19"/>
  <c r="Q163" i="19"/>
  <c r="Q166" i="19"/>
  <c r="Q159" i="19"/>
  <c r="Q176" i="19"/>
  <c r="Q169" i="19"/>
  <c r="Q157" i="19"/>
  <c r="Q160" i="19"/>
  <c r="Q173" i="19"/>
  <c r="Q171" i="19"/>
  <c r="Q174" i="19"/>
  <c r="Q162" i="19"/>
  <c r="Q161" i="19"/>
  <c r="Q164" i="19"/>
  <c r="Q168" i="19"/>
  <c r="Y106" i="19"/>
  <c r="Z73" i="19"/>
  <c r="Z78" i="19"/>
  <c r="Z103" i="19"/>
  <c r="Z110" i="19"/>
  <c r="Q206" i="19"/>
  <c r="Q197" i="19"/>
  <c r="Q193" i="19"/>
  <c r="Q201" i="19"/>
  <c r="Q203" i="19"/>
  <c r="Q208" i="19"/>
  <c r="Q196" i="19"/>
  <c r="Q194" i="19"/>
  <c r="Q191" i="19"/>
  <c r="Q192" i="19"/>
  <c r="Q200" i="19"/>
  <c r="Q202" i="19"/>
  <c r="Q198" i="19"/>
  <c r="Q195" i="19"/>
  <c r="Q190" i="19"/>
  <c r="Q199" i="19"/>
  <c r="Q207" i="19"/>
  <c r="Q205" i="19"/>
  <c r="Q189" i="19"/>
  <c r="Q204" i="19"/>
  <c r="L64" i="19"/>
  <c r="H90" i="19"/>
  <c r="J90" i="19" s="1"/>
  <c r="F102" i="19"/>
  <c r="H102" i="19" s="1"/>
  <c r="J102" i="19" s="1"/>
  <c r="F101" i="19"/>
  <c r="H101" i="19" s="1"/>
  <c r="J101" i="19" s="1"/>
  <c r="F100" i="19"/>
  <c r="H100" i="19" s="1"/>
  <c r="J100" i="19" s="1"/>
  <c r="F96" i="19"/>
  <c r="H96" i="19" s="1"/>
  <c r="J96" i="19" s="1"/>
  <c r="F95" i="19"/>
  <c r="H95" i="19" s="1"/>
  <c r="J95" i="19" s="1"/>
  <c r="F94" i="19"/>
  <c r="H94" i="19" s="1"/>
  <c r="J94" i="19" s="1"/>
  <c r="F111" i="19"/>
  <c r="H111" i="19" s="1"/>
  <c r="J111" i="19" s="1"/>
  <c r="F110" i="19"/>
  <c r="H110" i="19" s="1"/>
  <c r="J110" i="19" s="1"/>
  <c r="F109" i="19"/>
  <c r="H109" i="19" s="1"/>
  <c r="J109" i="19" s="1"/>
  <c r="F93" i="19"/>
  <c r="H93" i="19" s="1"/>
  <c r="J93" i="19" s="1"/>
  <c r="F105" i="19"/>
  <c r="H105" i="19" s="1"/>
  <c r="J105" i="19" s="1"/>
  <c r="F104" i="19"/>
  <c r="H104" i="19" s="1"/>
  <c r="J104" i="19" s="1"/>
  <c r="F103" i="19"/>
  <c r="H103" i="19" s="1"/>
  <c r="J103" i="19" s="1"/>
  <c r="F112" i="19"/>
  <c r="H112" i="19" s="1"/>
  <c r="J112" i="19" s="1"/>
  <c r="F99" i="19"/>
  <c r="H99" i="19" s="1"/>
  <c r="J99" i="19" s="1"/>
  <c r="F108" i="19"/>
  <c r="H108" i="19" s="1"/>
  <c r="J108" i="19" s="1"/>
  <c r="F107" i="19"/>
  <c r="H107" i="19" s="1"/>
  <c r="J107" i="19" s="1"/>
  <c r="F98" i="19"/>
  <c r="H98" i="19" s="1"/>
  <c r="J98" i="19" s="1"/>
  <c r="F97" i="19"/>
  <c r="H97" i="19" s="1"/>
  <c r="J97" i="19" s="1"/>
  <c r="F106" i="19"/>
  <c r="H106" i="19" s="1"/>
  <c r="J106" i="19" s="1"/>
  <c r="Y78" i="19"/>
  <c r="Y58" i="19"/>
  <c r="Y103" i="19"/>
  <c r="Y101" i="19"/>
  <c r="Z76" i="19"/>
  <c r="Z62" i="19"/>
  <c r="Z101" i="19"/>
  <c r="Z111" i="19"/>
  <c r="Y76" i="19"/>
  <c r="Y61" i="19"/>
  <c r="Y104" i="19"/>
  <c r="Y102" i="19"/>
  <c r="Z65" i="19"/>
  <c r="Z68" i="19"/>
  <c r="Z102" i="19"/>
  <c r="Z109" i="19"/>
  <c r="Z186" i="19"/>
  <c r="R199" i="19"/>
  <c r="R193" i="19"/>
  <c r="R192" i="19"/>
  <c r="R208" i="19"/>
  <c r="R205" i="19"/>
  <c r="R197" i="19"/>
  <c r="R191" i="19"/>
  <c r="R194" i="19"/>
  <c r="R201" i="19"/>
  <c r="R190" i="19"/>
  <c r="R200" i="19"/>
  <c r="R198" i="19"/>
  <c r="R189" i="19"/>
  <c r="R207" i="19"/>
  <c r="R203" i="19"/>
  <c r="R206" i="19"/>
  <c r="R196" i="19"/>
  <c r="R204" i="19"/>
  <c r="R195" i="19"/>
  <c r="R202" i="19"/>
  <c r="U122" i="19"/>
  <c r="W122" i="19" s="1"/>
  <c r="S135" i="19"/>
  <c r="U135" i="19" s="1"/>
  <c r="W135" i="19" s="1"/>
  <c r="S132" i="19"/>
  <c r="U132" i="19" s="1"/>
  <c r="W132" i="19" s="1"/>
  <c r="S139" i="19"/>
  <c r="U139" i="19" s="1"/>
  <c r="W139" i="19" s="1"/>
  <c r="S134" i="19"/>
  <c r="U134" i="19" s="1"/>
  <c r="W134" i="19" s="1"/>
  <c r="S130" i="19"/>
  <c r="U130" i="19" s="1"/>
  <c r="W130" i="19" s="1"/>
  <c r="S131" i="19"/>
  <c r="U131" i="19" s="1"/>
  <c r="W131" i="19" s="1"/>
  <c r="S141" i="19"/>
  <c r="U141" i="19" s="1"/>
  <c r="W141" i="19" s="1"/>
  <c r="S138" i="19"/>
  <c r="U138" i="19" s="1"/>
  <c r="W138" i="19" s="1"/>
  <c r="S127" i="19"/>
  <c r="U127" i="19" s="1"/>
  <c r="W127" i="19" s="1"/>
  <c r="S140" i="19"/>
  <c r="U140" i="19" s="1"/>
  <c r="W140" i="19" s="1"/>
  <c r="S136" i="19"/>
  <c r="U136" i="19" s="1"/>
  <c r="W136" i="19" s="1"/>
  <c r="S137" i="19"/>
  <c r="U137" i="19" s="1"/>
  <c r="W137" i="19" s="1"/>
  <c r="S144" i="19"/>
  <c r="U144" i="19" s="1"/>
  <c r="W144" i="19" s="1"/>
  <c r="S129" i="19"/>
  <c r="U129" i="19" s="1"/>
  <c r="W129" i="19" s="1"/>
  <c r="S126" i="19"/>
  <c r="U126" i="19" s="1"/>
  <c r="W126" i="19" s="1"/>
  <c r="S133" i="19"/>
  <c r="U133" i="19" s="1"/>
  <c r="W133" i="19" s="1"/>
  <c r="S128" i="19"/>
  <c r="U128" i="19" s="1"/>
  <c r="W128" i="19" s="1"/>
  <c r="S142" i="19"/>
  <c r="U142" i="19" s="1"/>
  <c r="W142" i="19" s="1"/>
  <c r="S125" i="19"/>
  <c r="U125" i="19" s="1"/>
  <c r="W125" i="19" s="1"/>
  <c r="S143" i="19"/>
  <c r="U143" i="19" s="1"/>
  <c r="W143" i="19" s="1"/>
  <c r="Y63" i="19"/>
  <c r="Y62" i="19"/>
  <c r="U154" i="19"/>
  <c r="W154" i="19" s="1"/>
  <c r="S167" i="19"/>
  <c r="U167" i="19" s="1"/>
  <c r="W167" i="19" s="1"/>
  <c r="S172" i="19"/>
  <c r="U172" i="19" s="1"/>
  <c r="W172" i="19" s="1"/>
  <c r="S169" i="19"/>
  <c r="U169" i="19" s="1"/>
  <c r="W169" i="19" s="1"/>
  <c r="S157" i="19"/>
  <c r="U157" i="19" s="1"/>
  <c r="W157" i="19" s="1"/>
  <c r="S164" i="19"/>
  <c r="U164" i="19" s="1"/>
  <c r="W164" i="19" s="1"/>
  <c r="S174" i="19"/>
  <c r="U174" i="19" s="1"/>
  <c r="W174" i="19" s="1"/>
  <c r="S162" i="19"/>
  <c r="U162" i="19" s="1"/>
  <c r="W162" i="19" s="1"/>
  <c r="S165" i="19"/>
  <c r="U165" i="19" s="1"/>
  <c r="W165" i="19" s="1"/>
  <c r="S158" i="19"/>
  <c r="U158" i="19" s="1"/>
  <c r="W158" i="19" s="1"/>
  <c r="S168" i="19"/>
  <c r="U168" i="19" s="1"/>
  <c r="W168" i="19" s="1"/>
  <c r="S175" i="19"/>
  <c r="U175" i="19" s="1"/>
  <c r="W175" i="19" s="1"/>
  <c r="S159" i="19"/>
  <c r="U159" i="19" s="1"/>
  <c r="W159" i="19" s="1"/>
  <c r="S171" i="19"/>
  <c r="U171" i="19" s="1"/>
  <c r="W171" i="19" s="1"/>
  <c r="S176" i="19"/>
  <c r="U176" i="19" s="1"/>
  <c r="W176" i="19" s="1"/>
  <c r="S166" i="19"/>
  <c r="U166" i="19" s="1"/>
  <c r="W166" i="19" s="1"/>
  <c r="S170" i="19"/>
  <c r="U170" i="19" s="1"/>
  <c r="W170" i="19" s="1"/>
  <c r="S173" i="19"/>
  <c r="U173" i="19" s="1"/>
  <c r="W173" i="19" s="1"/>
  <c r="S161" i="19"/>
  <c r="U161" i="19" s="1"/>
  <c r="W161" i="19" s="1"/>
  <c r="S160" i="19"/>
  <c r="U160" i="19" s="1"/>
  <c r="W160" i="19" s="1"/>
  <c r="S163" i="19"/>
  <c r="U163" i="19" s="1"/>
  <c r="W163" i="19" s="1"/>
  <c r="Y105" i="19"/>
  <c r="Y97" i="19"/>
  <c r="Z75" i="19"/>
  <c r="Z74" i="19"/>
  <c r="Z98" i="19"/>
  <c r="B116" i="19"/>
  <c r="F123" i="19"/>
  <c r="H123" i="19" s="1"/>
  <c r="J123" i="19" s="1"/>
  <c r="D123" i="19"/>
  <c r="F122" i="19"/>
  <c r="C123" i="19"/>
  <c r="E122" i="19"/>
  <c r="D122" i="19"/>
  <c r="C122" i="19"/>
  <c r="E123" i="19"/>
  <c r="G123" i="19" s="1"/>
  <c r="I123" i="19" s="1"/>
  <c r="K73" i="19"/>
  <c r="V122" i="19"/>
  <c r="X122" i="19" s="1"/>
  <c r="T144" i="19"/>
  <c r="V144" i="19" s="1"/>
  <c r="X144" i="19" s="1"/>
  <c r="T141" i="19"/>
  <c r="V141" i="19" s="1"/>
  <c r="X141" i="19" s="1"/>
  <c r="T138" i="19"/>
  <c r="V138" i="19" s="1"/>
  <c r="X138" i="19" s="1"/>
  <c r="T135" i="19"/>
  <c r="V135" i="19" s="1"/>
  <c r="X135" i="19" s="1"/>
  <c r="T132" i="19"/>
  <c r="V132" i="19" s="1"/>
  <c r="X132" i="19" s="1"/>
  <c r="T129" i="19"/>
  <c r="V129" i="19" s="1"/>
  <c r="X129" i="19" s="1"/>
  <c r="T126" i="19"/>
  <c r="V126" i="19" s="1"/>
  <c r="X126" i="19" s="1"/>
  <c r="T131" i="19"/>
  <c r="V131" i="19" s="1"/>
  <c r="X131" i="19" s="1"/>
  <c r="T130" i="19"/>
  <c r="V130" i="19" s="1"/>
  <c r="X130" i="19" s="1"/>
  <c r="T139" i="19"/>
  <c r="V139" i="19" s="1"/>
  <c r="X139" i="19" s="1"/>
  <c r="T140" i="19"/>
  <c r="V140" i="19" s="1"/>
  <c r="X140" i="19" s="1"/>
  <c r="T137" i="19"/>
  <c r="V137" i="19" s="1"/>
  <c r="X137" i="19" s="1"/>
  <c r="T136" i="19"/>
  <c r="V136" i="19" s="1"/>
  <c r="X136" i="19" s="1"/>
  <c r="T127" i="19"/>
  <c r="V127" i="19" s="1"/>
  <c r="X127" i="19" s="1"/>
  <c r="T128" i="19"/>
  <c r="V128" i="19" s="1"/>
  <c r="X128" i="19" s="1"/>
  <c r="T125" i="19"/>
  <c r="V125" i="19" s="1"/>
  <c r="X125" i="19" s="1"/>
  <c r="T143" i="19"/>
  <c r="V143" i="19" s="1"/>
  <c r="X143" i="19" s="1"/>
  <c r="T142" i="19"/>
  <c r="V142" i="19" s="1"/>
  <c r="X142" i="19" s="1"/>
  <c r="T133" i="19"/>
  <c r="V133" i="19" s="1"/>
  <c r="X133" i="19" s="1"/>
  <c r="T134" i="19"/>
  <c r="V134" i="19" s="1"/>
  <c r="X134" i="19" s="1"/>
  <c r="Q126" i="19"/>
  <c r="Q144" i="19"/>
  <c r="Q136" i="19"/>
  <c r="Q133" i="19"/>
  <c r="Q140" i="19"/>
  <c r="Q135" i="19"/>
  <c r="Q131" i="19"/>
  <c r="Q132" i="19"/>
  <c r="Q142" i="19"/>
  <c r="Q139" i="19"/>
  <c r="Q128" i="19"/>
  <c r="Q141" i="19"/>
  <c r="Q137" i="19"/>
  <c r="Q138" i="19"/>
  <c r="Q130" i="19"/>
  <c r="Q127" i="19"/>
  <c r="Q134" i="19"/>
  <c r="Q125" i="19"/>
  <c r="Q143" i="19"/>
  <c r="Q129" i="19"/>
  <c r="A180" i="19"/>
  <c r="L73" i="19"/>
  <c r="Y74" i="19"/>
  <c r="Y109" i="19"/>
  <c r="Y98" i="19"/>
  <c r="Z67" i="19"/>
  <c r="Z80" i="19"/>
  <c r="Z99" i="19"/>
  <c r="K76" i="19"/>
  <c r="L67" i="19"/>
  <c r="L71" i="19"/>
  <c r="Y67" i="19"/>
  <c r="Y110" i="19"/>
  <c r="Y99" i="19"/>
  <c r="Z70" i="19"/>
  <c r="Z107" i="19"/>
  <c r="U186" i="19"/>
  <c r="W186" i="19" s="1"/>
  <c r="S208" i="19"/>
  <c r="U208" i="19" s="1"/>
  <c r="W208" i="19" s="1"/>
  <c r="S199" i="19"/>
  <c r="U199" i="19" s="1"/>
  <c r="W199" i="19" s="1"/>
  <c r="S190" i="19"/>
  <c r="U190" i="19" s="1"/>
  <c r="W190" i="19" s="1"/>
  <c r="S196" i="19"/>
  <c r="U196" i="19" s="1"/>
  <c r="W196" i="19" s="1"/>
  <c r="S201" i="19"/>
  <c r="U201" i="19" s="1"/>
  <c r="W201" i="19" s="1"/>
  <c r="S207" i="19"/>
  <c r="U207" i="19" s="1"/>
  <c r="W207" i="19" s="1"/>
  <c r="S189" i="19"/>
  <c r="U189" i="19" s="1"/>
  <c r="W189" i="19" s="1"/>
  <c r="S191" i="19"/>
  <c r="U191" i="19" s="1"/>
  <c r="W191" i="19" s="1"/>
  <c r="S193" i="19"/>
  <c r="U193" i="19" s="1"/>
  <c r="W193" i="19" s="1"/>
  <c r="S205" i="19"/>
  <c r="U205" i="19" s="1"/>
  <c r="W205" i="19" s="1"/>
  <c r="S195" i="19"/>
  <c r="U195" i="19" s="1"/>
  <c r="W195" i="19" s="1"/>
  <c r="S202" i="19"/>
  <c r="U202" i="19" s="1"/>
  <c r="W202" i="19" s="1"/>
  <c r="S203" i="19"/>
  <c r="U203" i="19" s="1"/>
  <c r="W203" i="19" s="1"/>
  <c r="S194" i="19"/>
  <c r="U194" i="19" s="1"/>
  <c r="W194" i="19" s="1"/>
  <c r="S192" i="19"/>
  <c r="U192" i="19" s="1"/>
  <c r="W192" i="19" s="1"/>
  <c r="S200" i="19"/>
  <c r="U200" i="19" s="1"/>
  <c r="W200" i="19" s="1"/>
  <c r="S198" i="19"/>
  <c r="U198" i="19" s="1"/>
  <c r="W198" i="19" s="1"/>
  <c r="S206" i="19"/>
  <c r="U206" i="19" s="1"/>
  <c r="W206" i="19" s="1"/>
  <c r="S204" i="19"/>
  <c r="U204" i="19" s="1"/>
  <c r="W204" i="19" s="1"/>
  <c r="S197" i="19"/>
  <c r="U197" i="19" s="1"/>
  <c r="W197" i="19" s="1"/>
  <c r="V186" i="19"/>
  <c r="X186" i="19" s="1"/>
  <c r="T191" i="19"/>
  <c r="V191" i="19" s="1"/>
  <c r="X191" i="19" s="1"/>
  <c r="T193" i="19"/>
  <c r="V193" i="19" s="1"/>
  <c r="X193" i="19" s="1"/>
  <c r="T208" i="19"/>
  <c r="V208" i="19" s="1"/>
  <c r="X208" i="19" s="1"/>
  <c r="T204" i="19"/>
  <c r="V204" i="19" s="1"/>
  <c r="X204" i="19" s="1"/>
  <c r="T198" i="19"/>
  <c r="V198" i="19" s="1"/>
  <c r="X198" i="19" s="1"/>
  <c r="T197" i="19"/>
  <c r="V197" i="19" s="1"/>
  <c r="X197" i="19" s="1"/>
  <c r="T202" i="19"/>
  <c r="V202" i="19" s="1"/>
  <c r="X202" i="19" s="1"/>
  <c r="T190" i="19"/>
  <c r="V190" i="19" s="1"/>
  <c r="X190" i="19" s="1"/>
  <c r="T200" i="19"/>
  <c r="V200" i="19" s="1"/>
  <c r="X200" i="19" s="1"/>
  <c r="T189" i="19"/>
  <c r="V189" i="19" s="1"/>
  <c r="X189" i="19" s="1"/>
  <c r="T207" i="19"/>
  <c r="V207" i="19" s="1"/>
  <c r="X207" i="19" s="1"/>
  <c r="T199" i="19"/>
  <c r="V199" i="19" s="1"/>
  <c r="X199" i="19" s="1"/>
  <c r="T192" i="19"/>
  <c r="V192" i="19" s="1"/>
  <c r="X192" i="19" s="1"/>
  <c r="T206" i="19"/>
  <c r="V206" i="19" s="1"/>
  <c r="X206" i="19" s="1"/>
  <c r="T205" i="19"/>
  <c r="V205" i="19" s="1"/>
  <c r="X205" i="19" s="1"/>
  <c r="T195" i="19"/>
  <c r="V195" i="19" s="1"/>
  <c r="X195" i="19" s="1"/>
  <c r="T196" i="19"/>
  <c r="V196" i="19" s="1"/>
  <c r="X196" i="19" s="1"/>
  <c r="T203" i="19"/>
  <c r="V203" i="19" s="1"/>
  <c r="X203" i="19" s="1"/>
  <c r="T194" i="19"/>
  <c r="V194" i="19" s="1"/>
  <c r="X194" i="19" s="1"/>
  <c r="T201" i="19"/>
  <c r="V201" i="19" s="1"/>
  <c r="X201" i="19" s="1"/>
  <c r="K77" i="19"/>
  <c r="K68" i="19"/>
  <c r="L65" i="19"/>
  <c r="L76" i="19"/>
  <c r="C106" i="19"/>
  <c r="C101" i="19"/>
  <c r="C93" i="19"/>
  <c r="C105" i="19"/>
  <c r="C100" i="19"/>
  <c r="C98" i="19"/>
  <c r="C110" i="19"/>
  <c r="C109" i="19"/>
  <c r="C108" i="19"/>
  <c r="C99" i="19"/>
  <c r="C107" i="19"/>
  <c r="C94" i="19"/>
  <c r="C95" i="19"/>
  <c r="C103" i="19"/>
  <c r="C102" i="19"/>
  <c r="C97" i="19"/>
  <c r="C96" i="19"/>
  <c r="C104" i="19"/>
  <c r="C112" i="19"/>
  <c r="C111" i="19"/>
  <c r="Y72" i="19"/>
  <c r="Z154" i="19"/>
  <c r="R170" i="19"/>
  <c r="Z170" i="19" s="1"/>
  <c r="R173" i="19"/>
  <c r="R172" i="19"/>
  <c r="R161" i="19"/>
  <c r="R163" i="19"/>
  <c r="R160" i="19"/>
  <c r="R164" i="19"/>
  <c r="R171" i="19"/>
  <c r="R174" i="19"/>
  <c r="R162" i="19"/>
  <c r="R169" i="19"/>
  <c r="Z169" i="19" s="1"/>
  <c r="R167" i="19"/>
  <c r="R158" i="19"/>
  <c r="R166" i="19"/>
  <c r="R168" i="19"/>
  <c r="R175" i="19"/>
  <c r="R165" i="19"/>
  <c r="R157" i="19"/>
  <c r="R159" i="19"/>
  <c r="R176" i="19"/>
  <c r="Y111" i="19"/>
  <c r="Y112" i="19"/>
  <c r="Z69" i="19"/>
  <c r="Z63" i="19"/>
  <c r="Z97" i="19"/>
  <c r="Z187" i="19"/>
  <c r="K78" i="19"/>
  <c r="K63" i="19"/>
  <c r="L70" i="19"/>
  <c r="L69" i="19"/>
  <c r="Y79" i="19"/>
  <c r="Y70" i="19"/>
  <c r="Y94" i="19"/>
  <c r="Y107" i="19"/>
  <c r="Z79" i="19"/>
  <c r="Z100" i="19"/>
  <c r="Z108" i="19"/>
  <c r="L62" i="19"/>
  <c r="L90" i="19"/>
  <c r="D101" i="19"/>
  <c r="D97" i="19"/>
  <c r="D96" i="19"/>
  <c r="D94" i="19"/>
  <c r="D95" i="19"/>
  <c r="D112" i="19"/>
  <c r="D111" i="19"/>
  <c r="D110" i="19"/>
  <c r="D106" i="19"/>
  <c r="D105" i="19"/>
  <c r="D104" i="19"/>
  <c r="D100" i="19"/>
  <c r="D109" i="19"/>
  <c r="D108" i="19"/>
  <c r="D99" i="19"/>
  <c r="D98" i="19"/>
  <c r="D107" i="19"/>
  <c r="D93" i="19"/>
  <c r="D102" i="19"/>
  <c r="D103" i="19"/>
  <c r="Y66" i="19"/>
  <c r="Y75" i="19"/>
  <c r="Y155" i="19"/>
  <c r="Y93" i="19"/>
  <c r="Y108" i="19"/>
  <c r="Z61" i="19"/>
  <c r="Z94" i="19"/>
  <c r="Z104" i="19"/>
  <c r="K75" i="19"/>
  <c r="R142" i="19"/>
  <c r="Z122" i="19"/>
  <c r="R139" i="19"/>
  <c r="R136" i="19"/>
  <c r="R133" i="19"/>
  <c r="R130" i="19"/>
  <c r="R127" i="19"/>
  <c r="R134" i="19"/>
  <c r="R135" i="19"/>
  <c r="R132" i="19"/>
  <c r="R131" i="19"/>
  <c r="R140" i="19"/>
  <c r="R141" i="19"/>
  <c r="R138" i="19"/>
  <c r="R137" i="19"/>
  <c r="R128" i="19"/>
  <c r="R129" i="19"/>
  <c r="R126" i="19"/>
  <c r="R144" i="19"/>
  <c r="R125" i="19"/>
  <c r="R143" i="19"/>
  <c r="L74" i="19"/>
  <c r="L80" i="19"/>
  <c r="Y64" i="19"/>
  <c r="Y68" i="19"/>
  <c r="Y100" i="19"/>
  <c r="Y90" i="19"/>
  <c r="AA90" i="19" s="1"/>
  <c r="AB90" i="19" s="1"/>
  <c r="Z77" i="19"/>
  <c r="Z95" i="19"/>
  <c r="Z105" i="19"/>
  <c r="Z123" i="19"/>
  <c r="L79" i="19"/>
  <c r="L66" i="19"/>
  <c r="G90" i="19"/>
  <c r="I90" i="19" s="1"/>
  <c r="E110" i="19"/>
  <c r="G110" i="19" s="1"/>
  <c r="I110" i="19" s="1"/>
  <c r="E105" i="19"/>
  <c r="G105" i="19" s="1"/>
  <c r="I105" i="19" s="1"/>
  <c r="E109" i="19"/>
  <c r="G109" i="19" s="1"/>
  <c r="I109" i="19" s="1"/>
  <c r="E104" i="19"/>
  <c r="G104" i="19" s="1"/>
  <c r="I104" i="19" s="1"/>
  <c r="E99" i="19"/>
  <c r="G99" i="19" s="1"/>
  <c r="I99" i="19" s="1"/>
  <c r="E106" i="19"/>
  <c r="G106" i="19" s="1"/>
  <c r="I106" i="19" s="1"/>
  <c r="E108" i="19"/>
  <c r="G108" i="19" s="1"/>
  <c r="I108" i="19" s="1"/>
  <c r="E107" i="19"/>
  <c r="G107" i="19" s="1"/>
  <c r="I107" i="19" s="1"/>
  <c r="E98" i="19"/>
  <c r="G98" i="19" s="1"/>
  <c r="I98" i="19" s="1"/>
  <c r="E103" i="19"/>
  <c r="G103" i="19" s="1"/>
  <c r="I103" i="19" s="1"/>
  <c r="E102" i="19"/>
  <c r="G102" i="19" s="1"/>
  <c r="I102" i="19" s="1"/>
  <c r="E101" i="19"/>
  <c r="G101" i="19" s="1"/>
  <c r="I101" i="19" s="1"/>
  <c r="E100" i="19"/>
  <c r="G100" i="19" s="1"/>
  <c r="I100" i="19" s="1"/>
  <c r="E96" i="19"/>
  <c r="G96" i="19" s="1"/>
  <c r="I96" i="19" s="1"/>
  <c r="E95" i="19"/>
  <c r="G95" i="19" s="1"/>
  <c r="I95" i="19" s="1"/>
  <c r="E93" i="19"/>
  <c r="G93" i="19" s="1"/>
  <c r="I93" i="19" s="1"/>
  <c r="E97" i="19"/>
  <c r="G97" i="19" s="1"/>
  <c r="I97" i="19" s="1"/>
  <c r="E111" i="19"/>
  <c r="G111" i="19" s="1"/>
  <c r="I111" i="19" s="1"/>
  <c r="E112" i="19"/>
  <c r="G112" i="19" s="1"/>
  <c r="I112" i="19" s="1"/>
  <c r="E94" i="19"/>
  <c r="G94" i="19" s="1"/>
  <c r="I94" i="19" s="1"/>
  <c r="Y69" i="19"/>
  <c r="Y65" i="19"/>
  <c r="Y95" i="19"/>
  <c r="Z64" i="19"/>
  <c r="Z66" i="19"/>
  <c r="Z93" i="19"/>
  <c r="Z106" i="19"/>
  <c r="P13" i="4"/>
  <c r="AA58" i="19" l="1"/>
  <c r="AB58" i="19" s="1"/>
  <c r="M79" i="19"/>
  <c r="N79" i="19" s="1"/>
  <c r="AF44" i="19" s="1"/>
  <c r="AA68" i="19"/>
  <c r="AB68" i="19" s="1"/>
  <c r="AF63" i="19" s="1"/>
  <c r="M58" i="19"/>
  <c r="N58" i="19" s="1"/>
  <c r="Z202" i="19"/>
  <c r="AA65" i="19"/>
  <c r="AB65" i="19" s="1"/>
  <c r="AF60" i="19" s="1"/>
  <c r="Z173" i="19"/>
  <c r="Y154" i="19"/>
  <c r="AA154" i="19" s="1"/>
  <c r="AB154" i="19" s="1"/>
  <c r="K90" i="19"/>
  <c r="M90" i="19" s="1"/>
  <c r="N90" i="19" s="1"/>
  <c r="M69" i="19"/>
  <c r="N69" i="19" s="1"/>
  <c r="AF34" i="19" s="1"/>
  <c r="Z167" i="19"/>
  <c r="M67" i="19"/>
  <c r="N67" i="19" s="1"/>
  <c r="AF32" i="19" s="1"/>
  <c r="M66" i="19"/>
  <c r="N66" i="19" s="1"/>
  <c r="AF31" i="19" s="1"/>
  <c r="Z168" i="19"/>
  <c r="Z172" i="19"/>
  <c r="M68" i="19"/>
  <c r="N68" i="19" s="1"/>
  <c r="AF33" i="19" s="1"/>
  <c r="Z174" i="19"/>
  <c r="L111" i="19"/>
  <c r="AA109" i="19"/>
  <c r="AB109" i="19" s="1"/>
  <c r="AG72" i="19" s="1"/>
  <c r="M65" i="19"/>
  <c r="N65" i="19" s="1"/>
  <c r="AF30" i="19" s="1"/>
  <c r="L112" i="19"/>
  <c r="M63" i="19"/>
  <c r="N63" i="19" s="1"/>
  <c r="AF28" i="19" s="1"/>
  <c r="M61" i="19"/>
  <c r="N61" i="19" s="1"/>
  <c r="Z140" i="19"/>
  <c r="Z171" i="19"/>
  <c r="Z159" i="19"/>
  <c r="AA111" i="19"/>
  <c r="AB111" i="19" s="1"/>
  <c r="AG74" i="19" s="1"/>
  <c r="M62" i="19"/>
  <c r="N62" i="19" s="1"/>
  <c r="AF27" i="19" s="1"/>
  <c r="Z166" i="19"/>
  <c r="Z158" i="19"/>
  <c r="AA110" i="19"/>
  <c r="AB110" i="19" s="1"/>
  <c r="AG73" i="19" s="1"/>
  <c r="Z193" i="19"/>
  <c r="AA72" i="19"/>
  <c r="AB72" i="19" s="1"/>
  <c r="AF67" i="19" s="1"/>
  <c r="M77" i="19"/>
  <c r="N77" i="19" s="1"/>
  <c r="AF42" i="19" s="1"/>
  <c r="M71" i="19"/>
  <c r="N71" i="19" s="1"/>
  <c r="AF36" i="19" s="1"/>
  <c r="M75" i="19"/>
  <c r="N75" i="19" s="1"/>
  <c r="AF40" i="19" s="1"/>
  <c r="Z160" i="19"/>
  <c r="AA62" i="19"/>
  <c r="AB62" i="19" s="1"/>
  <c r="AF57" i="19" s="1"/>
  <c r="M70" i="19"/>
  <c r="N70" i="19" s="1"/>
  <c r="AF35" i="19" s="1"/>
  <c r="Z190" i="19"/>
  <c r="AA155" i="19"/>
  <c r="AB155" i="19" s="1"/>
  <c r="AA98" i="19"/>
  <c r="AB98" i="19" s="1"/>
  <c r="AG61" i="19" s="1"/>
  <c r="L104" i="19"/>
  <c r="Z196" i="19"/>
  <c r="L100" i="19"/>
  <c r="Z206" i="19"/>
  <c r="Z189" i="19"/>
  <c r="Z198" i="19"/>
  <c r="Z175" i="19"/>
  <c r="Z161" i="19"/>
  <c r="Z144" i="19"/>
  <c r="Z203" i="19"/>
  <c r="Z207" i="19"/>
  <c r="Z128" i="19"/>
  <c r="Z138" i="19"/>
  <c r="M80" i="19"/>
  <c r="N80" i="19" s="1"/>
  <c r="AF45" i="19" s="1"/>
  <c r="Z143" i="19"/>
  <c r="L97" i="19"/>
  <c r="Z163" i="19"/>
  <c r="M91" i="19"/>
  <c r="N91" i="19" s="1"/>
  <c r="Z208" i="19"/>
  <c r="Z130" i="19"/>
  <c r="Z192" i="19"/>
  <c r="AA75" i="19"/>
  <c r="AB75" i="19" s="1"/>
  <c r="AF70" i="19" s="1"/>
  <c r="L105" i="19"/>
  <c r="Z136" i="19"/>
  <c r="AA94" i="19"/>
  <c r="AB94" i="19" s="1"/>
  <c r="AG57" i="19" s="1"/>
  <c r="M64" i="19"/>
  <c r="N64" i="19" s="1"/>
  <c r="AF29" i="19" s="1"/>
  <c r="Z131" i="19"/>
  <c r="Z164" i="19"/>
  <c r="AA78" i="19"/>
  <c r="AB78" i="19" s="1"/>
  <c r="AF73" i="19" s="1"/>
  <c r="Z157" i="19"/>
  <c r="M78" i="19"/>
  <c r="N78" i="19" s="1"/>
  <c r="AF43" i="19" s="1"/>
  <c r="Z200" i="19"/>
  <c r="AA103" i="19"/>
  <c r="AB103" i="19" s="1"/>
  <c r="AG66" i="19" s="1"/>
  <c r="M72" i="19"/>
  <c r="N72" i="19" s="1"/>
  <c r="AF37" i="19" s="1"/>
  <c r="Z176" i="19"/>
  <c r="M74" i="19"/>
  <c r="N74" i="19" s="1"/>
  <c r="AF39" i="19" s="1"/>
  <c r="Z135" i="19"/>
  <c r="L99" i="19"/>
  <c r="Z191" i="19"/>
  <c r="Z125" i="19"/>
  <c r="AA100" i="19"/>
  <c r="AB100" i="19" s="1"/>
  <c r="AG63" i="19" s="1"/>
  <c r="L123" i="19"/>
  <c r="Z142" i="19"/>
  <c r="AA112" i="19"/>
  <c r="AB112" i="19" s="1"/>
  <c r="AG75" i="19" s="1"/>
  <c r="Z126" i="19"/>
  <c r="AA93" i="19"/>
  <c r="AB93" i="19" s="1"/>
  <c r="Y197" i="19"/>
  <c r="Z137" i="19"/>
  <c r="AA107" i="19"/>
  <c r="AB107" i="19" s="1"/>
  <c r="AG70" i="19" s="1"/>
  <c r="L98" i="19"/>
  <c r="L94" i="19"/>
  <c r="Z194" i="19"/>
  <c r="AA95" i="19"/>
  <c r="AB95" i="19" s="1"/>
  <c r="AG58" i="19" s="1"/>
  <c r="Z134" i="19"/>
  <c r="Z204" i="19"/>
  <c r="Z197" i="19"/>
  <c r="Z139" i="19"/>
  <c r="Y193" i="19"/>
  <c r="AA99" i="19"/>
  <c r="AB99" i="19" s="1"/>
  <c r="AG62" i="19" s="1"/>
  <c r="AA74" i="19"/>
  <c r="AB74" i="19" s="1"/>
  <c r="AF69" i="19" s="1"/>
  <c r="Y191" i="19"/>
  <c r="Z141" i="19"/>
  <c r="L106" i="19"/>
  <c r="AA67" i="19"/>
  <c r="AB67" i="19" s="1"/>
  <c r="AF62" i="19" s="1"/>
  <c r="Z199" i="19"/>
  <c r="Y206" i="19"/>
  <c r="L102" i="19"/>
  <c r="Z162" i="19"/>
  <c r="Z132" i="19"/>
  <c r="L93" i="19"/>
  <c r="L107" i="19"/>
  <c r="L95" i="19"/>
  <c r="AA70" i="19"/>
  <c r="AB70" i="19" s="1"/>
  <c r="AF65" i="19" s="1"/>
  <c r="Z201" i="19"/>
  <c r="AA69" i="19"/>
  <c r="AB69" i="19" s="1"/>
  <c r="AF64" i="19" s="1"/>
  <c r="Z127" i="19"/>
  <c r="L96" i="19"/>
  <c r="Y203" i="19"/>
  <c r="Y208" i="19"/>
  <c r="Z195" i="19"/>
  <c r="AA102" i="19"/>
  <c r="AB102" i="19" s="1"/>
  <c r="AG65" i="19" s="1"/>
  <c r="Z165" i="19"/>
  <c r="Z129" i="19"/>
  <c r="Z133" i="19"/>
  <c r="AA108" i="19"/>
  <c r="AB108" i="19" s="1"/>
  <c r="AG71" i="19" s="1"/>
  <c r="Z205" i="19"/>
  <c r="K99" i="19"/>
  <c r="C140" i="19"/>
  <c r="C137" i="19"/>
  <c r="C134" i="19"/>
  <c r="C131" i="19"/>
  <c r="C128" i="19"/>
  <c r="C125" i="19"/>
  <c r="C143" i="19"/>
  <c r="C126" i="19"/>
  <c r="C144" i="19"/>
  <c r="C135" i="19"/>
  <c r="C136" i="19"/>
  <c r="C133" i="19"/>
  <c r="C132" i="19"/>
  <c r="C141" i="19"/>
  <c r="C142" i="19"/>
  <c r="C139" i="19"/>
  <c r="C138" i="19"/>
  <c r="C129" i="19"/>
  <c r="C130" i="19"/>
  <c r="C127" i="19"/>
  <c r="Y160" i="19"/>
  <c r="Y162" i="19"/>
  <c r="Y142" i="19"/>
  <c r="Y131" i="19"/>
  <c r="K108" i="19"/>
  <c r="Y161" i="19"/>
  <c r="Y174" i="19"/>
  <c r="Y128" i="19"/>
  <c r="Y130" i="19"/>
  <c r="K111" i="19"/>
  <c r="K109" i="19"/>
  <c r="Y204" i="19"/>
  <c r="Y189" i="19"/>
  <c r="Y173" i="19"/>
  <c r="Y164" i="19"/>
  <c r="Y133" i="19"/>
  <c r="Y134" i="19"/>
  <c r="AA123" i="19"/>
  <c r="AB123" i="19" s="1"/>
  <c r="G154" i="19"/>
  <c r="I154" i="19" s="1"/>
  <c r="E157" i="19"/>
  <c r="G157" i="19" s="1"/>
  <c r="I157" i="19" s="1"/>
  <c r="E173" i="19"/>
  <c r="G173" i="19" s="1"/>
  <c r="I173" i="19" s="1"/>
  <c r="E167" i="19"/>
  <c r="G167" i="19" s="1"/>
  <c r="I167" i="19" s="1"/>
  <c r="E166" i="19"/>
  <c r="G166" i="19" s="1"/>
  <c r="I166" i="19" s="1"/>
  <c r="E163" i="19"/>
  <c r="G163" i="19" s="1"/>
  <c r="I163" i="19" s="1"/>
  <c r="E160" i="19"/>
  <c r="G160" i="19" s="1"/>
  <c r="I160" i="19" s="1"/>
  <c r="E170" i="19"/>
  <c r="G170" i="19" s="1"/>
  <c r="I170" i="19" s="1"/>
  <c r="E168" i="19"/>
  <c r="G168" i="19" s="1"/>
  <c r="I168" i="19" s="1"/>
  <c r="E162" i="19"/>
  <c r="G162" i="19" s="1"/>
  <c r="I162" i="19" s="1"/>
  <c r="E161" i="19"/>
  <c r="G161" i="19" s="1"/>
  <c r="I161" i="19" s="1"/>
  <c r="E176" i="19"/>
  <c r="G176" i="19" s="1"/>
  <c r="I176" i="19" s="1"/>
  <c r="E158" i="19"/>
  <c r="G158" i="19" s="1"/>
  <c r="I158" i="19" s="1"/>
  <c r="E159" i="19"/>
  <c r="G159" i="19" s="1"/>
  <c r="I159" i="19" s="1"/>
  <c r="E169" i="19"/>
  <c r="G169" i="19" s="1"/>
  <c r="I169" i="19" s="1"/>
  <c r="E172" i="19"/>
  <c r="G172" i="19" s="1"/>
  <c r="I172" i="19" s="1"/>
  <c r="E164" i="19"/>
  <c r="G164" i="19" s="1"/>
  <c r="I164" i="19" s="1"/>
  <c r="E165" i="19"/>
  <c r="G165" i="19" s="1"/>
  <c r="I165" i="19" s="1"/>
  <c r="E174" i="19"/>
  <c r="G174" i="19" s="1"/>
  <c r="I174" i="19" s="1"/>
  <c r="E175" i="19"/>
  <c r="G175" i="19" s="1"/>
  <c r="I175" i="19" s="1"/>
  <c r="E171" i="19"/>
  <c r="G171" i="19" s="1"/>
  <c r="I171" i="19" s="1"/>
  <c r="K112" i="19"/>
  <c r="K110" i="19"/>
  <c r="Y207" i="19"/>
  <c r="H122" i="19"/>
  <c r="J122" i="19" s="1"/>
  <c r="F139" i="19"/>
  <c r="H139" i="19" s="1"/>
  <c r="J139" i="19" s="1"/>
  <c r="F134" i="19"/>
  <c r="H134" i="19" s="1"/>
  <c r="J134" i="19" s="1"/>
  <c r="F130" i="19"/>
  <c r="H130" i="19" s="1"/>
  <c r="J130" i="19" s="1"/>
  <c r="F131" i="19"/>
  <c r="H131" i="19" s="1"/>
  <c r="J131" i="19" s="1"/>
  <c r="F141" i="19"/>
  <c r="H141" i="19" s="1"/>
  <c r="J141" i="19" s="1"/>
  <c r="F138" i="19"/>
  <c r="H138" i="19" s="1"/>
  <c r="J138" i="19" s="1"/>
  <c r="F127" i="19"/>
  <c r="H127" i="19" s="1"/>
  <c r="J127" i="19" s="1"/>
  <c r="F140" i="19"/>
  <c r="H140" i="19" s="1"/>
  <c r="J140" i="19" s="1"/>
  <c r="F136" i="19"/>
  <c r="H136" i="19" s="1"/>
  <c r="J136" i="19" s="1"/>
  <c r="F137" i="19"/>
  <c r="H137" i="19" s="1"/>
  <c r="J137" i="19" s="1"/>
  <c r="F144" i="19"/>
  <c r="H144" i="19" s="1"/>
  <c r="J144" i="19" s="1"/>
  <c r="F129" i="19"/>
  <c r="H129" i="19" s="1"/>
  <c r="J129" i="19" s="1"/>
  <c r="F126" i="19"/>
  <c r="H126" i="19" s="1"/>
  <c r="J126" i="19" s="1"/>
  <c r="F133" i="19"/>
  <c r="H133" i="19" s="1"/>
  <c r="J133" i="19" s="1"/>
  <c r="F128" i="19"/>
  <c r="H128" i="19" s="1"/>
  <c r="J128" i="19" s="1"/>
  <c r="F142" i="19"/>
  <c r="H142" i="19" s="1"/>
  <c r="J142" i="19" s="1"/>
  <c r="F125" i="19"/>
  <c r="H125" i="19" s="1"/>
  <c r="J125" i="19" s="1"/>
  <c r="F143" i="19"/>
  <c r="H143" i="19" s="1"/>
  <c r="J143" i="19" s="1"/>
  <c r="F135" i="19"/>
  <c r="H135" i="19" s="1"/>
  <c r="J135" i="19" s="1"/>
  <c r="F132" i="19"/>
  <c r="H132" i="19" s="1"/>
  <c r="J132" i="19" s="1"/>
  <c r="Y170" i="19"/>
  <c r="AA170" i="19" s="1"/>
  <c r="AB170" i="19" s="1"/>
  <c r="AI69" i="19" s="1"/>
  <c r="Y157" i="19"/>
  <c r="Y126" i="19"/>
  <c r="Y139" i="19"/>
  <c r="K155" i="19"/>
  <c r="AA79" i="19"/>
  <c r="AB79" i="19" s="1"/>
  <c r="AF74" i="19" s="1"/>
  <c r="K104" i="19"/>
  <c r="K98" i="19"/>
  <c r="Y198" i="19"/>
  <c r="Y201" i="19"/>
  <c r="B180" i="19"/>
  <c r="F187" i="19"/>
  <c r="H187" i="19" s="1"/>
  <c r="J187" i="19" s="1"/>
  <c r="E187" i="19"/>
  <c r="G187" i="19" s="1"/>
  <c r="I187" i="19" s="1"/>
  <c r="D186" i="19"/>
  <c r="C186" i="19"/>
  <c r="F186" i="19"/>
  <c r="E186" i="19"/>
  <c r="D187" i="19"/>
  <c r="C187" i="19"/>
  <c r="Y166" i="19"/>
  <c r="Y169" i="19"/>
  <c r="AA169" i="19" s="1"/>
  <c r="AB169" i="19" s="1"/>
  <c r="AI68" i="19" s="1"/>
  <c r="Y129" i="19"/>
  <c r="Y132" i="19"/>
  <c r="AA101" i="19"/>
  <c r="AB101" i="19" s="1"/>
  <c r="AG64" i="19" s="1"/>
  <c r="L108" i="19"/>
  <c r="K96" i="19"/>
  <c r="K100" i="19"/>
  <c r="Y200" i="19"/>
  <c r="Y196" i="19"/>
  <c r="L122" i="19"/>
  <c r="D136" i="19"/>
  <c r="D133" i="19"/>
  <c r="D140" i="19"/>
  <c r="D135" i="19"/>
  <c r="D131" i="19"/>
  <c r="D132" i="19"/>
  <c r="D142" i="19"/>
  <c r="D139" i="19"/>
  <c r="D128" i="19"/>
  <c r="D141" i="19"/>
  <c r="D137" i="19"/>
  <c r="D138" i="19"/>
  <c r="D130" i="19"/>
  <c r="D127" i="19"/>
  <c r="D134" i="19"/>
  <c r="D129" i="19"/>
  <c r="D125" i="19"/>
  <c r="D143" i="19"/>
  <c r="D126" i="19"/>
  <c r="D144" i="19"/>
  <c r="Y187" i="19"/>
  <c r="AA187" i="19" s="1"/>
  <c r="AB187" i="19" s="1"/>
  <c r="Y176" i="19"/>
  <c r="Y172" i="19"/>
  <c r="Y144" i="19"/>
  <c r="Y135" i="19"/>
  <c r="AA77" i="19"/>
  <c r="AB77" i="19" s="1"/>
  <c r="AF72" i="19" s="1"/>
  <c r="L109" i="19"/>
  <c r="L101" i="19"/>
  <c r="K97" i="19"/>
  <c r="K105" i="19"/>
  <c r="Y192" i="19"/>
  <c r="Y190" i="19"/>
  <c r="M76" i="19"/>
  <c r="N76" i="19" s="1"/>
  <c r="AF41" i="19" s="1"/>
  <c r="Y171" i="19"/>
  <c r="Y167" i="19"/>
  <c r="Y137" i="19"/>
  <c r="Y122" i="19"/>
  <c r="AA122" i="19" s="1"/>
  <c r="AB122" i="19" s="1"/>
  <c r="AA73" i="19"/>
  <c r="AB73" i="19" s="1"/>
  <c r="AF68" i="19" s="1"/>
  <c r="K102" i="19"/>
  <c r="K93" i="19"/>
  <c r="Y194" i="19"/>
  <c r="Y199" i="19"/>
  <c r="Y159" i="19"/>
  <c r="Y136" i="19"/>
  <c r="C168" i="19"/>
  <c r="C164" i="19"/>
  <c r="C161" i="19"/>
  <c r="C158" i="19"/>
  <c r="C163" i="19"/>
  <c r="C162" i="19"/>
  <c r="C171" i="19"/>
  <c r="C174" i="19"/>
  <c r="C173" i="19"/>
  <c r="C159" i="19"/>
  <c r="C160" i="19"/>
  <c r="C166" i="19"/>
  <c r="C170" i="19"/>
  <c r="C167" i="19"/>
  <c r="C175" i="19"/>
  <c r="C165" i="19"/>
  <c r="C172" i="19"/>
  <c r="C157" i="19"/>
  <c r="C169" i="19"/>
  <c r="C176" i="19"/>
  <c r="K103" i="19"/>
  <c r="K101" i="19"/>
  <c r="Y175" i="19"/>
  <c r="Y140" i="19"/>
  <c r="AA106" i="19"/>
  <c r="AB106" i="19" s="1"/>
  <c r="AG69" i="19" s="1"/>
  <c r="L154" i="19"/>
  <c r="D172" i="19"/>
  <c r="D170" i="19"/>
  <c r="D171" i="19"/>
  <c r="D174" i="19"/>
  <c r="D161" i="19"/>
  <c r="D176" i="19"/>
  <c r="D162" i="19"/>
  <c r="D168" i="19"/>
  <c r="D158" i="19"/>
  <c r="D175" i="19"/>
  <c r="D160" i="19"/>
  <c r="D164" i="19"/>
  <c r="D169" i="19"/>
  <c r="D157" i="19"/>
  <c r="D166" i="19"/>
  <c r="D159" i="19"/>
  <c r="D167" i="19"/>
  <c r="D163" i="19"/>
  <c r="D173" i="19"/>
  <c r="D165" i="19"/>
  <c r="H154" i="19"/>
  <c r="J154" i="19" s="1"/>
  <c r="F175" i="19"/>
  <c r="H175" i="19" s="1"/>
  <c r="J175" i="19" s="1"/>
  <c r="F176" i="19"/>
  <c r="H176" i="19" s="1"/>
  <c r="J176" i="19" s="1"/>
  <c r="F160" i="19"/>
  <c r="H160" i="19" s="1"/>
  <c r="J160" i="19" s="1"/>
  <c r="F171" i="19"/>
  <c r="H171" i="19" s="1"/>
  <c r="J171" i="19" s="1"/>
  <c r="F161" i="19"/>
  <c r="H161" i="19" s="1"/>
  <c r="J161" i="19" s="1"/>
  <c r="F170" i="19"/>
  <c r="H170" i="19" s="1"/>
  <c r="J170" i="19" s="1"/>
  <c r="F173" i="19"/>
  <c r="H173" i="19" s="1"/>
  <c r="J173" i="19" s="1"/>
  <c r="F166" i="19"/>
  <c r="H166" i="19" s="1"/>
  <c r="J166" i="19" s="1"/>
  <c r="F167" i="19"/>
  <c r="H167" i="19" s="1"/>
  <c r="J167" i="19" s="1"/>
  <c r="F157" i="19"/>
  <c r="H157" i="19" s="1"/>
  <c r="J157" i="19" s="1"/>
  <c r="F159" i="19"/>
  <c r="H159" i="19" s="1"/>
  <c r="J159" i="19" s="1"/>
  <c r="F163" i="19"/>
  <c r="H163" i="19" s="1"/>
  <c r="J163" i="19" s="1"/>
  <c r="F174" i="19"/>
  <c r="H174" i="19" s="1"/>
  <c r="J174" i="19" s="1"/>
  <c r="F165" i="19"/>
  <c r="H165" i="19" s="1"/>
  <c r="J165" i="19" s="1"/>
  <c r="F158" i="19"/>
  <c r="H158" i="19" s="1"/>
  <c r="J158" i="19" s="1"/>
  <c r="F168" i="19"/>
  <c r="H168" i="19" s="1"/>
  <c r="J168" i="19" s="1"/>
  <c r="F162" i="19"/>
  <c r="H162" i="19" s="1"/>
  <c r="J162" i="19" s="1"/>
  <c r="F172" i="19"/>
  <c r="H172" i="19" s="1"/>
  <c r="J172" i="19" s="1"/>
  <c r="F164" i="19"/>
  <c r="H164" i="19" s="1"/>
  <c r="J164" i="19" s="1"/>
  <c r="F169" i="19"/>
  <c r="H169" i="19" s="1"/>
  <c r="J169" i="19" s="1"/>
  <c r="K95" i="19"/>
  <c r="K106" i="19"/>
  <c r="Y202" i="19"/>
  <c r="Y186" i="19"/>
  <c r="AA186" i="19" s="1"/>
  <c r="AB186" i="19" s="1"/>
  <c r="AA97" i="19"/>
  <c r="AB97" i="19" s="1"/>
  <c r="AG60" i="19" s="1"/>
  <c r="Y168" i="19"/>
  <c r="AA63" i="19"/>
  <c r="AB63" i="19" s="1"/>
  <c r="AF58" i="19" s="1"/>
  <c r="Y127" i="19"/>
  <c r="AA104" i="19"/>
  <c r="AB104" i="19" s="1"/>
  <c r="AG67" i="19" s="1"/>
  <c r="AA71" i="19"/>
  <c r="AB71" i="19" s="1"/>
  <c r="AF66" i="19" s="1"/>
  <c r="L155" i="19"/>
  <c r="AA66" i="19"/>
  <c r="AB66" i="19" s="1"/>
  <c r="AF61" i="19" s="1"/>
  <c r="K94" i="19"/>
  <c r="Y195" i="19"/>
  <c r="M73" i="19"/>
  <c r="N73" i="19" s="1"/>
  <c r="AF38" i="19" s="1"/>
  <c r="E142" i="19"/>
  <c r="G142" i="19" s="1"/>
  <c r="I142" i="19" s="1"/>
  <c r="E139" i="19"/>
  <c r="G139" i="19" s="1"/>
  <c r="I139" i="19" s="1"/>
  <c r="E136" i="19"/>
  <c r="G136" i="19" s="1"/>
  <c r="I136" i="19" s="1"/>
  <c r="G122" i="19"/>
  <c r="I122" i="19" s="1"/>
  <c r="E133" i="19"/>
  <c r="G133" i="19" s="1"/>
  <c r="I133" i="19" s="1"/>
  <c r="E130" i="19"/>
  <c r="G130" i="19" s="1"/>
  <c r="I130" i="19" s="1"/>
  <c r="E127" i="19"/>
  <c r="G127" i="19" s="1"/>
  <c r="I127" i="19" s="1"/>
  <c r="E134" i="19"/>
  <c r="G134" i="19" s="1"/>
  <c r="I134" i="19" s="1"/>
  <c r="E135" i="19"/>
  <c r="G135" i="19" s="1"/>
  <c r="I135" i="19" s="1"/>
  <c r="E132" i="19"/>
  <c r="G132" i="19" s="1"/>
  <c r="I132" i="19" s="1"/>
  <c r="E131" i="19"/>
  <c r="G131" i="19" s="1"/>
  <c r="I131" i="19" s="1"/>
  <c r="E140" i="19"/>
  <c r="G140" i="19" s="1"/>
  <c r="I140" i="19" s="1"/>
  <c r="E141" i="19"/>
  <c r="G141" i="19" s="1"/>
  <c r="I141" i="19" s="1"/>
  <c r="E138" i="19"/>
  <c r="G138" i="19" s="1"/>
  <c r="I138" i="19" s="1"/>
  <c r="E137" i="19"/>
  <c r="G137" i="19" s="1"/>
  <c r="I137" i="19" s="1"/>
  <c r="E128" i="19"/>
  <c r="G128" i="19" s="1"/>
  <c r="I128" i="19" s="1"/>
  <c r="E129" i="19"/>
  <c r="G129" i="19" s="1"/>
  <c r="I129" i="19" s="1"/>
  <c r="E126" i="19"/>
  <c r="G126" i="19" s="1"/>
  <c r="I126" i="19" s="1"/>
  <c r="E144" i="19"/>
  <c r="G144" i="19" s="1"/>
  <c r="I144" i="19" s="1"/>
  <c r="E125" i="19"/>
  <c r="G125" i="19" s="1"/>
  <c r="I125" i="19" s="1"/>
  <c r="E143" i="19"/>
  <c r="G143" i="19" s="1"/>
  <c r="I143" i="19" s="1"/>
  <c r="AA105" i="19"/>
  <c r="AB105" i="19" s="1"/>
  <c r="AG68" i="19" s="1"/>
  <c r="Y158" i="19"/>
  <c r="Y143" i="19"/>
  <c r="Y138" i="19"/>
  <c r="AA61" i="19"/>
  <c r="AA80" i="19"/>
  <c r="AB80" i="19" s="1"/>
  <c r="AF75" i="19" s="1"/>
  <c r="AA64" i="19"/>
  <c r="AB64" i="19" s="1"/>
  <c r="AF59" i="19" s="1"/>
  <c r="L103" i="19"/>
  <c r="L110" i="19"/>
  <c r="K107" i="19"/>
  <c r="Y205" i="19"/>
  <c r="K123" i="19"/>
  <c r="Y163" i="19"/>
  <c r="Y165" i="19"/>
  <c r="Y125" i="19"/>
  <c r="Y141" i="19"/>
  <c r="AA76" i="19"/>
  <c r="AB76" i="19" s="1"/>
  <c r="AF71" i="19" s="1"/>
  <c r="AA96" i="19"/>
  <c r="AB96" i="19" s="1"/>
  <c r="AG59" i="19" s="1"/>
  <c r="DI11" i="5"/>
  <c r="CY11" i="5"/>
  <c r="BP19" i="5"/>
  <c r="CA25" i="5" s="1"/>
  <c r="BP18" i="5"/>
  <c r="CM11" i="5"/>
  <c r="CH45" i="5" s="1"/>
  <c r="CF11" i="5"/>
  <c r="P27" i="19"/>
  <c r="B27" i="19"/>
  <c r="P26" i="19"/>
  <c r="B26" i="19"/>
  <c r="AL25" i="19"/>
  <c r="R167" i="18"/>
  <c r="Q167" i="18"/>
  <c r="T11" i="5"/>
  <c r="H155" i="18"/>
  <c r="D155" i="18"/>
  <c r="B165" i="18"/>
  <c r="E169" i="18"/>
  <c r="I169" i="18"/>
  <c r="I166" i="18"/>
  <c r="E166" i="18"/>
  <c r="J169" i="18"/>
  <c r="W167" i="18"/>
  <c r="U167" i="18"/>
  <c r="P167" i="18"/>
  <c r="L34" i="5"/>
  <c r="L45" i="5"/>
  <c r="AB34" i="5"/>
  <c r="O169" i="18"/>
  <c r="X167" i="18"/>
  <c r="V167" i="18"/>
  <c r="S167" i="18"/>
  <c r="AE24" i="18"/>
  <c r="AE25" i="18" s="1"/>
  <c r="AE26" i="18" s="1"/>
  <c r="AE27" i="18" s="1"/>
  <c r="AE28" i="18" s="1"/>
  <c r="AE29" i="18" s="1"/>
  <c r="AE30" i="18" s="1"/>
  <c r="AE31" i="18" s="1"/>
  <c r="AE32" i="18" s="1"/>
  <c r="AE33" i="18" s="1"/>
  <c r="AE34" i="18" s="1"/>
  <c r="AE35" i="18" s="1"/>
  <c r="AE36" i="18" s="1"/>
  <c r="AE37" i="18" s="1"/>
  <c r="AE38" i="18" s="1"/>
  <c r="AE39" i="18" s="1"/>
  <c r="AE40" i="18" s="1"/>
  <c r="AE41" i="18" s="1"/>
  <c r="AE42" i="18" s="1"/>
  <c r="AE43" i="18" s="1"/>
  <c r="D169" i="18"/>
  <c r="B169" i="18"/>
  <c r="F169" i="18"/>
  <c r="B126" i="18"/>
  <c r="B127" i="18" s="1"/>
  <c r="B124" i="18"/>
  <c r="B123" i="18"/>
  <c r="B93" i="18"/>
  <c r="B91" i="18"/>
  <c r="B90" i="18"/>
  <c r="B60" i="18"/>
  <c r="B61" i="18" s="1"/>
  <c r="B58" i="18"/>
  <c r="B57" i="18"/>
  <c r="G90" i="18"/>
  <c r="AH21" i="18"/>
  <c r="H57" i="18"/>
  <c r="AG21" i="18"/>
  <c r="P58" i="18"/>
  <c r="D57" i="18"/>
  <c r="O58" i="18"/>
  <c r="D58" i="18"/>
  <c r="C58" i="18"/>
  <c r="C57" i="18"/>
  <c r="L90" i="18"/>
  <c r="C91" i="18"/>
  <c r="Q86" i="18"/>
  <c r="H90" i="18"/>
  <c r="G86" i="18"/>
  <c r="G91" i="18"/>
  <c r="H91" i="18"/>
  <c r="P91" i="18"/>
  <c r="O91" i="18"/>
  <c r="K90" i="18"/>
  <c r="C90" i="18"/>
  <c r="D90" i="18"/>
  <c r="O90" i="18"/>
  <c r="P57" i="18"/>
  <c r="P90" i="18"/>
  <c r="O57" i="18"/>
  <c r="X156" i="18"/>
  <c r="W156" i="18"/>
  <c r="V156" i="18"/>
  <c r="U156" i="18"/>
  <c r="S156" i="18"/>
  <c r="R156" i="18"/>
  <c r="Q156" i="18"/>
  <c r="P156" i="18"/>
  <c r="AB45" i="5"/>
  <c r="L25" i="18"/>
  <c r="AC167" i="18"/>
  <c r="AB167" i="18"/>
  <c r="AA167" i="18"/>
  <c r="Z167" i="18"/>
  <c r="I159" i="18"/>
  <c r="H157" i="18"/>
  <c r="Q20" i="18"/>
  <c r="D25" i="18"/>
  <c r="P24" i="18"/>
  <c r="O24" i="18"/>
  <c r="D24" i="18"/>
  <c r="K24" i="18"/>
  <c r="O25" i="18"/>
  <c r="G24" i="18"/>
  <c r="P25" i="18"/>
  <c r="I160" i="18"/>
  <c r="H160" i="18"/>
  <c r="E160" i="18"/>
  <c r="D160" i="18"/>
  <c r="H159" i="18"/>
  <c r="D159" i="18"/>
  <c r="E157" i="18"/>
  <c r="D157" i="18"/>
  <c r="AE47" i="18"/>
  <c r="B27" i="18"/>
  <c r="B28" i="18" s="1"/>
  <c r="B29" i="18" s="1"/>
  <c r="B30" i="18" s="1"/>
  <c r="B25" i="18"/>
  <c r="B24" i="18"/>
  <c r="U132" i="16"/>
  <c r="U133" i="16" s="1"/>
  <c r="U134" i="16" s="1"/>
  <c r="U135" i="16" s="1"/>
  <c r="U136" i="16" s="1"/>
  <c r="U137" i="16" s="1"/>
  <c r="U138" i="16" s="1"/>
  <c r="U139" i="16" s="1"/>
  <c r="U140" i="16" s="1"/>
  <c r="U141" i="16" s="1"/>
  <c r="U142" i="16" s="1"/>
  <c r="U143" i="16" s="1"/>
  <c r="U144" i="16" s="1"/>
  <c r="U145" i="16" s="1"/>
  <c r="U146" i="16" s="1"/>
  <c r="U147" i="16" s="1"/>
  <c r="U148" i="16" s="1"/>
  <c r="U149" i="16" s="1"/>
  <c r="U150" i="16" s="1"/>
  <c r="U151" i="16" s="1"/>
  <c r="U98" i="16"/>
  <c r="U99" i="16" s="1"/>
  <c r="U100" i="16" s="1"/>
  <c r="U101" i="16" s="1"/>
  <c r="U102" i="16" s="1"/>
  <c r="U103" i="16" s="1"/>
  <c r="U104" i="16" s="1"/>
  <c r="U105" i="16" s="1"/>
  <c r="U106" i="16" s="1"/>
  <c r="U107" i="16" s="1"/>
  <c r="U108" i="16" s="1"/>
  <c r="U109" i="16" s="1"/>
  <c r="U110" i="16" s="1"/>
  <c r="U111" i="16" s="1"/>
  <c r="U112" i="16" s="1"/>
  <c r="U113" i="16" s="1"/>
  <c r="U114" i="16" s="1"/>
  <c r="U115" i="16" s="1"/>
  <c r="U116" i="16" s="1"/>
  <c r="U117" i="16" s="1"/>
  <c r="U64" i="16"/>
  <c r="U65" i="16" s="1"/>
  <c r="U66" i="16" s="1"/>
  <c r="U67" i="16" s="1"/>
  <c r="U68" i="16" s="1"/>
  <c r="U69" i="16" s="1"/>
  <c r="U70" i="16" s="1"/>
  <c r="U71" i="16" s="1"/>
  <c r="U72" i="16" s="1"/>
  <c r="U73" i="16" s="1"/>
  <c r="U74" i="16" s="1"/>
  <c r="U75" i="16" s="1"/>
  <c r="U76" i="16" s="1"/>
  <c r="U77" i="16" s="1"/>
  <c r="U78" i="16" s="1"/>
  <c r="U79" i="16" s="1"/>
  <c r="U80" i="16" s="1"/>
  <c r="U81" i="16" s="1"/>
  <c r="U82" i="16" s="1"/>
  <c r="U83" i="16" s="1"/>
  <c r="W117" i="8"/>
  <c r="W118" i="8" s="1"/>
  <c r="W119" i="8" s="1"/>
  <c r="W120" i="8" s="1"/>
  <c r="W121" i="8" s="1"/>
  <c r="W122" i="8" s="1"/>
  <c r="W123" i="8" s="1"/>
  <c r="W124" i="8" s="1"/>
  <c r="W125" i="8" s="1"/>
  <c r="W126" i="8" s="1"/>
  <c r="W127" i="8" s="1"/>
  <c r="W128" i="8" s="1"/>
  <c r="W129" i="8" s="1"/>
  <c r="W130" i="8" s="1"/>
  <c r="W131" i="8" s="1"/>
  <c r="W132" i="8" s="1"/>
  <c r="W133" i="8" s="1"/>
  <c r="W134" i="8" s="1"/>
  <c r="W135" i="8" s="1"/>
  <c r="W136" i="8" s="1"/>
  <c r="AE116" i="8"/>
  <c r="X114" i="8"/>
  <c r="AQ34" i="5"/>
  <c r="AQ40" i="5" s="1"/>
  <c r="AR34" i="5"/>
  <c r="AR40" i="5" s="1"/>
  <c r="AN45" i="5"/>
  <c r="AQ45" i="5" s="1"/>
  <c r="AQ51" i="5" s="1"/>
  <c r="AO45" i="5"/>
  <c r="AR45" i="5" s="1"/>
  <c r="AR51" i="5" s="1"/>
  <c r="AP45" i="5"/>
  <c r="AS45" i="5" s="1"/>
  <c r="AS51" i="5" s="1"/>
  <c r="AZ34" i="5"/>
  <c r="AZ45" i="5"/>
  <c r="AK45" i="5"/>
  <c r="U25" i="5"/>
  <c r="E25" i="5"/>
  <c r="U45" i="5"/>
  <c r="E45" i="5"/>
  <c r="U34" i="5"/>
  <c r="E34" i="5"/>
  <c r="C169" i="18" s="1"/>
  <c r="AD45" i="5"/>
  <c r="AC45" i="5"/>
  <c r="AD34" i="5"/>
  <c r="AC34" i="5"/>
  <c r="E25" i="7" s="1"/>
  <c r="M45" i="5"/>
  <c r="N45" i="5"/>
  <c r="J24" i="7" s="1"/>
  <c r="N34" i="5"/>
  <c r="I24" i="7" s="1"/>
  <c r="M34" i="5"/>
  <c r="E24" i="7" s="1"/>
  <c r="AD10" i="5"/>
  <c r="AC10" i="5"/>
  <c r="AB10" i="5"/>
  <c r="AA10" i="5"/>
  <c r="Y10" i="5"/>
  <c r="X10" i="5"/>
  <c r="W10" i="5"/>
  <c r="V10" i="5"/>
  <c r="A18" i="7"/>
  <c r="G24" i="7" s="1"/>
  <c r="O20" i="7"/>
  <c r="K24" i="7"/>
  <c r="G20" i="7"/>
  <c r="C25" i="7"/>
  <c r="AL19" i="5"/>
  <c r="AL18" i="5"/>
  <c r="V27" i="16"/>
  <c r="BB34" i="5"/>
  <c r="BB45" i="5" s="1"/>
  <c r="BE45" i="5" s="1"/>
  <c r="BE51" i="5" s="1"/>
  <c r="BC34" i="5"/>
  <c r="BF34" i="5" s="1"/>
  <c r="BF40" i="5" s="1"/>
  <c r="BD34" i="5"/>
  <c r="BG34" i="5" s="1"/>
  <c r="BG40" i="5" s="1"/>
  <c r="U53" i="16"/>
  <c r="B33" i="16"/>
  <c r="B34" i="16" s="1"/>
  <c r="B35" i="16" s="1"/>
  <c r="B36" i="16" s="1"/>
  <c r="B37" i="16" s="1"/>
  <c r="B38" i="16" s="1"/>
  <c r="B39" i="16" s="1"/>
  <c r="B40" i="16" s="1"/>
  <c r="B41" i="16" s="1"/>
  <c r="B42" i="16" s="1"/>
  <c r="B43" i="16" s="1"/>
  <c r="B44" i="16" s="1"/>
  <c r="B45" i="16" s="1"/>
  <c r="B46" i="16" s="1"/>
  <c r="B47" i="16" s="1"/>
  <c r="B48" i="16" s="1"/>
  <c r="B49" i="16" s="1"/>
  <c r="B50" i="16" s="1"/>
  <c r="B51" i="16" s="1"/>
  <c r="B52" i="16" s="1"/>
  <c r="U30" i="16"/>
  <c r="U31" i="16" s="1"/>
  <c r="U32" i="16" s="1"/>
  <c r="U33" i="16" s="1"/>
  <c r="U34" i="16" s="1"/>
  <c r="U35" i="16" s="1"/>
  <c r="U36" i="16" s="1"/>
  <c r="U37" i="16" s="1"/>
  <c r="U38" i="16" s="1"/>
  <c r="U39" i="16" s="1"/>
  <c r="U40" i="16" s="1"/>
  <c r="U41" i="16" s="1"/>
  <c r="U42" i="16" s="1"/>
  <c r="U43" i="16" s="1"/>
  <c r="U44" i="16" s="1"/>
  <c r="U45" i="16" s="1"/>
  <c r="U46" i="16" s="1"/>
  <c r="U47" i="16" s="1"/>
  <c r="U48" i="16" s="1"/>
  <c r="U49" i="16" s="1"/>
  <c r="AC29" i="16"/>
  <c r="A24" i="16"/>
  <c r="AS34" i="5"/>
  <c r="AS40" i="5" s="1"/>
  <c r="BN466" i="9"/>
  <c r="BN467" i="9" s="1"/>
  <c r="BN468" i="9" s="1"/>
  <c r="BN469" i="9" s="1"/>
  <c r="BN470" i="9" s="1"/>
  <c r="BN471" i="9" s="1"/>
  <c r="BN472" i="9" s="1"/>
  <c r="BN473" i="9" s="1"/>
  <c r="BN474" i="9" s="1"/>
  <c r="BN475" i="9" s="1"/>
  <c r="BN476" i="9" s="1"/>
  <c r="BN477" i="9" s="1"/>
  <c r="BN478" i="9" s="1"/>
  <c r="BN479" i="9" s="1"/>
  <c r="BN480" i="9" s="1"/>
  <c r="BN481" i="9" s="1"/>
  <c r="BN482" i="9" s="1"/>
  <c r="BN483" i="9" s="1"/>
  <c r="BN484" i="9" s="1"/>
  <c r="BN485" i="9" s="1"/>
  <c r="BO463" i="9"/>
  <c r="BN432" i="9"/>
  <c r="BN433" i="9" s="1"/>
  <c r="BN434" i="9" s="1"/>
  <c r="BN435" i="9" s="1"/>
  <c r="BN436" i="9" s="1"/>
  <c r="BN437" i="9" s="1"/>
  <c r="BN438" i="9" s="1"/>
  <c r="BN439" i="9" s="1"/>
  <c r="BN440" i="9" s="1"/>
  <c r="BN441" i="9" s="1"/>
  <c r="BN442" i="9" s="1"/>
  <c r="BN443" i="9" s="1"/>
  <c r="BN444" i="9" s="1"/>
  <c r="BN445" i="9" s="1"/>
  <c r="BN446" i="9" s="1"/>
  <c r="BN447" i="9" s="1"/>
  <c r="BN448" i="9" s="1"/>
  <c r="BN449" i="9" s="1"/>
  <c r="BN450" i="9" s="1"/>
  <c r="BN451" i="9" s="1"/>
  <c r="BO429" i="9"/>
  <c r="BN398" i="9"/>
  <c r="BN399" i="9" s="1"/>
  <c r="BN400" i="9" s="1"/>
  <c r="BN401" i="9" s="1"/>
  <c r="BN402" i="9" s="1"/>
  <c r="BN403" i="9" s="1"/>
  <c r="BN404" i="9" s="1"/>
  <c r="BN405" i="9" s="1"/>
  <c r="BN406" i="9" s="1"/>
  <c r="BN407" i="9" s="1"/>
  <c r="BN408" i="9" s="1"/>
  <c r="BN409" i="9" s="1"/>
  <c r="BN410" i="9" s="1"/>
  <c r="BN411" i="9" s="1"/>
  <c r="BN412" i="9" s="1"/>
  <c r="BN413" i="9" s="1"/>
  <c r="BN414" i="9" s="1"/>
  <c r="BN415" i="9" s="1"/>
  <c r="BN416" i="9" s="1"/>
  <c r="BN417" i="9" s="1"/>
  <c r="BO395" i="9"/>
  <c r="BN364" i="9"/>
  <c r="BN365" i="9" s="1"/>
  <c r="BN366" i="9" s="1"/>
  <c r="BN367" i="9" s="1"/>
  <c r="BN368" i="9" s="1"/>
  <c r="BN369" i="9" s="1"/>
  <c r="BN370" i="9" s="1"/>
  <c r="BN371" i="9" s="1"/>
  <c r="BN372" i="9" s="1"/>
  <c r="BN373" i="9" s="1"/>
  <c r="BN374" i="9" s="1"/>
  <c r="BN375" i="9" s="1"/>
  <c r="BN376" i="9" s="1"/>
  <c r="BN377" i="9" s="1"/>
  <c r="BN378" i="9" s="1"/>
  <c r="BN379" i="9" s="1"/>
  <c r="BN380" i="9" s="1"/>
  <c r="BN381" i="9" s="1"/>
  <c r="BN382" i="9" s="1"/>
  <c r="BN383" i="9" s="1"/>
  <c r="BO361" i="9"/>
  <c r="BN296" i="9"/>
  <c r="BN297" i="9" s="1"/>
  <c r="BN298" i="9" s="1"/>
  <c r="BN299" i="9" s="1"/>
  <c r="BN300" i="9" s="1"/>
  <c r="BN301" i="9" s="1"/>
  <c r="BN302" i="9" s="1"/>
  <c r="BN303" i="9" s="1"/>
  <c r="BN304" i="9" s="1"/>
  <c r="BN305" i="9" s="1"/>
  <c r="BN306" i="9" s="1"/>
  <c r="BN307" i="9" s="1"/>
  <c r="BN308" i="9" s="1"/>
  <c r="BN309" i="9" s="1"/>
  <c r="BN310" i="9" s="1"/>
  <c r="BN311" i="9" s="1"/>
  <c r="BN312" i="9" s="1"/>
  <c r="BN313" i="9" s="1"/>
  <c r="BN314" i="9" s="1"/>
  <c r="BN315" i="9" s="1"/>
  <c r="BO293" i="9"/>
  <c r="BN262" i="9"/>
  <c r="BN263" i="9" s="1"/>
  <c r="BN264" i="9" s="1"/>
  <c r="BN265" i="9" s="1"/>
  <c r="BN266" i="9" s="1"/>
  <c r="BN267" i="9" s="1"/>
  <c r="BN268" i="9" s="1"/>
  <c r="BN269" i="9" s="1"/>
  <c r="BN270" i="9" s="1"/>
  <c r="BN271" i="9" s="1"/>
  <c r="BN272" i="9" s="1"/>
  <c r="BN273" i="9" s="1"/>
  <c r="BN274" i="9" s="1"/>
  <c r="BN275" i="9" s="1"/>
  <c r="BN276" i="9" s="1"/>
  <c r="BN277" i="9" s="1"/>
  <c r="BN278" i="9" s="1"/>
  <c r="BN279" i="9" s="1"/>
  <c r="BN280" i="9" s="1"/>
  <c r="BN281" i="9" s="1"/>
  <c r="BO259" i="9"/>
  <c r="BN228" i="9"/>
  <c r="BN229" i="9" s="1"/>
  <c r="BN230" i="9" s="1"/>
  <c r="BN231" i="9" s="1"/>
  <c r="BN232" i="9" s="1"/>
  <c r="BN233" i="9" s="1"/>
  <c r="BN234" i="9" s="1"/>
  <c r="BN235" i="9" s="1"/>
  <c r="BN236" i="9" s="1"/>
  <c r="BN237" i="9" s="1"/>
  <c r="BN238" i="9" s="1"/>
  <c r="BN239" i="9" s="1"/>
  <c r="BN240" i="9" s="1"/>
  <c r="BN241" i="9" s="1"/>
  <c r="BN242" i="9" s="1"/>
  <c r="BN243" i="9" s="1"/>
  <c r="BN244" i="9" s="1"/>
  <c r="BN245" i="9" s="1"/>
  <c r="BN246" i="9" s="1"/>
  <c r="BN247" i="9" s="1"/>
  <c r="BO225" i="9"/>
  <c r="BN194" i="9"/>
  <c r="BN195" i="9" s="1"/>
  <c r="BN196" i="9" s="1"/>
  <c r="BN197" i="9" s="1"/>
  <c r="BN198" i="9" s="1"/>
  <c r="BN199" i="9" s="1"/>
  <c r="BN200" i="9" s="1"/>
  <c r="BN201" i="9" s="1"/>
  <c r="BN202" i="9" s="1"/>
  <c r="BN203" i="9" s="1"/>
  <c r="BN204" i="9" s="1"/>
  <c r="BN205" i="9" s="1"/>
  <c r="BN206" i="9" s="1"/>
  <c r="BN207" i="9" s="1"/>
  <c r="BN208" i="9" s="1"/>
  <c r="BN209" i="9" s="1"/>
  <c r="BN210" i="9" s="1"/>
  <c r="BN211" i="9" s="1"/>
  <c r="BN212" i="9" s="1"/>
  <c r="BN213" i="9" s="1"/>
  <c r="BO191" i="9"/>
  <c r="BN160" i="9"/>
  <c r="BN161" i="9" s="1"/>
  <c r="BN162" i="9" s="1"/>
  <c r="BN163" i="9" s="1"/>
  <c r="BN164" i="9" s="1"/>
  <c r="BN165" i="9" s="1"/>
  <c r="BN166" i="9" s="1"/>
  <c r="BN167" i="9" s="1"/>
  <c r="BN168" i="9" s="1"/>
  <c r="BN169" i="9" s="1"/>
  <c r="BN170" i="9" s="1"/>
  <c r="BN171" i="9" s="1"/>
  <c r="BN172" i="9" s="1"/>
  <c r="BN173" i="9" s="1"/>
  <c r="BN174" i="9" s="1"/>
  <c r="BN175" i="9" s="1"/>
  <c r="BN176" i="9" s="1"/>
  <c r="BN177" i="9" s="1"/>
  <c r="BN178" i="9" s="1"/>
  <c r="BN179" i="9" s="1"/>
  <c r="BO157" i="9"/>
  <c r="BN126" i="9"/>
  <c r="BN127" i="9" s="1"/>
  <c r="BN128" i="9" s="1"/>
  <c r="BN129" i="9" s="1"/>
  <c r="BN130" i="9" s="1"/>
  <c r="BN131" i="9" s="1"/>
  <c r="BN132" i="9" s="1"/>
  <c r="BN133" i="9" s="1"/>
  <c r="BN134" i="9" s="1"/>
  <c r="BN135" i="9" s="1"/>
  <c r="BN136" i="9" s="1"/>
  <c r="BN137" i="9" s="1"/>
  <c r="BN138" i="9" s="1"/>
  <c r="BN139" i="9" s="1"/>
  <c r="BN140" i="9" s="1"/>
  <c r="BN141" i="9" s="1"/>
  <c r="BN142" i="9" s="1"/>
  <c r="BN143" i="9" s="1"/>
  <c r="BN144" i="9" s="1"/>
  <c r="BN145" i="9" s="1"/>
  <c r="BO123" i="9"/>
  <c r="BN58" i="9"/>
  <c r="BN59" i="9" s="1"/>
  <c r="BN60" i="9" s="1"/>
  <c r="BN61" i="9" s="1"/>
  <c r="BN62" i="9" s="1"/>
  <c r="BN63" i="9" s="1"/>
  <c r="BN64" i="9" s="1"/>
  <c r="BN65" i="9" s="1"/>
  <c r="BN66" i="9" s="1"/>
  <c r="BN67" i="9" s="1"/>
  <c r="BN68" i="9" s="1"/>
  <c r="BN69" i="9" s="1"/>
  <c r="BN70" i="9" s="1"/>
  <c r="BN71" i="9" s="1"/>
  <c r="BN72" i="9" s="1"/>
  <c r="BN73" i="9" s="1"/>
  <c r="BN74" i="9" s="1"/>
  <c r="BN75" i="9" s="1"/>
  <c r="BN76" i="9" s="1"/>
  <c r="BN77" i="9" s="1"/>
  <c r="BO55" i="9"/>
  <c r="BN330" i="9"/>
  <c r="BN331" i="9" s="1"/>
  <c r="BN332" i="9" s="1"/>
  <c r="BN333" i="9" s="1"/>
  <c r="BN334" i="9" s="1"/>
  <c r="BN335" i="9" s="1"/>
  <c r="BN336" i="9" s="1"/>
  <c r="BN337" i="9" s="1"/>
  <c r="BN338" i="9" s="1"/>
  <c r="BN339" i="9" s="1"/>
  <c r="BN340" i="9" s="1"/>
  <c r="BN341" i="9" s="1"/>
  <c r="BN342" i="9" s="1"/>
  <c r="BN343" i="9" s="1"/>
  <c r="BN344" i="9" s="1"/>
  <c r="BN345" i="9" s="1"/>
  <c r="BN346" i="9" s="1"/>
  <c r="BN347" i="9" s="1"/>
  <c r="BN348" i="9" s="1"/>
  <c r="BN349" i="9" s="1"/>
  <c r="BN92" i="9"/>
  <c r="BN93" i="9" s="1"/>
  <c r="BN94" i="9" s="1"/>
  <c r="BN95" i="9" s="1"/>
  <c r="BN96" i="9" s="1"/>
  <c r="BN97" i="9" s="1"/>
  <c r="BN98" i="9" s="1"/>
  <c r="BN99" i="9" s="1"/>
  <c r="BN100" i="9" s="1"/>
  <c r="BN101" i="9" s="1"/>
  <c r="BN102" i="9" s="1"/>
  <c r="BN103" i="9" s="1"/>
  <c r="BN104" i="9" s="1"/>
  <c r="BN105" i="9" s="1"/>
  <c r="BN106" i="9" s="1"/>
  <c r="BN107" i="9" s="1"/>
  <c r="BN108" i="9" s="1"/>
  <c r="BN109" i="9" s="1"/>
  <c r="BN110" i="9" s="1"/>
  <c r="BN111" i="9" s="1"/>
  <c r="BN24" i="9"/>
  <c r="BN25" i="9" s="1"/>
  <c r="BN26" i="9" s="1"/>
  <c r="BN27" i="9" s="1"/>
  <c r="BN28" i="9" s="1"/>
  <c r="BN29" i="9" s="1"/>
  <c r="BN30" i="9" s="1"/>
  <c r="BN31" i="9" s="1"/>
  <c r="BN32" i="9" s="1"/>
  <c r="BN33" i="9" s="1"/>
  <c r="BN34" i="9" s="1"/>
  <c r="BN35" i="9" s="1"/>
  <c r="BN36" i="9" s="1"/>
  <c r="BN37" i="9" s="1"/>
  <c r="BN38" i="9" s="1"/>
  <c r="BN39" i="9" s="1"/>
  <c r="BN40" i="9" s="1"/>
  <c r="BN41" i="9" s="1"/>
  <c r="BN42" i="9" s="1"/>
  <c r="BN43" i="9" s="1"/>
  <c r="W86" i="8"/>
  <c r="W87" i="8" s="1"/>
  <c r="W88" i="8" s="1"/>
  <c r="W89" i="8" s="1"/>
  <c r="W90" i="8" s="1"/>
  <c r="W91" i="8" s="1"/>
  <c r="W92" i="8" s="1"/>
  <c r="W93" i="8" s="1"/>
  <c r="W94" i="8" s="1"/>
  <c r="W95" i="8" s="1"/>
  <c r="W96" i="8" s="1"/>
  <c r="W97" i="8" s="1"/>
  <c r="W98" i="8" s="1"/>
  <c r="W99" i="8" s="1"/>
  <c r="W100" i="8" s="1"/>
  <c r="W101" i="8" s="1"/>
  <c r="W102" i="8" s="1"/>
  <c r="W103" i="8" s="1"/>
  <c r="W104" i="8" s="1"/>
  <c r="W105" i="8" s="1"/>
  <c r="W55" i="8"/>
  <c r="W56" i="8" s="1"/>
  <c r="W57" i="8" s="1"/>
  <c r="W58" i="8" s="1"/>
  <c r="W59" i="8" s="1"/>
  <c r="W60" i="8" s="1"/>
  <c r="W61" i="8" s="1"/>
  <c r="W62" i="8" s="1"/>
  <c r="W63" i="8" s="1"/>
  <c r="W64" i="8" s="1"/>
  <c r="W65" i="8" s="1"/>
  <c r="W66" i="8" s="1"/>
  <c r="W67" i="8" s="1"/>
  <c r="W68" i="8" s="1"/>
  <c r="W69" i="8" s="1"/>
  <c r="W70" i="8" s="1"/>
  <c r="W71" i="8" s="1"/>
  <c r="W72" i="8" s="1"/>
  <c r="W73" i="8" s="1"/>
  <c r="W74" i="8" s="1"/>
  <c r="W24" i="8"/>
  <c r="W25" i="8" s="1"/>
  <c r="W26" i="8" s="1"/>
  <c r="W27" i="8" s="1"/>
  <c r="W28" i="8" s="1"/>
  <c r="W29" i="8" s="1"/>
  <c r="W30" i="8" s="1"/>
  <c r="W31" i="8" s="1"/>
  <c r="W32" i="8" s="1"/>
  <c r="W33" i="8" s="1"/>
  <c r="W34" i="8" s="1"/>
  <c r="W35" i="8" s="1"/>
  <c r="W36" i="8" s="1"/>
  <c r="W37" i="8" s="1"/>
  <c r="W38" i="8" s="1"/>
  <c r="W39" i="8" s="1"/>
  <c r="W40" i="8" s="1"/>
  <c r="W41" i="8" s="1"/>
  <c r="W42" i="8" s="1"/>
  <c r="W43" i="8" s="1"/>
  <c r="V58" i="7"/>
  <c r="V59" i="7" s="1"/>
  <c r="V60" i="7" s="1"/>
  <c r="V61" i="7" s="1"/>
  <c r="V62" i="7" s="1"/>
  <c r="V63" i="7" s="1"/>
  <c r="V64" i="7" s="1"/>
  <c r="V65" i="7" s="1"/>
  <c r="V66" i="7" s="1"/>
  <c r="V67" i="7" s="1"/>
  <c r="V68" i="7" s="1"/>
  <c r="V69" i="7" s="1"/>
  <c r="V70" i="7" s="1"/>
  <c r="V71" i="7" s="1"/>
  <c r="V72" i="7" s="1"/>
  <c r="V73" i="7" s="1"/>
  <c r="V74" i="7" s="1"/>
  <c r="V75" i="7" s="1"/>
  <c r="V76" i="7" s="1"/>
  <c r="V77" i="7" s="1"/>
  <c r="V24" i="7"/>
  <c r="V25" i="7" s="1"/>
  <c r="V26" i="7" s="1"/>
  <c r="V27" i="7" s="1"/>
  <c r="V28" i="7" s="1"/>
  <c r="V29" i="7" s="1"/>
  <c r="V30" i="7" s="1"/>
  <c r="V31" i="7" s="1"/>
  <c r="V32" i="7" s="1"/>
  <c r="V33" i="7" s="1"/>
  <c r="V34" i="7" s="1"/>
  <c r="V35" i="7" s="1"/>
  <c r="V36" i="7" s="1"/>
  <c r="V37" i="7" s="1"/>
  <c r="V38" i="7" s="1"/>
  <c r="V39" i="7" s="1"/>
  <c r="V40" i="7" s="1"/>
  <c r="V41" i="7" s="1"/>
  <c r="V42" i="7" s="1"/>
  <c r="V43" i="7" s="1"/>
  <c r="BB24" i="10"/>
  <c r="AB34" i="10"/>
  <c r="AB35" i="10" s="1"/>
  <c r="AB36" i="10" s="1"/>
  <c r="AB37" i="10" s="1"/>
  <c r="AB38" i="10" s="1"/>
  <c r="AB39" i="10" s="1"/>
  <c r="AB40" i="10" s="1"/>
  <c r="AB41" i="10" s="1"/>
  <c r="AB42" i="10" s="1"/>
  <c r="AB43" i="10" s="1"/>
  <c r="AB44" i="10" s="1"/>
  <c r="AB45" i="10" s="1"/>
  <c r="AB46" i="10" s="1"/>
  <c r="AB47" i="10" s="1"/>
  <c r="AB48" i="10" s="1"/>
  <c r="AB49" i="10" s="1"/>
  <c r="AB50" i="10" s="1"/>
  <c r="AB51" i="10" s="1"/>
  <c r="AB52" i="10" s="1"/>
  <c r="AB53" i="10" s="1"/>
  <c r="AB25" i="10"/>
  <c r="AB26" i="10" s="1"/>
  <c r="AB27" i="10" s="1"/>
  <c r="AB28" i="10" s="1"/>
  <c r="AB29" i="10" s="1"/>
  <c r="AB30" i="10" s="1"/>
  <c r="AB31" i="10" s="1"/>
  <c r="AB32" i="10" s="1"/>
  <c r="B25" i="10"/>
  <c r="B26" i="10" s="1"/>
  <c r="B27" i="10" s="1"/>
  <c r="B28" i="10" s="1"/>
  <c r="B29" i="10" s="1"/>
  <c r="B30" i="10" s="1"/>
  <c r="B31" i="10" s="1"/>
  <c r="B32" i="10" s="1"/>
  <c r="B34" i="10"/>
  <c r="B35" i="10" s="1"/>
  <c r="B36" i="10" s="1"/>
  <c r="B37" i="10" s="1"/>
  <c r="B38" i="10" s="1"/>
  <c r="B39" i="10" s="1"/>
  <c r="B40" i="10" s="1"/>
  <c r="B41" i="10" s="1"/>
  <c r="B42" i="10" s="1"/>
  <c r="B43" i="10" s="1"/>
  <c r="B44" i="10" s="1"/>
  <c r="B45" i="10" s="1"/>
  <c r="B46" i="10" s="1"/>
  <c r="B47" i="10" s="1"/>
  <c r="B48" i="10" s="1"/>
  <c r="B49" i="10" s="1"/>
  <c r="B50" i="10" s="1"/>
  <c r="B51" i="10" s="1"/>
  <c r="B52" i="10" s="1"/>
  <c r="B53" i="10" s="1"/>
  <c r="B27" i="9"/>
  <c r="B28" i="9" s="1"/>
  <c r="B29" i="9" s="1"/>
  <c r="B30" i="9" s="1"/>
  <c r="B31" i="9" s="1"/>
  <c r="B32" i="9" s="1"/>
  <c r="B33" i="9" s="1"/>
  <c r="B34" i="9" s="1"/>
  <c r="B35" i="9" s="1"/>
  <c r="B36" i="9" s="1"/>
  <c r="B37" i="9" s="1"/>
  <c r="B38" i="9" s="1"/>
  <c r="B39" i="9" s="1"/>
  <c r="B40" i="9" s="1"/>
  <c r="B41" i="9" s="1"/>
  <c r="B42" i="9" s="1"/>
  <c r="B27" i="8"/>
  <c r="B28" i="8" s="1"/>
  <c r="B29" i="8" s="1"/>
  <c r="B30" i="8" s="1"/>
  <c r="B27" i="7"/>
  <c r="B28" i="7" s="1"/>
  <c r="B29" i="7" s="1"/>
  <c r="B30" i="7" s="1"/>
  <c r="B31" i="7" s="1"/>
  <c r="B32" i="7" s="1"/>
  <c r="B33" i="7" s="1"/>
  <c r="V15" i="4"/>
  <c r="V16" i="4" s="1"/>
  <c r="V24" i="4"/>
  <c r="V25" i="4" s="1"/>
  <c r="P11" i="4"/>
  <c r="E2" i="6"/>
  <c r="E4" i="6"/>
  <c r="AD41" i="4"/>
  <c r="AX51" i="10" s="1"/>
  <c r="AD42" i="4"/>
  <c r="AX52" i="10" s="1"/>
  <c r="AD43" i="4"/>
  <c r="AX53" i="10" s="1"/>
  <c r="AV55" i="10"/>
  <c r="AU55" i="10"/>
  <c r="AT55" i="10"/>
  <c r="AR55" i="10"/>
  <c r="AQ55" i="10"/>
  <c r="AP55" i="10"/>
  <c r="AM55" i="10"/>
  <c r="AL55" i="10"/>
  <c r="AK55" i="10"/>
  <c r="AJ55" i="10"/>
  <c r="AH55" i="10"/>
  <c r="V55" i="10"/>
  <c r="U55" i="10"/>
  <c r="T55" i="10"/>
  <c r="R55" i="10"/>
  <c r="Q55" i="10"/>
  <c r="P55" i="10"/>
  <c r="O55" i="10"/>
  <c r="M55" i="10"/>
  <c r="L55" i="10"/>
  <c r="K55" i="10"/>
  <c r="J55" i="10"/>
  <c r="H55" i="10"/>
  <c r="AW32" i="10"/>
  <c r="W32" i="10"/>
  <c r="AW31" i="10"/>
  <c r="W31" i="10"/>
  <c r="AW30" i="10"/>
  <c r="W30" i="10"/>
  <c r="AW29" i="10"/>
  <c r="W29" i="10"/>
  <c r="AW28" i="10"/>
  <c r="W28" i="10"/>
  <c r="AW27" i="10"/>
  <c r="W27" i="10"/>
  <c r="AW26" i="10"/>
  <c r="W26" i="10"/>
  <c r="AW25" i="10"/>
  <c r="W25" i="10"/>
  <c r="BO327" i="9"/>
  <c r="BO89" i="9"/>
  <c r="BN47" i="9"/>
  <c r="B25" i="9"/>
  <c r="B24" i="9"/>
  <c r="BV23" i="9"/>
  <c r="BO21" i="9"/>
  <c r="A18" i="9"/>
  <c r="AE85" i="8"/>
  <c r="X83" i="8"/>
  <c r="AE54" i="8"/>
  <c r="X52" i="8"/>
  <c r="W47" i="8"/>
  <c r="B25" i="8"/>
  <c r="B24" i="8"/>
  <c r="AE23" i="8"/>
  <c r="X21" i="8"/>
  <c r="A18" i="8"/>
  <c r="V81" i="7"/>
  <c r="V47" i="7"/>
  <c r="B25" i="7"/>
  <c r="B24" i="7"/>
  <c r="AD23" i="7"/>
  <c r="R4" i="6"/>
  <c r="R3" i="6"/>
  <c r="AC44" i="4"/>
  <c r="AB44" i="4"/>
  <c r="AA44" i="4"/>
  <c r="Y44" i="4"/>
  <c r="X44" i="4"/>
  <c r="W44" i="4"/>
  <c r="AD40" i="4"/>
  <c r="AX50" i="10" s="1"/>
  <c r="AD39" i="4"/>
  <c r="AX49" i="10" s="1"/>
  <c r="AD38" i="4"/>
  <c r="AX48" i="10" s="1"/>
  <c r="AD37" i="4"/>
  <c r="AX47" i="10" s="1"/>
  <c r="AD36" i="4"/>
  <c r="AX46" i="10" s="1"/>
  <c r="AD35" i="4"/>
  <c r="AX45" i="10" s="1"/>
  <c r="AD34" i="4"/>
  <c r="AX44" i="10" s="1"/>
  <c r="AD33" i="4"/>
  <c r="AX43" i="10" s="1"/>
  <c r="AD32" i="4"/>
  <c r="AX42" i="10" s="1"/>
  <c r="AD31" i="4"/>
  <c r="AX41" i="10" s="1"/>
  <c r="AD30" i="4"/>
  <c r="AX40" i="10" s="1"/>
  <c r="AD29" i="4"/>
  <c r="AX39" i="10" s="1"/>
  <c r="AD28" i="4"/>
  <c r="AX38" i="10" s="1"/>
  <c r="AD27" i="4"/>
  <c r="AX37" i="10" s="1"/>
  <c r="AD26" i="4"/>
  <c r="AD25" i="4"/>
  <c r="AX35" i="10" s="1"/>
  <c r="AD24" i="4"/>
  <c r="AX34" i="10" s="1"/>
  <c r="P12" i="4"/>
  <c r="AX36" i="10"/>
  <c r="W21" i="7"/>
  <c r="W55" i="7"/>
  <c r="AA173" i="19" l="1"/>
  <c r="AB173" i="19" s="1"/>
  <c r="AI72" i="19" s="1"/>
  <c r="AA202" i="19"/>
  <c r="AB202" i="19" s="1"/>
  <c r="AJ69" i="19" s="1"/>
  <c r="M95" i="19"/>
  <c r="N95" i="19" s="1"/>
  <c r="AG28" i="19" s="1"/>
  <c r="AA144" i="19"/>
  <c r="AB144" i="19" s="1"/>
  <c r="AH75" i="19" s="1"/>
  <c r="AA171" i="19"/>
  <c r="AB171" i="19" s="1"/>
  <c r="AI70" i="19" s="1"/>
  <c r="AA125" i="19"/>
  <c r="AB125" i="19" s="1"/>
  <c r="M107" i="19"/>
  <c r="N107" i="19" s="1"/>
  <c r="AG40" i="19" s="1"/>
  <c r="M123" i="19"/>
  <c r="N123" i="19" s="1"/>
  <c r="AA166" i="19"/>
  <c r="AB166" i="19" s="1"/>
  <c r="AI65" i="19" s="1"/>
  <c r="AA168" i="19"/>
  <c r="AB168" i="19" s="1"/>
  <c r="AI67" i="19" s="1"/>
  <c r="AA167" i="19"/>
  <c r="AB167" i="19" s="1"/>
  <c r="AI66" i="19" s="1"/>
  <c r="AA159" i="19"/>
  <c r="AB159" i="19" s="1"/>
  <c r="AI58" i="19" s="1"/>
  <c r="M111" i="19"/>
  <c r="N111" i="19" s="1"/>
  <c r="AG44" i="19" s="1"/>
  <c r="AA158" i="19"/>
  <c r="AB158" i="19" s="1"/>
  <c r="AI57" i="19" s="1"/>
  <c r="AA174" i="19"/>
  <c r="AB174" i="19" s="1"/>
  <c r="AI73" i="19" s="1"/>
  <c r="AA190" i="19"/>
  <c r="AB190" i="19" s="1"/>
  <c r="AJ57" i="19" s="1"/>
  <c r="AA140" i="19"/>
  <c r="AB140" i="19" s="1"/>
  <c r="AH71" i="19" s="1"/>
  <c r="M112" i="19"/>
  <c r="N112" i="19" s="1"/>
  <c r="AG45" i="19" s="1"/>
  <c r="AA172" i="19"/>
  <c r="AB172" i="19" s="1"/>
  <c r="AI71" i="19" s="1"/>
  <c r="M97" i="19"/>
  <c r="N97" i="19" s="1"/>
  <c r="AG30" i="19" s="1"/>
  <c r="AA193" i="19"/>
  <c r="AB193" i="19" s="1"/>
  <c r="AJ60" i="19" s="1"/>
  <c r="AA196" i="19"/>
  <c r="AB196" i="19" s="1"/>
  <c r="AJ63" i="19" s="1"/>
  <c r="AA206" i="19"/>
  <c r="AB206" i="19" s="1"/>
  <c r="AJ73" i="19" s="1"/>
  <c r="M94" i="19"/>
  <c r="N94" i="19" s="1"/>
  <c r="AG27" i="19" s="1"/>
  <c r="AA164" i="19"/>
  <c r="AB164" i="19" s="1"/>
  <c r="AI63" i="19" s="1"/>
  <c r="AA205" i="19"/>
  <c r="AB205" i="19" s="1"/>
  <c r="AJ72" i="19" s="1"/>
  <c r="AA141" i="19"/>
  <c r="AB141" i="19" s="1"/>
  <c r="AH72" i="19" s="1"/>
  <c r="AA143" i="19"/>
  <c r="AB143" i="19" s="1"/>
  <c r="AH74" i="19" s="1"/>
  <c r="AA163" i="19"/>
  <c r="AB163" i="19" s="1"/>
  <c r="AI62" i="19" s="1"/>
  <c r="AA160" i="19"/>
  <c r="AB160" i="19" s="1"/>
  <c r="AI59" i="19" s="1"/>
  <c r="L140" i="19"/>
  <c r="AA136" i="19"/>
  <c r="AB136" i="19" s="1"/>
  <c r="AH67" i="19" s="1"/>
  <c r="AA194" i="19"/>
  <c r="AB194" i="19" s="1"/>
  <c r="AJ61" i="19" s="1"/>
  <c r="AA127" i="19"/>
  <c r="AB127" i="19" s="1"/>
  <c r="AH58" i="19" s="1"/>
  <c r="AA175" i="19"/>
  <c r="AB175" i="19" s="1"/>
  <c r="AI74" i="19" s="1"/>
  <c r="M96" i="19"/>
  <c r="N96" i="19" s="1"/>
  <c r="AG29" i="19" s="1"/>
  <c r="AA199" i="19"/>
  <c r="AB199" i="19" s="1"/>
  <c r="AJ66" i="19" s="1"/>
  <c r="L135" i="19"/>
  <c r="L166" i="19"/>
  <c r="AA198" i="19"/>
  <c r="AB198" i="19" s="1"/>
  <c r="AJ65" i="19" s="1"/>
  <c r="AA128" i="19"/>
  <c r="AB128" i="19" s="1"/>
  <c r="AH59" i="19" s="1"/>
  <c r="AA176" i="19"/>
  <c r="AB176" i="19" s="1"/>
  <c r="AI75" i="19" s="1"/>
  <c r="AA195" i="19"/>
  <c r="AB195" i="19" s="1"/>
  <c r="AJ62" i="19" s="1"/>
  <c r="AA192" i="19"/>
  <c r="AB192" i="19" s="1"/>
  <c r="AJ59" i="19" s="1"/>
  <c r="L132" i="19"/>
  <c r="AA129" i="19"/>
  <c r="AB129" i="19" s="1"/>
  <c r="AH60" i="19" s="1"/>
  <c r="AA189" i="19"/>
  <c r="AB189" i="19" s="1"/>
  <c r="L127" i="19"/>
  <c r="AA200" i="19"/>
  <c r="AB200" i="19" s="1"/>
  <c r="AJ67" i="19" s="1"/>
  <c r="M105" i="19"/>
  <c r="N105" i="19" s="1"/>
  <c r="AG38" i="19" s="1"/>
  <c r="AA126" i="19"/>
  <c r="AB126" i="19" s="1"/>
  <c r="AH57" i="19" s="1"/>
  <c r="L125" i="19"/>
  <c r="AA132" i="19"/>
  <c r="AB132" i="19" s="1"/>
  <c r="AH63" i="19" s="1"/>
  <c r="L129" i="19"/>
  <c r="L130" i="19"/>
  <c r="M104" i="19"/>
  <c r="N104" i="19" s="1"/>
  <c r="AG37" i="19" s="1"/>
  <c r="K122" i="19"/>
  <c r="M122" i="19" s="1"/>
  <c r="N122" i="19" s="1"/>
  <c r="AA130" i="19"/>
  <c r="AB130" i="19" s="1"/>
  <c r="AH61" i="19" s="1"/>
  <c r="AA208" i="19"/>
  <c r="AB208" i="19" s="1"/>
  <c r="AJ75" i="19" s="1"/>
  <c r="K154" i="19"/>
  <c r="M154" i="19" s="1"/>
  <c r="N154" i="19" s="1"/>
  <c r="M100" i="19"/>
  <c r="N100" i="19" s="1"/>
  <c r="AG33" i="19" s="1"/>
  <c r="AA207" i="19"/>
  <c r="AB207" i="19" s="1"/>
  <c r="AJ74" i="19" s="1"/>
  <c r="AA161" i="19"/>
  <c r="AB161" i="19" s="1"/>
  <c r="AI60" i="19" s="1"/>
  <c r="AA134" i="19"/>
  <c r="AB134" i="19" s="1"/>
  <c r="AH65" i="19" s="1"/>
  <c r="L142" i="19"/>
  <c r="L134" i="19"/>
  <c r="AA137" i="19"/>
  <c r="AB137" i="19" s="1"/>
  <c r="AH68" i="19" s="1"/>
  <c r="AA138" i="19"/>
  <c r="AB138" i="19" s="1"/>
  <c r="AH69" i="19" s="1"/>
  <c r="L144" i="19"/>
  <c r="AA131" i="19"/>
  <c r="AB131" i="19" s="1"/>
  <c r="AH62" i="19" s="1"/>
  <c r="M99" i="19"/>
  <c r="N99" i="19" s="1"/>
  <c r="AG32" i="19" s="1"/>
  <c r="AA201" i="19"/>
  <c r="AB201" i="19" s="1"/>
  <c r="AJ68" i="19" s="1"/>
  <c r="L136" i="19"/>
  <c r="M98" i="19"/>
  <c r="N98" i="19" s="1"/>
  <c r="AG31" i="19" s="1"/>
  <c r="AA139" i="19"/>
  <c r="AB139" i="19" s="1"/>
  <c r="AH70" i="19" s="1"/>
  <c r="AA203" i="19"/>
  <c r="AB203" i="19" s="1"/>
  <c r="AJ70" i="19" s="1"/>
  <c r="AA135" i="19"/>
  <c r="AB135" i="19" s="1"/>
  <c r="AH66" i="19" s="1"/>
  <c r="L137" i="19"/>
  <c r="L126" i="19"/>
  <c r="AA157" i="19"/>
  <c r="AB157" i="19" s="1"/>
  <c r="M106" i="19"/>
  <c r="N106" i="19" s="1"/>
  <c r="AG39" i="19" s="1"/>
  <c r="AA191" i="19"/>
  <c r="AB191" i="19" s="1"/>
  <c r="AJ58" i="19" s="1"/>
  <c r="L133" i="19"/>
  <c r="L139" i="19"/>
  <c r="L162" i="19"/>
  <c r="L131" i="19"/>
  <c r="AA142" i="19"/>
  <c r="AB142" i="19" s="1"/>
  <c r="AH73" i="19" s="1"/>
  <c r="L171" i="19"/>
  <c r="M102" i="19"/>
  <c r="N102" i="19" s="1"/>
  <c r="AG35" i="19" s="1"/>
  <c r="AA204" i="19"/>
  <c r="AB204" i="19" s="1"/>
  <c r="AJ71" i="19" s="1"/>
  <c r="L187" i="19"/>
  <c r="L175" i="19"/>
  <c r="AA165" i="19"/>
  <c r="AB165" i="19" s="1"/>
  <c r="AI64" i="19" s="1"/>
  <c r="L176" i="19"/>
  <c r="L143" i="19"/>
  <c r="L174" i="19"/>
  <c r="M93" i="19"/>
  <c r="N93" i="19" s="1"/>
  <c r="L158" i="19"/>
  <c r="L173" i="19"/>
  <c r="L157" i="19"/>
  <c r="AA197" i="19"/>
  <c r="AB197" i="19" s="1"/>
  <c r="AJ64" i="19" s="1"/>
  <c r="L164" i="19"/>
  <c r="L141" i="19"/>
  <c r="L165" i="19"/>
  <c r="L168" i="19"/>
  <c r="L128" i="19"/>
  <c r="L163" i="19"/>
  <c r="AA133" i="19"/>
  <c r="AB133" i="19" s="1"/>
  <c r="AH64" i="19" s="1"/>
  <c r="L159" i="19"/>
  <c r="AA162" i="19"/>
  <c r="AB162" i="19" s="1"/>
  <c r="AI61" i="19" s="1"/>
  <c r="L170" i="19"/>
  <c r="L138" i="19"/>
  <c r="B24" i="16"/>
  <c r="A56" i="16"/>
  <c r="A88" i="16"/>
  <c r="F30" i="16" a="1"/>
  <c r="F30" i="16" s="1"/>
  <c r="F31" i="16" a="1"/>
  <c r="F31" i="16" s="1"/>
  <c r="J30" i="16" a="1"/>
  <c r="J30" i="16" s="1"/>
  <c r="I30" i="16" a="1"/>
  <c r="I30" i="16" s="1"/>
  <c r="H30" i="16" a="1"/>
  <c r="H30" i="16" s="1"/>
  <c r="E30" i="16" a="1"/>
  <c r="E30" i="16" s="1"/>
  <c r="G30" i="16" a="1"/>
  <c r="G30" i="16" s="1"/>
  <c r="AC173" i="18"/>
  <c r="AC172" i="18"/>
  <c r="AC171" i="18"/>
  <c r="AC170" i="18"/>
  <c r="AC174" i="18"/>
  <c r="H169" i="18"/>
  <c r="G174" i="18"/>
  <c r="G173" i="18"/>
  <c r="K174" i="18"/>
  <c r="G171" i="18"/>
  <c r="K172" i="18"/>
  <c r="K170" i="18"/>
  <c r="G172" i="18"/>
  <c r="K173" i="18"/>
  <c r="G170" i="18"/>
  <c r="K171" i="18"/>
  <c r="K173" i="19"/>
  <c r="K144" i="19"/>
  <c r="J25" i="9"/>
  <c r="A50" i="9"/>
  <c r="BB46" i="9"/>
  <c r="AP46" i="9"/>
  <c r="BE45" i="9"/>
  <c r="AS45" i="9"/>
  <c r="W45" i="9"/>
  <c r="AV44" i="9"/>
  <c r="Z44" i="9"/>
  <c r="AY43" i="9"/>
  <c r="AM43" i="9"/>
  <c r="BB42" i="9"/>
  <c r="AP42" i="9"/>
  <c r="BE41" i="9"/>
  <c r="AS41" i="9"/>
  <c r="BA46" i="9"/>
  <c r="AO46" i="9"/>
  <c r="BD45" i="9"/>
  <c r="AR45" i="9"/>
  <c r="V45" i="9"/>
  <c r="AU44" i="9"/>
  <c r="Y44" i="9"/>
  <c r="AX43" i="9"/>
  <c r="AL43" i="9"/>
  <c r="AZ46" i="9"/>
  <c r="AN46" i="9"/>
  <c r="BC45" i="9"/>
  <c r="AQ45" i="9"/>
  <c r="U45" i="9"/>
  <c r="AT44" i="9"/>
  <c r="AY46" i="9"/>
  <c r="AM46" i="9"/>
  <c r="BB45" i="9"/>
  <c r="AP45" i="9"/>
  <c r="BE44" i="9"/>
  <c r="AS44" i="9"/>
  <c r="W44" i="9"/>
  <c r="AV43" i="9"/>
  <c r="Z43" i="9"/>
  <c r="AY42" i="9"/>
  <c r="AX46" i="9"/>
  <c r="AL46" i="9"/>
  <c r="AW46" i="9"/>
  <c r="AK46" i="9"/>
  <c r="AZ45" i="9"/>
  <c r="AN45" i="9"/>
  <c r="BC44" i="9"/>
  <c r="AQ44" i="9"/>
  <c r="U44" i="9"/>
  <c r="AV46" i="9"/>
  <c r="Z46" i="9"/>
  <c r="AY45" i="9"/>
  <c r="AM45" i="9"/>
  <c r="BB44" i="9"/>
  <c r="AP44" i="9"/>
  <c r="BE43" i="9"/>
  <c r="AS43" i="9"/>
  <c r="W43" i="9"/>
  <c r="AV42" i="9"/>
  <c r="Z42" i="9"/>
  <c r="AY41" i="9"/>
  <c r="AU46" i="9"/>
  <c r="AT46" i="9"/>
  <c r="X46" i="9"/>
  <c r="AW45" i="9"/>
  <c r="AK45" i="9"/>
  <c r="AZ44" i="9"/>
  <c r="AN44" i="9"/>
  <c r="BC43" i="9"/>
  <c r="AQ43" i="9"/>
  <c r="U43" i="9"/>
  <c r="AT42" i="9"/>
  <c r="X42" i="9"/>
  <c r="AW41" i="9"/>
  <c r="BE46" i="9"/>
  <c r="AS46" i="9"/>
  <c r="W46" i="9"/>
  <c r="AV45" i="9"/>
  <c r="Z45" i="9"/>
  <c r="AY44" i="9"/>
  <c r="AM44" i="9"/>
  <c r="BB43" i="9"/>
  <c r="AP43" i="9"/>
  <c r="BE42" i="9"/>
  <c r="AS42" i="9"/>
  <c r="BD46" i="9"/>
  <c r="AR46" i="9"/>
  <c r="V46" i="9"/>
  <c r="AU45" i="9"/>
  <c r="Y45" i="9"/>
  <c r="AX44" i="9"/>
  <c r="AL44" i="9"/>
  <c r="BA43" i="9"/>
  <c r="BC46" i="9"/>
  <c r="AQ46" i="9"/>
  <c r="U46" i="9"/>
  <c r="AT45" i="9"/>
  <c r="X45" i="9"/>
  <c r="AW44" i="9"/>
  <c r="AK44" i="9"/>
  <c r="AZ43" i="9"/>
  <c r="AO45" i="9"/>
  <c r="AR43" i="9"/>
  <c r="AW42" i="9"/>
  <c r="U42" i="9"/>
  <c r="AP41" i="9"/>
  <c r="BE40" i="9"/>
  <c r="AS40" i="9"/>
  <c r="W40" i="9"/>
  <c r="AV39" i="9"/>
  <c r="Z39" i="9"/>
  <c r="AY38" i="9"/>
  <c r="AM38" i="9"/>
  <c r="BB37" i="9"/>
  <c r="AP37" i="9"/>
  <c r="BE36" i="9"/>
  <c r="AS36" i="9"/>
  <c r="W36" i="9"/>
  <c r="AV35" i="9"/>
  <c r="Z35" i="9"/>
  <c r="AY34" i="9"/>
  <c r="AM34" i="9"/>
  <c r="BB33" i="9"/>
  <c r="AP33" i="9"/>
  <c r="BE32" i="9"/>
  <c r="AS32" i="9"/>
  <c r="W32" i="9"/>
  <c r="AV31" i="9"/>
  <c r="Z31" i="9"/>
  <c r="AY30" i="9"/>
  <c r="AM30" i="9"/>
  <c r="BB29" i="9"/>
  <c r="AP29" i="9"/>
  <c r="BE28" i="9"/>
  <c r="AS28" i="9"/>
  <c r="W28" i="9"/>
  <c r="AV27" i="9"/>
  <c r="Z27" i="9"/>
  <c r="AY25" i="9"/>
  <c r="AM25" i="9"/>
  <c r="BB24" i="9"/>
  <c r="AP24" i="9"/>
  <c r="AL45" i="9"/>
  <c r="AO43" i="9"/>
  <c r="AU42" i="9"/>
  <c r="BD41" i="9"/>
  <c r="AO41" i="9"/>
  <c r="BD40" i="9"/>
  <c r="AR40" i="9"/>
  <c r="V40" i="9"/>
  <c r="AU39" i="9"/>
  <c r="Y39" i="9"/>
  <c r="AX38" i="9"/>
  <c r="AL38" i="9"/>
  <c r="BA37" i="9"/>
  <c r="AO37" i="9"/>
  <c r="BD36" i="9"/>
  <c r="AR36" i="9"/>
  <c r="V36" i="9"/>
  <c r="AU35" i="9"/>
  <c r="Y35" i="9"/>
  <c r="AX34" i="9"/>
  <c r="AL34" i="9"/>
  <c r="BA33" i="9"/>
  <c r="AO33" i="9"/>
  <c r="BD32" i="9"/>
  <c r="AR32" i="9"/>
  <c r="V32" i="9"/>
  <c r="AU31" i="9"/>
  <c r="Y31" i="9"/>
  <c r="AX30" i="9"/>
  <c r="AL30" i="9"/>
  <c r="BA29" i="9"/>
  <c r="AO29" i="9"/>
  <c r="BD28" i="9"/>
  <c r="AR28" i="9"/>
  <c r="V28" i="9"/>
  <c r="AU27" i="9"/>
  <c r="Y27" i="9"/>
  <c r="AX25" i="9"/>
  <c r="AL25" i="9"/>
  <c r="BA24" i="9"/>
  <c r="AO24" i="9"/>
  <c r="BD44" i="9"/>
  <c r="AN43" i="9"/>
  <c r="AR42" i="9"/>
  <c r="BC41" i="9"/>
  <c r="AN41" i="9"/>
  <c r="BC40" i="9"/>
  <c r="AQ40" i="9"/>
  <c r="U40" i="9"/>
  <c r="AT39" i="9"/>
  <c r="X39" i="9"/>
  <c r="AW38" i="9"/>
  <c r="AK38" i="9"/>
  <c r="AZ37" i="9"/>
  <c r="AN37" i="9"/>
  <c r="BC36" i="9"/>
  <c r="AQ36" i="9"/>
  <c r="U36" i="9"/>
  <c r="AT35" i="9"/>
  <c r="X35" i="9"/>
  <c r="AW34" i="9"/>
  <c r="AK34" i="9"/>
  <c r="AZ33" i="9"/>
  <c r="AN33" i="9"/>
  <c r="BC32" i="9"/>
  <c r="AQ32" i="9"/>
  <c r="U32" i="9"/>
  <c r="AT31" i="9"/>
  <c r="X31" i="9"/>
  <c r="AW30" i="9"/>
  <c r="AK30" i="9"/>
  <c r="AZ29" i="9"/>
  <c r="AN29" i="9"/>
  <c r="BC28" i="9"/>
  <c r="AQ28" i="9"/>
  <c r="U28" i="9"/>
  <c r="AT27" i="9"/>
  <c r="X27" i="9"/>
  <c r="AW25" i="9"/>
  <c r="AK25" i="9"/>
  <c r="AZ24" i="9"/>
  <c r="AN24" i="9"/>
  <c r="BA44" i="9"/>
  <c r="AK43" i="9"/>
  <c r="AQ42" i="9"/>
  <c r="BB41" i="9"/>
  <c r="AM41" i="9"/>
  <c r="BB40" i="9"/>
  <c r="AP40" i="9"/>
  <c r="BE39" i="9"/>
  <c r="AS39" i="9"/>
  <c r="W39" i="9"/>
  <c r="AV38" i="9"/>
  <c r="Z38" i="9"/>
  <c r="AY37" i="9"/>
  <c r="AM37" i="9"/>
  <c r="BB36" i="9"/>
  <c r="AP36" i="9"/>
  <c r="BE35" i="9"/>
  <c r="AS35" i="9"/>
  <c r="W35" i="9"/>
  <c r="AV34" i="9"/>
  <c r="Z34" i="9"/>
  <c r="AY33" i="9"/>
  <c r="AM33" i="9"/>
  <c r="BB32" i="9"/>
  <c r="AP32" i="9"/>
  <c r="BE31" i="9"/>
  <c r="AS31" i="9"/>
  <c r="W31" i="9"/>
  <c r="AV30" i="9"/>
  <c r="Z30" i="9"/>
  <c r="AY29" i="9"/>
  <c r="AM29" i="9"/>
  <c r="BB28" i="9"/>
  <c r="AP28" i="9"/>
  <c r="BE27" i="9"/>
  <c r="AS27" i="9"/>
  <c r="W27" i="9"/>
  <c r="AV25" i="9"/>
  <c r="Z25" i="9"/>
  <c r="AY24" i="9"/>
  <c r="AM24" i="9"/>
  <c r="AQ24" i="9"/>
  <c r="AR44" i="9"/>
  <c r="Y43" i="9"/>
  <c r="AO42" i="9"/>
  <c r="BA41" i="9"/>
  <c r="AL41" i="9"/>
  <c r="BA40" i="9"/>
  <c r="AO40" i="9"/>
  <c r="BD39" i="9"/>
  <c r="AR39" i="9"/>
  <c r="V39" i="9"/>
  <c r="AU38" i="9"/>
  <c r="Y38" i="9"/>
  <c r="AX37" i="9"/>
  <c r="AL37" i="9"/>
  <c r="BA36" i="9"/>
  <c r="AO36" i="9"/>
  <c r="BD35" i="9"/>
  <c r="AR35" i="9"/>
  <c r="V35" i="9"/>
  <c r="AU34" i="9"/>
  <c r="Y34" i="9"/>
  <c r="AX33" i="9"/>
  <c r="AL33" i="9"/>
  <c r="BA32" i="9"/>
  <c r="AO32" i="9"/>
  <c r="BD31" i="9"/>
  <c r="AR31" i="9"/>
  <c r="V31" i="9"/>
  <c r="AU30" i="9"/>
  <c r="Y30" i="9"/>
  <c r="AX29" i="9"/>
  <c r="AL29" i="9"/>
  <c r="BA28" i="9"/>
  <c r="AO28" i="9"/>
  <c r="BD27" i="9"/>
  <c r="AR27" i="9"/>
  <c r="V27" i="9"/>
  <c r="AU25" i="9"/>
  <c r="Y25" i="9"/>
  <c r="AX24" i="9"/>
  <c r="AL24" i="9"/>
  <c r="AO44" i="9"/>
  <c r="X43" i="9"/>
  <c r="AN42" i="9"/>
  <c r="AZ41" i="9"/>
  <c r="AK41" i="9"/>
  <c r="AZ40" i="9"/>
  <c r="AN40" i="9"/>
  <c r="BC39" i="9"/>
  <c r="AQ39" i="9"/>
  <c r="U39" i="9"/>
  <c r="AT38" i="9"/>
  <c r="X38" i="9"/>
  <c r="AW37" i="9"/>
  <c r="AK37" i="9"/>
  <c r="AZ36" i="9"/>
  <c r="AN36" i="9"/>
  <c r="BC35" i="9"/>
  <c r="AQ35" i="9"/>
  <c r="U35" i="9"/>
  <c r="AT34" i="9"/>
  <c r="X34" i="9"/>
  <c r="AW33" i="9"/>
  <c r="AK33" i="9"/>
  <c r="AZ32" i="9"/>
  <c r="AN32" i="9"/>
  <c r="BC31" i="9"/>
  <c r="AQ31" i="9"/>
  <c r="U31" i="9"/>
  <c r="AT30" i="9"/>
  <c r="X30" i="9"/>
  <c r="AW29" i="9"/>
  <c r="AK29" i="9"/>
  <c r="AZ28" i="9"/>
  <c r="AN28" i="9"/>
  <c r="BC27" i="9"/>
  <c r="AQ27" i="9"/>
  <c r="U27" i="9"/>
  <c r="AT25" i="9"/>
  <c r="X25" i="9"/>
  <c r="AW24" i="9"/>
  <c r="AK24" i="9"/>
  <c r="X44" i="9"/>
  <c r="V43" i="9"/>
  <c r="AM42" i="9"/>
  <c r="AX41" i="9"/>
  <c r="Z41" i="9"/>
  <c r="AY40" i="9"/>
  <c r="AM40" i="9"/>
  <c r="BB39" i="9"/>
  <c r="AP39" i="9"/>
  <c r="BE38" i="9"/>
  <c r="AS38" i="9"/>
  <c r="W38" i="9"/>
  <c r="AV37" i="9"/>
  <c r="Z37" i="9"/>
  <c r="AY36" i="9"/>
  <c r="AM36" i="9"/>
  <c r="BB35" i="9"/>
  <c r="AP35" i="9"/>
  <c r="BE34" i="9"/>
  <c r="AS34" i="9"/>
  <c r="W34" i="9"/>
  <c r="AV33" i="9"/>
  <c r="Z33" i="9"/>
  <c r="AY32" i="9"/>
  <c r="AM32" i="9"/>
  <c r="BB31" i="9"/>
  <c r="AP31" i="9"/>
  <c r="BE30" i="9"/>
  <c r="AS30" i="9"/>
  <c r="W30" i="9"/>
  <c r="AV29" i="9"/>
  <c r="Z29" i="9"/>
  <c r="AY28" i="9"/>
  <c r="AM28" i="9"/>
  <c r="BB27" i="9"/>
  <c r="AP27" i="9"/>
  <c r="BE25" i="9"/>
  <c r="AS25" i="9"/>
  <c r="W25" i="9"/>
  <c r="AV24" i="9"/>
  <c r="Z24" i="9"/>
  <c r="U24" i="9"/>
  <c r="V44" i="9"/>
  <c r="BD42" i="9"/>
  <c r="AL42" i="9"/>
  <c r="AV41" i="9"/>
  <c r="Y41" i="9"/>
  <c r="AX40" i="9"/>
  <c r="AL40" i="9"/>
  <c r="BA39" i="9"/>
  <c r="AO39" i="9"/>
  <c r="BD38" i="9"/>
  <c r="AR38" i="9"/>
  <c r="V38" i="9"/>
  <c r="AU37" i="9"/>
  <c r="Y37" i="9"/>
  <c r="AX36" i="9"/>
  <c r="AL36" i="9"/>
  <c r="BA35" i="9"/>
  <c r="AO35" i="9"/>
  <c r="BD34" i="9"/>
  <c r="AR34" i="9"/>
  <c r="V34" i="9"/>
  <c r="AU33" i="9"/>
  <c r="Y33" i="9"/>
  <c r="AX32" i="9"/>
  <c r="AL32" i="9"/>
  <c r="BA31" i="9"/>
  <c r="AO31" i="9"/>
  <c r="BD30" i="9"/>
  <c r="AR30" i="9"/>
  <c r="V30" i="9"/>
  <c r="AU29" i="9"/>
  <c r="Y29" i="9"/>
  <c r="AX28" i="9"/>
  <c r="AL28" i="9"/>
  <c r="BA27" i="9"/>
  <c r="AO27" i="9"/>
  <c r="BD25" i="9"/>
  <c r="AR25" i="9"/>
  <c r="V25" i="9"/>
  <c r="AU24" i="9"/>
  <c r="Y24" i="9"/>
  <c r="BD43" i="9"/>
  <c r="BC42" i="9"/>
  <c r="AK42" i="9"/>
  <c r="AU41" i="9"/>
  <c r="X41" i="9"/>
  <c r="AW40" i="9"/>
  <c r="AK40" i="9"/>
  <c r="AZ39" i="9"/>
  <c r="AN39" i="9"/>
  <c r="BC38" i="9"/>
  <c r="AQ38" i="9"/>
  <c r="U38" i="9"/>
  <c r="AT37" i="9"/>
  <c r="X37" i="9"/>
  <c r="AW36" i="9"/>
  <c r="AK36" i="9"/>
  <c r="AZ35" i="9"/>
  <c r="AN35" i="9"/>
  <c r="BC34" i="9"/>
  <c r="AQ34" i="9"/>
  <c r="U34" i="9"/>
  <c r="AT33" i="9"/>
  <c r="X33" i="9"/>
  <c r="AW32" i="9"/>
  <c r="AK32" i="9"/>
  <c r="AZ31" i="9"/>
  <c r="AN31" i="9"/>
  <c r="BC30" i="9"/>
  <c r="AQ30" i="9"/>
  <c r="U30" i="9"/>
  <c r="AT29" i="9"/>
  <c r="X29" i="9"/>
  <c r="AW28" i="9"/>
  <c r="AK28" i="9"/>
  <c r="AZ27" i="9"/>
  <c r="AN27" i="9"/>
  <c r="BC25" i="9"/>
  <c r="AQ25" i="9"/>
  <c r="U25" i="9"/>
  <c r="AT24" i="9"/>
  <c r="X24" i="9"/>
  <c r="Y46" i="9"/>
  <c r="AW43" i="9"/>
  <c r="BA42" i="9"/>
  <c r="Y42" i="9"/>
  <c r="AT41" i="9"/>
  <c r="W41" i="9"/>
  <c r="AV40" i="9"/>
  <c r="Z40" i="9"/>
  <c r="AY39" i="9"/>
  <c r="AM39" i="9"/>
  <c r="BB38" i="9"/>
  <c r="AP38" i="9"/>
  <c r="BE37" i="9"/>
  <c r="AS37" i="9"/>
  <c r="W37" i="9"/>
  <c r="AV36" i="9"/>
  <c r="Z36" i="9"/>
  <c r="AY35" i="9"/>
  <c r="AM35" i="9"/>
  <c r="BB34" i="9"/>
  <c r="AP34" i="9"/>
  <c r="BE33" i="9"/>
  <c r="AS33" i="9"/>
  <c r="W33" i="9"/>
  <c r="AV32" i="9"/>
  <c r="Z32" i="9"/>
  <c r="AY31" i="9"/>
  <c r="AM31" i="9"/>
  <c r="BB30" i="9"/>
  <c r="AP30" i="9"/>
  <c r="BE29" i="9"/>
  <c r="AS29" i="9"/>
  <c r="W29" i="9"/>
  <c r="AV28" i="9"/>
  <c r="Z28" i="9"/>
  <c r="AY27" i="9"/>
  <c r="AM27" i="9"/>
  <c r="BB25" i="9"/>
  <c r="AP25" i="9"/>
  <c r="BE24" i="9"/>
  <c r="AS24" i="9"/>
  <c r="W24" i="9"/>
  <c r="BA45" i="9"/>
  <c r="AU43" i="9"/>
  <c r="AZ42" i="9"/>
  <c r="W42" i="9"/>
  <c r="AR41" i="9"/>
  <c r="V41" i="9"/>
  <c r="AU40" i="9"/>
  <c r="Y40" i="9"/>
  <c r="AX39" i="9"/>
  <c r="AL39" i="9"/>
  <c r="BA38" i="9"/>
  <c r="AO38" i="9"/>
  <c r="BD37" i="9"/>
  <c r="AR37" i="9"/>
  <c r="V37" i="9"/>
  <c r="AU36" i="9"/>
  <c r="Y36" i="9"/>
  <c r="AX35" i="9"/>
  <c r="AL35" i="9"/>
  <c r="BA34" i="9"/>
  <c r="AO34" i="9"/>
  <c r="BD33" i="9"/>
  <c r="AR33" i="9"/>
  <c r="V33" i="9"/>
  <c r="AU32" i="9"/>
  <c r="Y32" i="9"/>
  <c r="AX31" i="9"/>
  <c r="AL31" i="9"/>
  <c r="BA30" i="9"/>
  <c r="AO30" i="9"/>
  <c r="BD29" i="9"/>
  <c r="AR29" i="9"/>
  <c r="V29" i="9"/>
  <c r="AU28" i="9"/>
  <c r="Y28" i="9"/>
  <c r="AX27" i="9"/>
  <c r="AL27" i="9"/>
  <c r="BA25" i="9"/>
  <c r="AO25" i="9"/>
  <c r="BD24" i="9"/>
  <c r="AR24" i="9"/>
  <c r="V24" i="9"/>
  <c r="AX45" i="9"/>
  <c r="AT43" i="9"/>
  <c r="AX42" i="9"/>
  <c r="V42" i="9"/>
  <c r="AQ41" i="9"/>
  <c r="U41" i="9"/>
  <c r="AT40" i="9"/>
  <c r="X40" i="9"/>
  <c r="AW39" i="9"/>
  <c r="AK39" i="9"/>
  <c r="AZ38" i="9"/>
  <c r="AN38" i="9"/>
  <c r="BC37" i="9"/>
  <c r="AQ37" i="9"/>
  <c r="U37" i="9"/>
  <c r="AT36" i="9"/>
  <c r="X36" i="9"/>
  <c r="AW35" i="9"/>
  <c r="AK35" i="9"/>
  <c r="AZ34" i="9"/>
  <c r="AN34" i="9"/>
  <c r="BC33" i="9"/>
  <c r="AQ33" i="9"/>
  <c r="U33" i="9"/>
  <c r="AT32" i="9"/>
  <c r="X32" i="9"/>
  <c r="AW31" i="9"/>
  <c r="AK31" i="9"/>
  <c r="AZ30" i="9"/>
  <c r="AN30" i="9"/>
  <c r="BC29" i="9"/>
  <c r="AQ29" i="9"/>
  <c r="U29" i="9"/>
  <c r="AT28" i="9"/>
  <c r="X28" i="9"/>
  <c r="AW27" i="9"/>
  <c r="AK27" i="9"/>
  <c r="AZ25" i="9"/>
  <c r="AN25" i="9"/>
  <c r="BC24" i="9"/>
  <c r="L169" i="19"/>
  <c r="L172" i="19"/>
  <c r="K176" i="19"/>
  <c r="K174" i="19"/>
  <c r="K187" i="19"/>
  <c r="M110" i="19"/>
  <c r="N110" i="19" s="1"/>
  <c r="AG43" i="19" s="1"/>
  <c r="K127" i="19"/>
  <c r="K126" i="19"/>
  <c r="AA82" i="19"/>
  <c r="AB61" i="19"/>
  <c r="K169" i="19"/>
  <c r="K171" i="19"/>
  <c r="C189" i="19"/>
  <c r="C192" i="19"/>
  <c r="C200" i="19"/>
  <c r="C194" i="19"/>
  <c r="C206" i="19"/>
  <c r="C204" i="19"/>
  <c r="C193" i="19"/>
  <c r="C199" i="19"/>
  <c r="C201" i="19"/>
  <c r="C198" i="19"/>
  <c r="C203" i="19"/>
  <c r="C195" i="19"/>
  <c r="C202" i="19"/>
  <c r="C191" i="19"/>
  <c r="C190" i="19"/>
  <c r="C208" i="19"/>
  <c r="C207" i="19"/>
  <c r="C197" i="19"/>
  <c r="C205" i="19"/>
  <c r="C196" i="19"/>
  <c r="K130" i="19"/>
  <c r="K143" i="19"/>
  <c r="I24" i="8"/>
  <c r="A82" i="8"/>
  <c r="A50" i="8"/>
  <c r="L24" i="7"/>
  <c r="L160" i="19"/>
  <c r="K157" i="19"/>
  <c r="K162" i="19"/>
  <c r="K129" i="19"/>
  <c r="K125" i="19"/>
  <c r="BT34" i="5"/>
  <c r="CH34" i="5"/>
  <c r="W26" i="19"/>
  <c r="W27" i="19"/>
  <c r="I27" i="19"/>
  <c r="I26" i="19"/>
  <c r="K172" i="19"/>
  <c r="K163" i="19"/>
  <c r="G186" i="19"/>
  <c r="I186" i="19" s="1"/>
  <c r="E191" i="19"/>
  <c r="G191" i="19" s="1"/>
  <c r="I191" i="19" s="1"/>
  <c r="E193" i="19"/>
  <c r="G193" i="19" s="1"/>
  <c r="I193" i="19" s="1"/>
  <c r="E205" i="19"/>
  <c r="G205" i="19" s="1"/>
  <c r="I205" i="19" s="1"/>
  <c r="E199" i="19"/>
  <c r="G199" i="19" s="1"/>
  <c r="I199" i="19" s="1"/>
  <c r="E208" i="19"/>
  <c r="G208" i="19" s="1"/>
  <c r="I208" i="19" s="1"/>
  <c r="E192" i="19"/>
  <c r="G192" i="19" s="1"/>
  <c r="I192" i="19" s="1"/>
  <c r="E197" i="19"/>
  <c r="G197" i="19" s="1"/>
  <c r="I197" i="19" s="1"/>
  <c r="E204" i="19"/>
  <c r="G204" i="19" s="1"/>
  <c r="I204" i="19" s="1"/>
  <c r="E203" i="19"/>
  <c r="G203" i="19" s="1"/>
  <c r="I203" i="19" s="1"/>
  <c r="E201" i="19"/>
  <c r="G201" i="19" s="1"/>
  <c r="I201" i="19" s="1"/>
  <c r="E190" i="19"/>
  <c r="G190" i="19" s="1"/>
  <c r="I190" i="19" s="1"/>
  <c r="E200" i="19"/>
  <c r="G200" i="19" s="1"/>
  <c r="I200" i="19" s="1"/>
  <c r="E198" i="19"/>
  <c r="G198" i="19" s="1"/>
  <c r="I198" i="19" s="1"/>
  <c r="E189" i="19"/>
  <c r="G189" i="19" s="1"/>
  <c r="I189" i="19" s="1"/>
  <c r="E207" i="19"/>
  <c r="G207" i="19" s="1"/>
  <c r="I207" i="19" s="1"/>
  <c r="E206" i="19"/>
  <c r="G206" i="19" s="1"/>
  <c r="I206" i="19" s="1"/>
  <c r="E196" i="19"/>
  <c r="G196" i="19" s="1"/>
  <c r="I196" i="19" s="1"/>
  <c r="E195" i="19"/>
  <c r="G195" i="19" s="1"/>
  <c r="I195" i="19" s="1"/>
  <c r="E202" i="19"/>
  <c r="G202" i="19" s="1"/>
  <c r="I202" i="19" s="1"/>
  <c r="E194" i="19"/>
  <c r="G194" i="19" s="1"/>
  <c r="I194" i="19" s="1"/>
  <c r="K138" i="19"/>
  <c r="K128" i="19"/>
  <c r="BT45" i="5"/>
  <c r="X27" i="19"/>
  <c r="X26" i="19"/>
  <c r="J26" i="19"/>
  <c r="J27" i="19"/>
  <c r="K165" i="19"/>
  <c r="K158" i="19"/>
  <c r="AB114" i="19"/>
  <c r="AG56" i="19"/>
  <c r="AG77" i="19" s="1"/>
  <c r="K139" i="19"/>
  <c r="K131" i="19"/>
  <c r="K175" i="19"/>
  <c r="K161" i="19"/>
  <c r="AA114" i="19"/>
  <c r="H186" i="19"/>
  <c r="J186" i="19" s="1"/>
  <c r="F207" i="19"/>
  <c r="H207" i="19" s="1"/>
  <c r="J207" i="19" s="1"/>
  <c r="F193" i="19"/>
  <c r="H193" i="19" s="1"/>
  <c r="J193" i="19" s="1"/>
  <c r="F189" i="19"/>
  <c r="H189" i="19" s="1"/>
  <c r="J189" i="19" s="1"/>
  <c r="F208" i="19"/>
  <c r="H208" i="19" s="1"/>
  <c r="J208" i="19" s="1"/>
  <c r="F190" i="19"/>
  <c r="H190" i="19" s="1"/>
  <c r="J190" i="19" s="1"/>
  <c r="F201" i="19"/>
  <c r="H201" i="19" s="1"/>
  <c r="J201" i="19" s="1"/>
  <c r="F205" i="19"/>
  <c r="H205" i="19" s="1"/>
  <c r="J205" i="19" s="1"/>
  <c r="F202" i="19"/>
  <c r="H202" i="19" s="1"/>
  <c r="J202" i="19" s="1"/>
  <c r="F195" i="19"/>
  <c r="H195" i="19" s="1"/>
  <c r="J195" i="19" s="1"/>
  <c r="F199" i="19"/>
  <c r="H199" i="19" s="1"/>
  <c r="J199" i="19" s="1"/>
  <c r="F196" i="19"/>
  <c r="H196" i="19" s="1"/>
  <c r="J196" i="19" s="1"/>
  <c r="F191" i="19"/>
  <c r="H191" i="19" s="1"/>
  <c r="J191" i="19" s="1"/>
  <c r="F197" i="19"/>
  <c r="H197" i="19" s="1"/>
  <c r="J197" i="19" s="1"/>
  <c r="F203" i="19"/>
  <c r="H203" i="19" s="1"/>
  <c r="J203" i="19" s="1"/>
  <c r="F192" i="19"/>
  <c r="H192" i="19" s="1"/>
  <c r="J192" i="19" s="1"/>
  <c r="F200" i="19"/>
  <c r="H200" i="19" s="1"/>
  <c r="J200" i="19" s="1"/>
  <c r="F198" i="19"/>
  <c r="H198" i="19" s="1"/>
  <c r="J198" i="19" s="1"/>
  <c r="F206" i="19"/>
  <c r="H206" i="19" s="1"/>
  <c r="J206" i="19" s="1"/>
  <c r="F204" i="19"/>
  <c r="H204" i="19" s="1"/>
  <c r="J204" i="19" s="1"/>
  <c r="F194" i="19"/>
  <c r="H194" i="19" s="1"/>
  <c r="J194" i="19" s="1"/>
  <c r="K142" i="19"/>
  <c r="K134" i="19"/>
  <c r="N82" i="19"/>
  <c r="AF26" i="19"/>
  <c r="AF47" i="19" s="1"/>
  <c r="K167" i="19"/>
  <c r="K164" i="19"/>
  <c r="D203" i="19"/>
  <c r="D196" i="19"/>
  <c r="D200" i="19"/>
  <c r="D197" i="19"/>
  <c r="D208" i="19"/>
  <c r="D190" i="19"/>
  <c r="L186" i="19"/>
  <c r="D191" i="19"/>
  <c r="D202" i="19"/>
  <c r="D206" i="19"/>
  <c r="D194" i="19"/>
  <c r="D192" i="19"/>
  <c r="D198" i="19"/>
  <c r="D205" i="19"/>
  <c r="D195" i="19"/>
  <c r="D204" i="19"/>
  <c r="D193" i="19"/>
  <c r="D201" i="19"/>
  <c r="D199" i="19"/>
  <c r="D207" i="19"/>
  <c r="D189" i="19"/>
  <c r="M108" i="19"/>
  <c r="N108" i="19" s="1"/>
  <c r="AG41" i="19" s="1"/>
  <c r="K141" i="19"/>
  <c r="K137" i="19"/>
  <c r="I24" i="9"/>
  <c r="M82" i="19"/>
  <c r="K170" i="19"/>
  <c r="K168" i="19"/>
  <c r="K132" i="19"/>
  <c r="K140" i="19"/>
  <c r="AK25" i="5"/>
  <c r="B190" i="16"/>
  <c r="B158" i="16"/>
  <c r="B94" i="16"/>
  <c r="B126" i="16"/>
  <c r="B62" i="16"/>
  <c r="H25" i="7"/>
  <c r="A50" i="7"/>
  <c r="A82" i="7" s="1"/>
  <c r="Z174" i="18"/>
  <c r="Z173" i="18"/>
  <c r="Z172" i="18"/>
  <c r="Z171" i="18"/>
  <c r="Z170" i="18"/>
  <c r="L167" i="19"/>
  <c r="L161" i="19"/>
  <c r="M101" i="19"/>
  <c r="N101" i="19" s="1"/>
  <c r="AG34" i="19" s="1"/>
  <c r="K166" i="19"/>
  <c r="K133" i="19"/>
  <c r="C31" i="16"/>
  <c r="B191" i="16"/>
  <c r="B159" i="16"/>
  <c r="B95" i="16"/>
  <c r="B63" i="16"/>
  <c r="B127" i="16"/>
  <c r="AA174" i="18"/>
  <c r="AA173" i="18"/>
  <c r="AA172" i="18"/>
  <c r="AA171" i="18"/>
  <c r="AA170" i="18"/>
  <c r="M103" i="19"/>
  <c r="N103" i="19" s="1"/>
  <c r="AG36" i="19" s="1"/>
  <c r="K160" i="19"/>
  <c r="M155" i="19"/>
  <c r="N155" i="19" s="1"/>
  <c r="K136" i="19"/>
  <c r="AB170" i="18"/>
  <c r="AB174" i="18"/>
  <c r="AB173" i="18"/>
  <c r="AB172" i="18"/>
  <c r="AB171" i="18"/>
  <c r="K159" i="19"/>
  <c r="M109" i="19"/>
  <c r="N109" i="19" s="1"/>
  <c r="AG42" i="19" s="1"/>
  <c r="K135" i="19"/>
  <c r="AE24" i="4"/>
  <c r="X34" i="10" s="1"/>
  <c r="BO25" i="5"/>
  <c r="CA52" i="5"/>
  <c r="CA41" i="5"/>
  <c r="BO41" i="5"/>
  <c r="BO52" i="5"/>
  <c r="F45" i="19"/>
  <c r="H45" i="19" s="1"/>
  <c r="J45" i="19" s="1"/>
  <c r="F35" i="19"/>
  <c r="H35" i="19" s="1"/>
  <c r="J35" i="19" s="1"/>
  <c r="F34" i="19"/>
  <c r="H34" i="19" s="1"/>
  <c r="J34" i="19" s="1"/>
  <c r="E37" i="19"/>
  <c r="G37" i="19" s="1"/>
  <c r="I37" i="19" s="1"/>
  <c r="E41" i="19"/>
  <c r="G41" i="19" s="1"/>
  <c r="I41" i="19" s="1"/>
  <c r="E36" i="19"/>
  <c r="G36" i="19" s="1"/>
  <c r="I36" i="19" s="1"/>
  <c r="E48" i="19"/>
  <c r="G48" i="19" s="1"/>
  <c r="I48" i="19" s="1"/>
  <c r="F41" i="19"/>
  <c r="H41" i="19" s="1"/>
  <c r="J41" i="19" s="1"/>
  <c r="F31" i="19"/>
  <c r="H31" i="19" s="1"/>
  <c r="J31" i="19" s="1"/>
  <c r="F48" i="19"/>
  <c r="H48" i="19" s="1"/>
  <c r="J48" i="19" s="1"/>
  <c r="F32" i="19"/>
  <c r="H32" i="19" s="1"/>
  <c r="J32" i="19" s="1"/>
  <c r="E31" i="19"/>
  <c r="G31" i="19" s="1"/>
  <c r="I31" i="19" s="1"/>
  <c r="E35" i="19"/>
  <c r="G35" i="19" s="1"/>
  <c r="I35" i="19" s="1"/>
  <c r="E34" i="19"/>
  <c r="G34" i="19" s="1"/>
  <c r="I34" i="19" s="1"/>
  <c r="E32" i="19"/>
  <c r="G32" i="19" s="1"/>
  <c r="I32" i="19" s="1"/>
  <c r="F37" i="19"/>
  <c r="H37" i="19" s="1"/>
  <c r="J37" i="19" s="1"/>
  <c r="F46" i="19"/>
  <c r="H46" i="19" s="1"/>
  <c r="J46" i="19" s="1"/>
  <c r="F30" i="19"/>
  <c r="H30" i="19" s="1"/>
  <c r="J30" i="19" s="1"/>
  <c r="E45" i="19"/>
  <c r="G45" i="19" s="1"/>
  <c r="I45" i="19" s="1"/>
  <c r="F33" i="19"/>
  <c r="H33" i="19" s="1"/>
  <c r="J33" i="19" s="1"/>
  <c r="F44" i="19"/>
  <c r="H44" i="19" s="1"/>
  <c r="J44" i="19" s="1"/>
  <c r="E39" i="19"/>
  <c r="G39" i="19" s="1"/>
  <c r="I39" i="19" s="1"/>
  <c r="E46" i="19"/>
  <c r="G46" i="19" s="1"/>
  <c r="I46" i="19" s="1"/>
  <c r="E30" i="19"/>
  <c r="G30" i="19" s="1"/>
  <c r="I30" i="19" s="1"/>
  <c r="E33" i="19"/>
  <c r="G33" i="19" s="1"/>
  <c r="I33" i="19" s="1"/>
  <c r="F29" i="19"/>
  <c r="H29" i="19" s="1"/>
  <c r="J29" i="19" s="1"/>
  <c r="F42" i="19"/>
  <c r="H42" i="19" s="1"/>
  <c r="J42" i="19" s="1"/>
  <c r="E44" i="19"/>
  <c r="G44" i="19" s="1"/>
  <c r="I44" i="19" s="1"/>
  <c r="E42" i="19"/>
  <c r="G42" i="19" s="1"/>
  <c r="I42" i="19" s="1"/>
  <c r="F47" i="19"/>
  <c r="H47" i="19" s="1"/>
  <c r="J47" i="19" s="1"/>
  <c r="F40" i="19"/>
  <c r="H40" i="19" s="1"/>
  <c r="J40" i="19" s="1"/>
  <c r="E29" i="19"/>
  <c r="G29" i="19" s="1"/>
  <c r="I29" i="19" s="1"/>
  <c r="F43" i="19"/>
  <c r="H43" i="19" s="1"/>
  <c r="J43" i="19" s="1"/>
  <c r="F38" i="19"/>
  <c r="H38" i="19" s="1"/>
  <c r="J38" i="19" s="1"/>
  <c r="E40" i="19"/>
  <c r="G40" i="19" s="1"/>
  <c r="I40" i="19" s="1"/>
  <c r="F39" i="19"/>
  <c r="H39" i="19" s="1"/>
  <c r="J39" i="19" s="1"/>
  <c r="F36" i="19"/>
  <c r="H36" i="19" s="1"/>
  <c r="J36" i="19" s="1"/>
  <c r="E43" i="19"/>
  <c r="G43" i="19" s="1"/>
  <c r="I43" i="19" s="1"/>
  <c r="E47" i="19"/>
  <c r="G47" i="19" s="1"/>
  <c r="I47" i="19" s="1"/>
  <c r="E38" i="19"/>
  <c r="G38" i="19" s="1"/>
  <c r="I38" i="19" s="1"/>
  <c r="S45" i="19"/>
  <c r="U45" i="19" s="1"/>
  <c r="W45" i="19" s="1"/>
  <c r="S29" i="19"/>
  <c r="U29" i="19" s="1"/>
  <c r="W29" i="19" s="1"/>
  <c r="S36" i="19"/>
  <c r="U36" i="19" s="1"/>
  <c r="W36" i="19" s="1"/>
  <c r="T40" i="19"/>
  <c r="V40" i="19" s="1"/>
  <c r="X40" i="19" s="1"/>
  <c r="T48" i="19"/>
  <c r="V48" i="19" s="1"/>
  <c r="X48" i="19" s="1"/>
  <c r="S43" i="19"/>
  <c r="U43" i="19" s="1"/>
  <c r="W43" i="19" s="1"/>
  <c r="S34" i="19"/>
  <c r="U34" i="19" s="1"/>
  <c r="W34" i="19" s="1"/>
  <c r="T43" i="19"/>
  <c r="V43" i="19" s="1"/>
  <c r="X43" i="19" s="1"/>
  <c r="T47" i="19"/>
  <c r="V47" i="19" s="1"/>
  <c r="X47" i="19" s="1"/>
  <c r="T38" i="19"/>
  <c r="V38" i="19" s="1"/>
  <c r="X38" i="19" s="1"/>
  <c r="T32" i="19"/>
  <c r="V32" i="19" s="1"/>
  <c r="X32" i="19" s="1"/>
  <c r="S41" i="19"/>
  <c r="U41" i="19" s="1"/>
  <c r="W41" i="19" s="1"/>
  <c r="S48" i="19"/>
  <c r="U48" i="19" s="1"/>
  <c r="W48" i="19" s="1"/>
  <c r="S32" i="19"/>
  <c r="U32" i="19" s="1"/>
  <c r="W32" i="19" s="1"/>
  <c r="T37" i="19"/>
  <c r="V37" i="19" s="1"/>
  <c r="X37" i="19" s="1"/>
  <c r="T45" i="19"/>
  <c r="V45" i="19" s="1"/>
  <c r="X45" i="19" s="1"/>
  <c r="T36" i="19"/>
  <c r="V36" i="19" s="1"/>
  <c r="X36" i="19" s="1"/>
  <c r="S39" i="19"/>
  <c r="U39" i="19" s="1"/>
  <c r="W39" i="19" s="1"/>
  <c r="S46" i="19"/>
  <c r="U46" i="19" s="1"/>
  <c r="W46" i="19" s="1"/>
  <c r="S30" i="19"/>
  <c r="U30" i="19" s="1"/>
  <c r="W30" i="19" s="1"/>
  <c r="T33" i="19"/>
  <c r="V33" i="19" s="1"/>
  <c r="X33" i="19" s="1"/>
  <c r="T41" i="19"/>
  <c r="V41" i="19" s="1"/>
  <c r="X41" i="19" s="1"/>
  <c r="T34" i="19"/>
  <c r="V34" i="19" s="1"/>
  <c r="X34" i="19" s="1"/>
  <c r="S37" i="19"/>
  <c r="U37" i="19" s="1"/>
  <c r="W37" i="19" s="1"/>
  <c r="S44" i="19"/>
  <c r="U44" i="19" s="1"/>
  <c r="W44" i="19" s="1"/>
  <c r="T29" i="19"/>
  <c r="V29" i="19" s="1"/>
  <c r="X29" i="19" s="1"/>
  <c r="T39" i="19"/>
  <c r="V39" i="19" s="1"/>
  <c r="X39" i="19" s="1"/>
  <c r="S35" i="19"/>
  <c r="U35" i="19" s="1"/>
  <c r="W35" i="19" s="1"/>
  <c r="S42" i="19"/>
  <c r="U42" i="19" s="1"/>
  <c r="W42" i="19" s="1"/>
  <c r="T35" i="19"/>
  <c r="V35" i="19" s="1"/>
  <c r="X35" i="19" s="1"/>
  <c r="T46" i="19"/>
  <c r="V46" i="19" s="1"/>
  <c r="X46" i="19" s="1"/>
  <c r="T30" i="19"/>
  <c r="V30" i="19" s="1"/>
  <c r="X30" i="19" s="1"/>
  <c r="S33" i="19"/>
  <c r="U33" i="19" s="1"/>
  <c r="W33" i="19" s="1"/>
  <c r="S40" i="19"/>
  <c r="U40" i="19" s="1"/>
  <c r="W40" i="19" s="1"/>
  <c r="T31" i="19"/>
  <c r="V31" i="19" s="1"/>
  <c r="X31" i="19" s="1"/>
  <c r="T44" i="19"/>
  <c r="V44" i="19" s="1"/>
  <c r="X44" i="19" s="1"/>
  <c r="S47" i="19"/>
  <c r="U47" i="19" s="1"/>
  <c r="W47" i="19" s="1"/>
  <c r="S31" i="19"/>
  <c r="U31" i="19" s="1"/>
  <c r="W31" i="19" s="1"/>
  <c r="S38" i="19"/>
  <c r="U38" i="19" s="1"/>
  <c r="W38" i="19" s="1"/>
  <c r="T42" i="19"/>
  <c r="V42" i="19" s="1"/>
  <c r="X42" i="19" s="1"/>
  <c r="BB25" i="10"/>
  <c r="N90" i="18"/>
  <c r="BD45" i="5"/>
  <c r="BG45" i="5" s="1"/>
  <c r="BG51" i="5" s="1"/>
  <c r="F160" i="18"/>
  <c r="Z169" i="18"/>
  <c r="J160" i="18"/>
  <c r="AA169" i="18"/>
  <c r="K169" i="18"/>
  <c r="M24" i="18"/>
  <c r="AC169" i="18"/>
  <c r="M90" i="18"/>
  <c r="AB169" i="18"/>
  <c r="D61" i="18"/>
  <c r="O93" i="18"/>
  <c r="B30" i="16"/>
  <c r="O61" i="18"/>
  <c r="E30" i="7"/>
  <c r="P60" i="18"/>
  <c r="D60" i="18"/>
  <c r="E27" i="7"/>
  <c r="E31" i="7"/>
  <c r="E28" i="7"/>
  <c r="D31" i="16"/>
  <c r="P27" i="18"/>
  <c r="F25" i="9"/>
  <c r="D25" i="7"/>
  <c r="H24" i="18"/>
  <c r="L24" i="18"/>
  <c r="L28" i="18" s="1"/>
  <c r="K58" i="18"/>
  <c r="L57" i="18"/>
  <c r="N57" i="18" s="1"/>
  <c r="D29" i="18"/>
  <c r="E159" i="18"/>
  <c r="F159" i="18" s="1"/>
  <c r="H25" i="18"/>
  <c r="N25" i="18" s="1"/>
  <c r="K25" i="18"/>
  <c r="K29" i="18" s="1"/>
  <c r="L58" i="18"/>
  <c r="G53" i="18"/>
  <c r="K57" i="18"/>
  <c r="G57" i="18"/>
  <c r="J159" i="18"/>
  <c r="G58" i="18"/>
  <c r="Q53" i="18"/>
  <c r="G25" i="18"/>
  <c r="G27" i="18" s="1"/>
  <c r="G20" i="18"/>
  <c r="L91" i="18"/>
  <c r="L93" i="18" s="1"/>
  <c r="H58" i="18"/>
  <c r="H61" i="18" s="1"/>
  <c r="G169" i="18"/>
  <c r="C61" i="18"/>
  <c r="B31" i="16"/>
  <c r="AZ25" i="5"/>
  <c r="I158" i="18"/>
  <c r="H158" i="18"/>
  <c r="H161" i="18" s="1"/>
  <c r="E158" i="18"/>
  <c r="D158" i="18"/>
  <c r="H123" i="18"/>
  <c r="J124" i="18"/>
  <c r="H124" i="18"/>
  <c r="D124" i="18"/>
  <c r="J123" i="18"/>
  <c r="L123" i="18"/>
  <c r="K124" i="18"/>
  <c r="D123" i="18"/>
  <c r="C124" i="18"/>
  <c r="L124" i="18"/>
  <c r="G123" i="18"/>
  <c r="F124" i="18"/>
  <c r="G124" i="18"/>
  <c r="G119" i="18"/>
  <c r="AI21" i="18"/>
  <c r="C123" i="18"/>
  <c r="I123" i="18"/>
  <c r="L24" i="8"/>
  <c r="O24" i="8"/>
  <c r="D24" i="8"/>
  <c r="E33" i="7"/>
  <c r="B34" i="7"/>
  <c r="B35" i="7" s="1"/>
  <c r="B43" i="9"/>
  <c r="F25" i="8"/>
  <c r="N24" i="8"/>
  <c r="M25" i="8"/>
  <c r="B18" i="8"/>
  <c r="F24" i="8"/>
  <c r="J25" i="8"/>
  <c r="M24" i="8"/>
  <c r="D25" i="8"/>
  <c r="E25" i="8"/>
  <c r="J24" i="8"/>
  <c r="C24" i="8"/>
  <c r="E24" i="8"/>
  <c r="I20" i="8"/>
  <c r="I25" i="8"/>
  <c r="O25" i="8"/>
  <c r="N25" i="8"/>
  <c r="L25" i="8"/>
  <c r="C25" i="8"/>
  <c r="Q119" i="18"/>
  <c r="K123" i="18"/>
  <c r="E29" i="7"/>
  <c r="F157" i="18"/>
  <c r="E32" i="7"/>
  <c r="BE34" i="5"/>
  <c r="BE40" i="5" s="1"/>
  <c r="F123" i="18"/>
  <c r="P123" i="18" s="1"/>
  <c r="I157" i="18"/>
  <c r="J157" i="18" s="1"/>
  <c r="C25" i="18"/>
  <c r="O27" i="18"/>
  <c r="P61" i="18"/>
  <c r="C60" i="18"/>
  <c r="E124" i="18"/>
  <c r="O124" i="18" s="1"/>
  <c r="D30" i="16"/>
  <c r="I124" i="18"/>
  <c r="O60" i="18"/>
  <c r="AF21" i="18"/>
  <c r="C30" i="16"/>
  <c r="E123" i="18"/>
  <c r="O123" i="18" s="1"/>
  <c r="C24" i="18"/>
  <c r="B31" i="8"/>
  <c r="B18" i="9"/>
  <c r="N25" i="9"/>
  <c r="E25" i="9"/>
  <c r="E24" i="9"/>
  <c r="M25" i="9"/>
  <c r="F24" i="9"/>
  <c r="H25" i="9"/>
  <c r="C25" i="9"/>
  <c r="N24" i="9"/>
  <c r="I25" i="9"/>
  <c r="M24" i="9"/>
  <c r="H24" i="9"/>
  <c r="Z16" i="4"/>
  <c r="AD16" i="4" s="1"/>
  <c r="V17" i="4"/>
  <c r="D24" i="9"/>
  <c r="J24" i="9"/>
  <c r="C24" i="9"/>
  <c r="O24" i="9"/>
  <c r="O25" i="9"/>
  <c r="P25" i="9"/>
  <c r="G24" i="9"/>
  <c r="V26" i="4"/>
  <c r="AE25" i="4"/>
  <c r="X35" i="10" s="1"/>
  <c r="D25" i="9"/>
  <c r="G25" i="9"/>
  <c r="P24" i="9"/>
  <c r="Z15" i="4"/>
  <c r="AZ41" i="5"/>
  <c r="AZ52" i="5"/>
  <c r="AK52" i="5"/>
  <c r="AK41" i="5"/>
  <c r="BC45" i="5"/>
  <c r="BF45" i="5" s="1"/>
  <c r="BF51" i="5" s="1"/>
  <c r="F25" i="7"/>
  <c r="L25" i="7"/>
  <c r="G25" i="7"/>
  <c r="G31" i="7" s="1"/>
  <c r="F24" i="7"/>
  <c r="C24" i="7"/>
  <c r="M24" i="7" s="1"/>
  <c r="J25" i="7"/>
  <c r="B18" i="7"/>
  <c r="D24" i="7"/>
  <c r="I25" i="7"/>
  <c r="I27" i="7" s="1"/>
  <c r="K25" i="7"/>
  <c r="K29" i="7" s="1"/>
  <c r="H24" i="7"/>
  <c r="B31" i="18"/>
  <c r="O31" i="18" s="1"/>
  <c r="P93" i="18"/>
  <c r="D30" i="18"/>
  <c r="O28" i="18"/>
  <c r="P28" i="18"/>
  <c r="D28" i="18"/>
  <c r="B94" i="18"/>
  <c r="G94" i="18" s="1"/>
  <c r="H93" i="18"/>
  <c r="Q169" i="18"/>
  <c r="Q159" i="18" s="1"/>
  <c r="U169" i="18"/>
  <c r="V169" i="18"/>
  <c r="V160" i="18" s="1"/>
  <c r="O30" i="18"/>
  <c r="G93" i="18"/>
  <c r="B128" i="18"/>
  <c r="P30" i="18"/>
  <c r="O29" i="18"/>
  <c r="D27" i="18"/>
  <c r="B62" i="18"/>
  <c r="P169" i="18"/>
  <c r="P29" i="18"/>
  <c r="C93" i="18"/>
  <c r="K91" i="18"/>
  <c r="L169" i="18"/>
  <c r="D91" i="18"/>
  <c r="M171" i="19" l="1"/>
  <c r="N171" i="19" s="1"/>
  <c r="AI40" i="19" s="1"/>
  <c r="H25" i="8"/>
  <c r="M140" i="19"/>
  <c r="N140" i="19" s="1"/>
  <c r="AH41" i="19" s="1"/>
  <c r="L198" i="19"/>
  <c r="M127" i="19"/>
  <c r="N127" i="19" s="1"/>
  <c r="AH28" i="19" s="1"/>
  <c r="M135" i="19"/>
  <c r="N135" i="19" s="1"/>
  <c r="AH36" i="19" s="1"/>
  <c r="M142" i="19"/>
  <c r="N142" i="19" s="1"/>
  <c r="AH43" i="19" s="1"/>
  <c r="M166" i="19"/>
  <c r="N166" i="19" s="1"/>
  <c r="AI35" i="19" s="1"/>
  <c r="M132" i="19"/>
  <c r="N132" i="19" s="1"/>
  <c r="AH33" i="19" s="1"/>
  <c r="M130" i="19"/>
  <c r="N130" i="19" s="1"/>
  <c r="AH31" i="19" s="1"/>
  <c r="M141" i="19"/>
  <c r="N141" i="19" s="1"/>
  <c r="AH42" i="19" s="1"/>
  <c r="M170" i="19"/>
  <c r="N170" i="19" s="1"/>
  <c r="AI39" i="19" s="1"/>
  <c r="M125" i="19"/>
  <c r="N125" i="19" s="1"/>
  <c r="M126" i="19"/>
  <c r="N126" i="19" s="1"/>
  <c r="AH27" i="19" s="1"/>
  <c r="M144" i="19"/>
  <c r="N144" i="19" s="1"/>
  <c r="AH45" i="19" s="1"/>
  <c r="L203" i="19"/>
  <c r="L208" i="19"/>
  <c r="L194" i="19"/>
  <c r="M175" i="19"/>
  <c r="N175" i="19" s="1"/>
  <c r="AI44" i="19" s="1"/>
  <c r="M163" i="19"/>
  <c r="N163" i="19" s="1"/>
  <c r="AI32" i="19" s="1"/>
  <c r="M139" i="19"/>
  <c r="N139" i="19" s="1"/>
  <c r="AH40" i="19" s="1"/>
  <c r="M133" i="19"/>
  <c r="N133" i="19" s="1"/>
  <c r="AH34" i="19" s="1"/>
  <c r="M136" i="19"/>
  <c r="N136" i="19" s="1"/>
  <c r="AH37" i="19" s="1"/>
  <c r="M129" i="19"/>
  <c r="N129" i="19" s="1"/>
  <c r="AH30" i="19" s="1"/>
  <c r="L201" i="19"/>
  <c r="M158" i="19"/>
  <c r="N158" i="19" s="1"/>
  <c r="AI27" i="19" s="1"/>
  <c r="M137" i="19"/>
  <c r="N137" i="19" s="1"/>
  <c r="AH38" i="19" s="1"/>
  <c r="M159" i="19"/>
  <c r="N159" i="19" s="1"/>
  <c r="AI28" i="19" s="1"/>
  <c r="M134" i="19"/>
  <c r="N134" i="19" s="1"/>
  <c r="AH35" i="19" s="1"/>
  <c r="M168" i="19"/>
  <c r="N168" i="19" s="1"/>
  <c r="AI37" i="19" s="1"/>
  <c r="M157" i="19"/>
  <c r="N157" i="19" s="1"/>
  <c r="M131" i="19"/>
  <c r="N131" i="19" s="1"/>
  <c r="AH32" i="19" s="1"/>
  <c r="M138" i="19"/>
  <c r="N138" i="19" s="1"/>
  <c r="AH39" i="19" s="1"/>
  <c r="L204" i="19"/>
  <c r="L197" i="19"/>
  <c r="L200" i="19"/>
  <c r="M165" i="19"/>
  <c r="N165" i="19" s="1"/>
  <c r="AI34" i="19" s="1"/>
  <c r="M143" i="19"/>
  <c r="N143" i="19" s="1"/>
  <c r="AH44" i="19" s="1"/>
  <c r="L190" i="19"/>
  <c r="M162" i="19"/>
  <c r="N162" i="19" s="1"/>
  <c r="AI31" i="19" s="1"/>
  <c r="M174" i="19"/>
  <c r="N174" i="19" s="1"/>
  <c r="AI43" i="19" s="1"/>
  <c r="M164" i="19"/>
  <c r="N164" i="19" s="1"/>
  <c r="AI33" i="19" s="1"/>
  <c r="L189" i="19"/>
  <c r="L202" i="19"/>
  <c r="M187" i="19"/>
  <c r="N187" i="19" s="1"/>
  <c r="M128" i="19"/>
  <c r="N128" i="19" s="1"/>
  <c r="AH29" i="19" s="1"/>
  <c r="M176" i="19"/>
  <c r="N176" i="19" s="1"/>
  <c r="AI45" i="19" s="1"/>
  <c r="L207" i="19"/>
  <c r="AA210" i="19"/>
  <c r="M169" i="19"/>
  <c r="N169" i="19" s="1"/>
  <c r="AI38" i="19" s="1"/>
  <c r="K186" i="19"/>
  <c r="M186" i="19" s="1"/>
  <c r="N186" i="19" s="1"/>
  <c r="M173" i="19"/>
  <c r="N173" i="19" s="1"/>
  <c r="AI42" i="19" s="1"/>
  <c r="M30" i="16"/>
  <c r="L30" i="16"/>
  <c r="L193" i="19"/>
  <c r="AA146" i="19"/>
  <c r="M160" i="19"/>
  <c r="N160" i="19" s="1"/>
  <c r="AI29" i="19" s="1"/>
  <c r="L205" i="19"/>
  <c r="L206" i="19"/>
  <c r="L192" i="19"/>
  <c r="L191" i="19"/>
  <c r="L199" i="19"/>
  <c r="M172" i="19"/>
  <c r="N172" i="19" s="1"/>
  <c r="AI41" i="19" s="1"/>
  <c r="AA178" i="19"/>
  <c r="L195" i="19"/>
  <c r="L196" i="19"/>
  <c r="K30" i="16"/>
  <c r="G25" i="8"/>
  <c r="T24" i="9"/>
  <c r="G28" i="18"/>
  <c r="G30" i="18"/>
  <c r="S24" i="9"/>
  <c r="T25" i="9"/>
  <c r="L29" i="18"/>
  <c r="I29" i="8"/>
  <c r="H27" i="7"/>
  <c r="S25" i="9"/>
  <c r="L25" i="9"/>
  <c r="G88" i="7"/>
  <c r="L89" i="7"/>
  <c r="F88" i="7"/>
  <c r="K89" i="7"/>
  <c r="E88" i="7"/>
  <c r="J89" i="7"/>
  <c r="D88" i="7"/>
  <c r="I89" i="7"/>
  <c r="C88" i="7"/>
  <c r="H89" i="7"/>
  <c r="G89" i="7"/>
  <c r="O84" i="7"/>
  <c r="F89" i="7"/>
  <c r="L88" i="7"/>
  <c r="G84" i="7"/>
  <c r="E89" i="7"/>
  <c r="K88" i="7"/>
  <c r="B82" i="7"/>
  <c r="H88" i="7"/>
  <c r="D89" i="7"/>
  <c r="J88" i="7"/>
  <c r="C89" i="7"/>
  <c r="I88" i="7"/>
  <c r="K197" i="19"/>
  <c r="K204" i="19"/>
  <c r="K207" i="19"/>
  <c r="K206" i="19"/>
  <c r="G31" i="16" a="1"/>
  <c r="G31" i="16" s="1"/>
  <c r="G51" i="16" s="1"/>
  <c r="CH40" i="5"/>
  <c r="Q27" i="19"/>
  <c r="C27" i="19"/>
  <c r="F57" i="8"/>
  <c r="M56" i="8"/>
  <c r="I52" i="8"/>
  <c r="M57" i="8"/>
  <c r="F56" i="8"/>
  <c r="J57" i="8"/>
  <c r="E56" i="8"/>
  <c r="I57" i="8"/>
  <c r="I56" i="8"/>
  <c r="E57" i="8"/>
  <c r="D57" i="8"/>
  <c r="D56" i="8"/>
  <c r="B50" i="8"/>
  <c r="O57" i="8"/>
  <c r="O56" i="8"/>
  <c r="N57" i="8"/>
  <c r="N56" i="8"/>
  <c r="L57" i="8"/>
  <c r="C57" i="8"/>
  <c r="L56" i="8"/>
  <c r="J56" i="8"/>
  <c r="C56" i="8"/>
  <c r="K208" i="19"/>
  <c r="K194" i="19"/>
  <c r="AB178" i="19"/>
  <c r="AI56" i="19"/>
  <c r="AI77" i="19" s="1"/>
  <c r="BT40" i="5"/>
  <c r="Q26" i="19"/>
  <c r="C26" i="19"/>
  <c r="A114" i="8"/>
  <c r="K190" i="19"/>
  <c r="K200" i="19"/>
  <c r="BC78" i="9"/>
  <c r="AQ78" i="9"/>
  <c r="BD77" i="9"/>
  <c r="AR77" i="9"/>
  <c r="BE76" i="9"/>
  <c r="AS76" i="9"/>
  <c r="AT75" i="9"/>
  <c r="U75" i="9"/>
  <c r="AU74" i="9"/>
  <c r="V74" i="9"/>
  <c r="AV73" i="9"/>
  <c r="W73" i="9"/>
  <c r="AW72" i="9"/>
  <c r="AK72" i="9"/>
  <c r="X72" i="9"/>
  <c r="AX71" i="9"/>
  <c r="AL71" i="9"/>
  <c r="Y71" i="9"/>
  <c r="AY70" i="9"/>
  <c r="AM70" i="9"/>
  <c r="Z70" i="9"/>
  <c r="AZ69" i="9"/>
  <c r="BB78" i="9"/>
  <c r="AP78" i="9"/>
  <c r="BC77" i="9"/>
  <c r="AQ77" i="9"/>
  <c r="BD76" i="9"/>
  <c r="AR76" i="9"/>
  <c r="BE75" i="9"/>
  <c r="AS75" i="9"/>
  <c r="AT74" i="9"/>
  <c r="U74" i="9"/>
  <c r="AU73" i="9"/>
  <c r="V73" i="9"/>
  <c r="AV72" i="9"/>
  <c r="W72" i="9"/>
  <c r="AW71" i="9"/>
  <c r="AK71" i="9"/>
  <c r="X71" i="9"/>
  <c r="AX70" i="9"/>
  <c r="AL70" i="9"/>
  <c r="Y70" i="9"/>
  <c r="AY69" i="9"/>
  <c r="AM69" i="9"/>
  <c r="BA78" i="9"/>
  <c r="AO78" i="9"/>
  <c r="BB77" i="9"/>
  <c r="AP77" i="9"/>
  <c r="BC76" i="9"/>
  <c r="AQ76" i="9"/>
  <c r="BD75" i="9"/>
  <c r="AR75" i="9"/>
  <c r="BE74" i="9"/>
  <c r="AS74" i="9"/>
  <c r="AT73" i="9"/>
  <c r="U73" i="9"/>
  <c r="AU72" i="9"/>
  <c r="V72" i="9"/>
  <c r="AV71" i="9"/>
  <c r="W71" i="9"/>
  <c r="AW70" i="9"/>
  <c r="AK70" i="9"/>
  <c r="X70" i="9"/>
  <c r="AX69" i="9"/>
  <c r="AL69" i="9"/>
  <c r="AY78" i="9"/>
  <c r="AM78" i="9"/>
  <c r="Z78" i="9"/>
  <c r="AZ77" i="9"/>
  <c r="AN77" i="9"/>
  <c r="BA76" i="9"/>
  <c r="AO76" i="9"/>
  <c r="BB75" i="9"/>
  <c r="AP75" i="9"/>
  <c r="BC74" i="9"/>
  <c r="AQ74" i="9"/>
  <c r="BD73" i="9"/>
  <c r="AR73" i="9"/>
  <c r="BE72" i="9"/>
  <c r="AS72" i="9"/>
  <c r="AT71" i="9"/>
  <c r="U71" i="9"/>
  <c r="AU70" i="9"/>
  <c r="V70" i="9"/>
  <c r="AV69" i="9"/>
  <c r="AX78" i="9"/>
  <c r="AL78" i="9"/>
  <c r="Y78" i="9"/>
  <c r="AY77" i="9"/>
  <c r="AM77" i="9"/>
  <c r="Z77" i="9"/>
  <c r="AZ76" i="9"/>
  <c r="AN76" i="9"/>
  <c r="BA75" i="9"/>
  <c r="AO75" i="9"/>
  <c r="BB74" i="9"/>
  <c r="AP74" i="9"/>
  <c r="BC73" i="9"/>
  <c r="AQ73" i="9"/>
  <c r="BD72" i="9"/>
  <c r="AR72" i="9"/>
  <c r="BE71" i="9"/>
  <c r="AS71" i="9"/>
  <c r="AT70" i="9"/>
  <c r="U70" i="9"/>
  <c r="AU69" i="9"/>
  <c r="AV78" i="9"/>
  <c r="W78" i="9"/>
  <c r="AW77" i="9"/>
  <c r="AK77" i="9"/>
  <c r="X77" i="9"/>
  <c r="AX76" i="9"/>
  <c r="AL76" i="9"/>
  <c r="Y76" i="9"/>
  <c r="AY75" i="9"/>
  <c r="AM75" i="9"/>
  <c r="Z75" i="9"/>
  <c r="AZ74" i="9"/>
  <c r="AN74" i="9"/>
  <c r="BA73" i="9"/>
  <c r="AO73" i="9"/>
  <c r="BB72" i="9"/>
  <c r="AP72" i="9"/>
  <c r="BC71" i="9"/>
  <c r="AQ71" i="9"/>
  <c r="BD70" i="9"/>
  <c r="AR70" i="9"/>
  <c r="BE69" i="9"/>
  <c r="AS69" i="9"/>
  <c r="AT78" i="9"/>
  <c r="U78" i="9"/>
  <c r="AU77" i="9"/>
  <c r="V77" i="9"/>
  <c r="AV76" i="9"/>
  <c r="W76" i="9"/>
  <c r="AW75" i="9"/>
  <c r="AK75" i="9"/>
  <c r="X75" i="9"/>
  <c r="AX74" i="9"/>
  <c r="AL74" i="9"/>
  <c r="Y74" i="9"/>
  <c r="AY73" i="9"/>
  <c r="AM73" i="9"/>
  <c r="Z73" i="9"/>
  <c r="AZ72" i="9"/>
  <c r="AN72" i="9"/>
  <c r="BA71" i="9"/>
  <c r="AO71" i="9"/>
  <c r="BB70" i="9"/>
  <c r="AP70" i="9"/>
  <c r="BC69" i="9"/>
  <c r="BD78" i="9"/>
  <c r="AR78" i="9"/>
  <c r="BE77" i="9"/>
  <c r="AS77" i="9"/>
  <c r="AT76" i="9"/>
  <c r="U76" i="9"/>
  <c r="AU75" i="9"/>
  <c r="V75" i="9"/>
  <c r="AV74" i="9"/>
  <c r="W74" i="9"/>
  <c r="AW73" i="9"/>
  <c r="AK73" i="9"/>
  <c r="X73" i="9"/>
  <c r="AX72" i="9"/>
  <c r="AL72" i="9"/>
  <c r="Y72" i="9"/>
  <c r="AY71" i="9"/>
  <c r="AM71" i="9"/>
  <c r="Z71" i="9"/>
  <c r="X78" i="9"/>
  <c r="AX77" i="9"/>
  <c r="AM76" i="9"/>
  <c r="BA74" i="9"/>
  <c r="AP73" i="9"/>
  <c r="BD71" i="9"/>
  <c r="AZ70" i="9"/>
  <c r="BB69" i="9"/>
  <c r="U69" i="9"/>
  <c r="AU68" i="9"/>
  <c r="V68" i="9"/>
  <c r="AV67" i="9"/>
  <c r="W67" i="9"/>
  <c r="AW66" i="9"/>
  <c r="AK66" i="9"/>
  <c r="X66" i="9"/>
  <c r="AX65" i="9"/>
  <c r="AL65" i="9"/>
  <c r="Y65" i="9"/>
  <c r="AY64" i="9"/>
  <c r="AM64" i="9"/>
  <c r="Z64" i="9"/>
  <c r="AZ63" i="9"/>
  <c r="AN63" i="9"/>
  <c r="BA62" i="9"/>
  <c r="AO62" i="9"/>
  <c r="BB61" i="9"/>
  <c r="AP61" i="9"/>
  <c r="BC60" i="9"/>
  <c r="AQ60" i="9"/>
  <c r="BD59" i="9"/>
  <c r="AR59" i="9"/>
  <c r="BE57" i="9"/>
  <c r="AS57" i="9"/>
  <c r="H57" i="9"/>
  <c r="AT56" i="9"/>
  <c r="U56" i="9"/>
  <c r="I56" i="9"/>
  <c r="V78" i="9"/>
  <c r="AV77" i="9"/>
  <c r="AK76" i="9"/>
  <c r="Y75" i="9"/>
  <c r="AY74" i="9"/>
  <c r="AN73" i="9"/>
  <c r="BB71" i="9"/>
  <c r="AV70" i="9"/>
  <c r="BA69" i="9"/>
  <c r="AT68" i="9"/>
  <c r="U68" i="9"/>
  <c r="AU67" i="9"/>
  <c r="V67" i="9"/>
  <c r="AV66" i="9"/>
  <c r="W66" i="9"/>
  <c r="AW65" i="9"/>
  <c r="AK65" i="9"/>
  <c r="X65" i="9"/>
  <c r="AX64" i="9"/>
  <c r="AL64" i="9"/>
  <c r="Y64" i="9"/>
  <c r="AY63" i="9"/>
  <c r="AM63" i="9"/>
  <c r="Z63" i="9"/>
  <c r="AZ62" i="9"/>
  <c r="AN62" i="9"/>
  <c r="BA61" i="9"/>
  <c r="AO61" i="9"/>
  <c r="BB60" i="9"/>
  <c r="AP60" i="9"/>
  <c r="BC59" i="9"/>
  <c r="AQ59" i="9"/>
  <c r="BD57" i="9"/>
  <c r="AR57" i="9"/>
  <c r="G57" i="9"/>
  <c r="BE56" i="9"/>
  <c r="AS56" i="9"/>
  <c r="H56" i="9"/>
  <c r="BE78" i="9"/>
  <c r="AT77" i="9"/>
  <c r="W75" i="9"/>
  <c r="AW74" i="9"/>
  <c r="AL73" i="9"/>
  <c r="Z72" i="9"/>
  <c r="AZ71" i="9"/>
  <c r="AS70" i="9"/>
  <c r="AW69" i="9"/>
  <c r="BE68" i="9"/>
  <c r="AS68" i="9"/>
  <c r="AT67" i="9"/>
  <c r="U67" i="9"/>
  <c r="AU66" i="9"/>
  <c r="V66" i="9"/>
  <c r="AV65" i="9"/>
  <c r="W65" i="9"/>
  <c r="AW64" i="9"/>
  <c r="AK64" i="9"/>
  <c r="X64" i="9"/>
  <c r="AX63" i="9"/>
  <c r="AL63" i="9"/>
  <c r="Y63" i="9"/>
  <c r="AY62" i="9"/>
  <c r="AM62" i="9"/>
  <c r="Z62" i="9"/>
  <c r="AZ61" i="9"/>
  <c r="AN61" i="9"/>
  <c r="BA60" i="9"/>
  <c r="AO60" i="9"/>
  <c r="BB59" i="9"/>
  <c r="AP59" i="9"/>
  <c r="BC57" i="9"/>
  <c r="AQ57" i="9"/>
  <c r="F57" i="9"/>
  <c r="BD56" i="9"/>
  <c r="AR56" i="9"/>
  <c r="G56" i="9"/>
  <c r="AZ78" i="9"/>
  <c r="AO77" i="9"/>
  <c r="BC75" i="9"/>
  <c r="AR74" i="9"/>
  <c r="U72" i="9"/>
  <c r="AU71" i="9"/>
  <c r="AQ70" i="9"/>
  <c r="AT69" i="9"/>
  <c r="BD68" i="9"/>
  <c r="AR68" i="9"/>
  <c r="BE67" i="9"/>
  <c r="AS67" i="9"/>
  <c r="AT66" i="9"/>
  <c r="U66" i="9"/>
  <c r="AU65" i="9"/>
  <c r="V65" i="9"/>
  <c r="AV64" i="9"/>
  <c r="W64" i="9"/>
  <c r="AW63" i="9"/>
  <c r="AK63" i="9"/>
  <c r="X63" i="9"/>
  <c r="AX62" i="9"/>
  <c r="AL62" i="9"/>
  <c r="Y62" i="9"/>
  <c r="AY61" i="9"/>
  <c r="AM61" i="9"/>
  <c r="Z61" i="9"/>
  <c r="AZ60" i="9"/>
  <c r="AN60" i="9"/>
  <c r="BA59" i="9"/>
  <c r="AO59" i="9"/>
  <c r="BB57" i="9"/>
  <c r="AP57" i="9"/>
  <c r="E57" i="9"/>
  <c r="BC56" i="9"/>
  <c r="AQ56" i="9"/>
  <c r="F56" i="9"/>
  <c r="AW78" i="9"/>
  <c r="AL77" i="9"/>
  <c r="Z76" i="9"/>
  <c r="AZ75" i="9"/>
  <c r="AO74" i="9"/>
  <c r="BC72" i="9"/>
  <c r="AR71" i="9"/>
  <c r="AO70" i="9"/>
  <c r="AR69" i="9"/>
  <c r="BC68" i="9"/>
  <c r="AQ68" i="9"/>
  <c r="BD67" i="9"/>
  <c r="AR67" i="9"/>
  <c r="BE66" i="9"/>
  <c r="AS66" i="9"/>
  <c r="AT65" i="9"/>
  <c r="U65" i="9"/>
  <c r="AU64" i="9"/>
  <c r="V64" i="9"/>
  <c r="AV63" i="9"/>
  <c r="W63" i="9"/>
  <c r="AW62" i="9"/>
  <c r="AK62" i="9"/>
  <c r="X62" i="9"/>
  <c r="AX61" i="9"/>
  <c r="AL61" i="9"/>
  <c r="Y61" i="9"/>
  <c r="AY60" i="9"/>
  <c r="AM60" i="9"/>
  <c r="Z60" i="9"/>
  <c r="AZ59" i="9"/>
  <c r="AN59" i="9"/>
  <c r="BA57" i="9"/>
  <c r="AO57" i="9"/>
  <c r="P57" i="9"/>
  <c r="D57" i="9"/>
  <c r="BB56" i="9"/>
  <c r="AP56" i="9"/>
  <c r="E56" i="9"/>
  <c r="AU78" i="9"/>
  <c r="X76" i="9"/>
  <c r="AX75" i="9"/>
  <c r="AM74" i="9"/>
  <c r="BA72" i="9"/>
  <c r="AP71" i="9"/>
  <c r="AN70" i="9"/>
  <c r="AQ69" i="9"/>
  <c r="BB68" i="9"/>
  <c r="AP68" i="9"/>
  <c r="BC67" i="9"/>
  <c r="AQ67" i="9"/>
  <c r="BD66" i="9"/>
  <c r="AR66" i="9"/>
  <c r="BE65" i="9"/>
  <c r="AS65" i="9"/>
  <c r="AT64" i="9"/>
  <c r="U64" i="9"/>
  <c r="AU63" i="9"/>
  <c r="V63" i="9"/>
  <c r="AV62" i="9"/>
  <c r="W62" i="9"/>
  <c r="AW61" i="9"/>
  <c r="AK61" i="9"/>
  <c r="X61" i="9"/>
  <c r="AX60" i="9"/>
  <c r="AL60" i="9"/>
  <c r="Y60" i="9"/>
  <c r="AY59" i="9"/>
  <c r="AM59" i="9"/>
  <c r="Z59" i="9"/>
  <c r="AZ57" i="9"/>
  <c r="AN57" i="9"/>
  <c r="O57" i="9"/>
  <c r="C57" i="9"/>
  <c r="BA56" i="9"/>
  <c r="AO56" i="9"/>
  <c r="P56" i="9"/>
  <c r="D56" i="9"/>
  <c r="AS78" i="9"/>
  <c r="V76" i="9"/>
  <c r="AV75" i="9"/>
  <c r="AK74" i="9"/>
  <c r="Y73" i="9"/>
  <c r="AY72" i="9"/>
  <c r="AN71" i="9"/>
  <c r="AP69" i="9"/>
  <c r="BA68" i="9"/>
  <c r="AO68" i="9"/>
  <c r="BB67" i="9"/>
  <c r="AP67" i="9"/>
  <c r="BC66" i="9"/>
  <c r="AQ66" i="9"/>
  <c r="BD65" i="9"/>
  <c r="AR65" i="9"/>
  <c r="BE64" i="9"/>
  <c r="AS64" i="9"/>
  <c r="AT63" i="9"/>
  <c r="U63" i="9"/>
  <c r="AU62" i="9"/>
  <c r="V62" i="9"/>
  <c r="AV61" i="9"/>
  <c r="W61" i="9"/>
  <c r="AW60" i="9"/>
  <c r="AK60" i="9"/>
  <c r="X60" i="9"/>
  <c r="AX59" i="9"/>
  <c r="AL59" i="9"/>
  <c r="Y59" i="9"/>
  <c r="AY57" i="9"/>
  <c r="AM57" i="9"/>
  <c r="Z57" i="9"/>
  <c r="N57" i="9"/>
  <c r="AZ56" i="9"/>
  <c r="AN56" i="9"/>
  <c r="O56" i="9"/>
  <c r="C56" i="9"/>
  <c r="AN78" i="9"/>
  <c r="BB76" i="9"/>
  <c r="AQ75" i="9"/>
  <c r="BE73" i="9"/>
  <c r="AT72" i="9"/>
  <c r="AO69" i="9"/>
  <c r="Z69" i="9"/>
  <c r="AZ68" i="9"/>
  <c r="AN68" i="9"/>
  <c r="BA67" i="9"/>
  <c r="AO67" i="9"/>
  <c r="BB66" i="9"/>
  <c r="AP66" i="9"/>
  <c r="BC65" i="9"/>
  <c r="AQ65" i="9"/>
  <c r="BD64" i="9"/>
  <c r="AR64" i="9"/>
  <c r="BE63" i="9"/>
  <c r="AS63" i="9"/>
  <c r="AT62" i="9"/>
  <c r="U62" i="9"/>
  <c r="AU61" i="9"/>
  <c r="V61" i="9"/>
  <c r="AV60" i="9"/>
  <c r="W60" i="9"/>
  <c r="AW59" i="9"/>
  <c r="AK59" i="9"/>
  <c r="X59" i="9"/>
  <c r="AX57" i="9"/>
  <c r="AL57" i="9"/>
  <c r="Y57" i="9"/>
  <c r="M57" i="9"/>
  <c r="AY56" i="9"/>
  <c r="AM56" i="9"/>
  <c r="Z56" i="9"/>
  <c r="N56" i="9"/>
  <c r="AK78" i="9"/>
  <c r="Y77" i="9"/>
  <c r="AY76" i="9"/>
  <c r="AN75" i="9"/>
  <c r="BB73" i="9"/>
  <c r="AQ72" i="9"/>
  <c r="AN69" i="9"/>
  <c r="Y69" i="9"/>
  <c r="AY68" i="9"/>
  <c r="AM68" i="9"/>
  <c r="Z68" i="9"/>
  <c r="AZ67" i="9"/>
  <c r="AN67" i="9"/>
  <c r="BA66" i="9"/>
  <c r="AO66" i="9"/>
  <c r="BB65" i="9"/>
  <c r="AP65" i="9"/>
  <c r="BC64" i="9"/>
  <c r="AQ64" i="9"/>
  <c r="BD63" i="9"/>
  <c r="AR63" i="9"/>
  <c r="BE62" i="9"/>
  <c r="AS62" i="9"/>
  <c r="AT61" i="9"/>
  <c r="U61" i="9"/>
  <c r="AU60" i="9"/>
  <c r="V60" i="9"/>
  <c r="AV59" i="9"/>
  <c r="W59" i="9"/>
  <c r="AW57" i="9"/>
  <c r="AK57" i="9"/>
  <c r="X57" i="9"/>
  <c r="AX56" i="9"/>
  <c r="AL56" i="9"/>
  <c r="Y56" i="9"/>
  <c r="M56" i="9"/>
  <c r="B50" i="9"/>
  <c r="W77" i="9"/>
  <c r="AW76" i="9"/>
  <c r="AL75" i="9"/>
  <c r="Z74" i="9"/>
  <c r="AZ73" i="9"/>
  <c r="AO72" i="9"/>
  <c r="BE70" i="9"/>
  <c r="AK69" i="9"/>
  <c r="X69" i="9"/>
  <c r="AX68" i="9"/>
  <c r="AL68" i="9"/>
  <c r="Y68" i="9"/>
  <c r="AY67" i="9"/>
  <c r="AM67" i="9"/>
  <c r="Z67" i="9"/>
  <c r="AZ66" i="9"/>
  <c r="AN66" i="9"/>
  <c r="BA65" i="9"/>
  <c r="AO65" i="9"/>
  <c r="BB64" i="9"/>
  <c r="AP64" i="9"/>
  <c r="BC63" i="9"/>
  <c r="AQ63" i="9"/>
  <c r="BD62" i="9"/>
  <c r="AR62" i="9"/>
  <c r="BE61" i="9"/>
  <c r="AS61" i="9"/>
  <c r="AT60" i="9"/>
  <c r="U60" i="9"/>
  <c r="AU59" i="9"/>
  <c r="V59" i="9"/>
  <c r="AV57" i="9"/>
  <c r="W57" i="9"/>
  <c r="AW56" i="9"/>
  <c r="AK56" i="9"/>
  <c r="X56" i="9"/>
  <c r="U77" i="9"/>
  <c r="AU76" i="9"/>
  <c r="X74" i="9"/>
  <c r="AX73" i="9"/>
  <c r="AM72" i="9"/>
  <c r="BC70" i="9"/>
  <c r="W69" i="9"/>
  <c r="AW68" i="9"/>
  <c r="AK68" i="9"/>
  <c r="X68" i="9"/>
  <c r="AX67" i="9"/>
  <c r="AL67" i="9"/>
  <c r="Y67" i="9"/>
  <c r="AY66" i="9"/>
  <c r="AM66" i="9"/>
  <c r="Z66" i="9"/>
  <c r="AZ65" i="9"/>
  <c r="AN65" i="9"/>
  <c r="BA64" i="9"/>
  <c r="AO64" i="9"/>
  <c r="BB63" i="9"/>
  <c r="AP63" i="9"/>
  <c r="BC62" i="9"/>
  <c r="AQ62" i="9"/>
  <c r="BD61" i="9"/>
  <c r="AR61" i="9"/>
  <c r="BE60" i="9"/>
  <c r="AS60" i="9"/>
  <c r="AT59" i="9"/>
  <c r="U59" i="9"/>
  <c r="AU57" i="9"/>
  <c r="V57" i="9"/>
  <c r="J57" i="9"/>
  <c r="AV56" i="9"/>
  <c r="W56" i="9"/>
  <c r="BA77" i="9"/>
  <c r="AP76" i="9"/>
  <c r="BD74" i="9"/>
  <c r="AS73" i="9"/>
  <c r="V71" i="9"/>
  <c r="BA70" i="9"/>
  <c r="W70" i="9"/>
  <c r="BD69" i="9"/>
  <c r="V69" i="9"/>
  <c r="AV68" i="9"/>
  <c r="W68" i="9"/>
  <c r="AW67" i="9"/>
  <c r="AK67" i="9"/>
  <c r="X67" i="9"/>
  <c r="AX66" i="9"/>
  <c r="AL66" i="9"/>
  <c r="Y66" i="9"/>
  <c r="AY65" i="9"/>
  <c r="AM65" i="9"/>
  <c r="Z65" i="9"/>
  <c r="AZ64" i="9"/>
  <c r="AN64" i="9"/>
  <c r="BA63" i="9"/>
  <c r="AO63" i="9"/>
  <c r="BB62" i="9"/>
  <c r="AP62" i="9"/>
  <c r="BC61" i="9"/>
  <c r="AQ61" i="9"/>
  <c r="BD60" i="9"/>
  <c r="AR60" i="9"/>
  <c r="BE59" i="9"/>
  <c r="AS59" i="9"/>
  <c r="AT57" i="9"/>
  <c r="U57" i="9"/>
  <c r="I57" i="9"/>
  <c r="AU56" i="9"/>
  <c r="V56" i="9"/>
  <c r="J56" i="9"/>
  <c r="H31" i="16" a="1"/>
  <c r="H31" i="16" s="1"/>
  <c r="H38" i="16" s="1"/>
  <c r="M167" i="19"/>
  <c r="N167" i="19" s="1"/>
  <c r="AI36" i="19" s="1"/>
  <c r="A146" i="8"/>
  <c r="K191" i="19"/>
  <c r="K192" i="19"/>
  <c r="A82" i="9"/>
  <c r="I31" i="16" a="1"/>
  <c r="I31" i="16" s="1"/>
  <c r="I46" i="16" s="1"/>
  <c r="AB210" i="19"/>
  <c r="AJ56" i="19"/>
  <c r="AJ77" i="19" s="1"/>
  <c r="G57" i="7"/>
  <c r="O52" i="7"/>
  <c r="F57" i="7"/>
  <c r="L56" i="7"/>
  <c r="G52" i="7"/>
  <c r="E57" i="7"/>
  <c r="K56" i="7"/>
  <c r="B50" i="7"/>
  <c r="D57" i="7"/>
  <c r="J56" i="7"/>
  <c r="C57" i="7"/>
  <c r="I56" i="7"/>
  <c r="H56" i="7"/>
  <c r="G56" i="7"/>
  <c r="L57" i="7"/>
  <c r="F56" i="7"/>
  <c r="K57" i="7"/>
  <c r="E56" i="7"/>
  <c r="J57" i="7"/>
  <c r="D56" i="7"/>
  <c r="H57" i="7"/>
  <c r="I57" i="7"/>
  <c r="C56" i="7"/>
  <c r="K202" i="19"/>
  <c r="K189" i="19"/>
  <c r="A114" i="9"/>
  <c r="J31" i="16" a="1"/>
  <c r="J31" i="16" s="1"/>
  <c r="A114" i="7"/>
  <c r="N114" i="19"/>
  <c r="AG26" i="19"/>
  <c r="AG47" i="19" s="1"/>
  <c r="D89" i="8"/>
  <c r="F88" i="8"/>
  <c r="I89" i="8"/>
  <c r="D88" i="8"/>
  <c r="O88" i="8"/>
  <c r="C88" i="8"/>
  <c r="B82" i="8"/>
  <c r="O89" i="8"/>
  <c r="N89" i="8"/>
  <c r="N88" i="8"/>
  <c r="J89" i="8"/>
  <c r="J88" i="8"/>
  <c r="I88" i="8"/>
  <c r="F89" i="8"/>
  <c r="H89" i="8" s="1"/>
  <c r="E89" i="8"/>
  <c r="I84" i="8"/>
  <c r="M89" i="8"/>
  <c r="L89" i="8"/>
  <c r="C89" i="8"/>
  <c r="M88" i="8"/>
  <c r="L88" i="8"/>
  <c r="E88" i="8"/>
  <c r="K195" i="19"/>
  <c r="N30" i="8"/>
  <c r="M161" i="19"/>
  <c r="N161" i="19" s="1"/>
  <c r="AI30" i="19" s="1"/>
  <c r="R26" i="19"/>
  <c r="BT51" i="5"/>
  <c r="D26" i="19"/>
  <c r="M114" i="19"/>
  <c r="K203" i="19"/>
  <c r="H94" i="16" a="1"/>
  <c r="H94" i="16" s="1"/>
  <c r="F95" i="16" a="1"/>
  <c r="F95" i="16" s="1"/>
  <c r="E95" i="16" a="1"/>
  <c r="E95" i="16" s="1"/>
  <c r="G95" i="16" a="1"/>
  <c r="G95" i="16" s="1"/>
  <c r="J94" i="16" a="1"/>
  <c r="J94" i="16" s="1"/>
  <c r="B88" i="16"/>
  <c r="I94" i="16" a="1"/>
  <c r="I94" i="16" s="1"/>
  <c r="D95" i="16"/>
  <c r="C95" i="16"/>
  <c r="G94" i="16" a="1"/>
  <c r="G94" i="16" s="1"/>
  <c r="F94" i="16" a="1"/>
  <c r="F94" i="16" s="1"/>
  <c r="J95" i="16" a="1"/>
  <c r="J95" i="16" s="1"/>
  <c r="E94" i="16" a="1"/>
  <c r="E94" i="16" s="1"/>
  <c r="I95" i="16" a="1"/>
  <c r="I95" i="16" s="1"/>
  <c r="D94" i="16"/>
  <c r="H95" i="16" a="1"/>
  <c r="H95" i="16" s="1"/>
  <c r="C94" i="16"/>
  <c r="CH51" i="5"/>
  <c r="D27" i="19"/>
  <c r="R27" i="19"/>
  <c r="K198" i="19"/>
  <c r="I62" i="16" a="1"/>
  <c r="I62" i="16" s="1"/>
  <c r="B56" i="16"/>
  <c r="I63" i="16" a="1"/>
  <c r="I63" i="16" s="1"/>
  <c r="H63" i="16" a="1"/>
  <c r="H63" i="16" s="1"/>
  <c r="G63" i="16" a="1"/>
  <c r="G63" i="16" s="1"/>
  <c r="F62" i="16" a="1"/>
  <c r="F62" i="16" s="1"/>
  <c r="F63" i="16" a="1"/>
  <c r="F63" i="16" s="1"/>
  <c r="E62" i="16" a="1"/>
  <c r="E62" i="16" s="1"/>
  <c r="E63" i="16" a="1"/>
  <c r="E63" i="16" s="1"/>
  <c r="D62" i="16"/>
  <c r="J63" i="16" a="1"/>
  <c r="J63" i="16" s="1"/>
  <c r="C63" i="16"/>
  <c r="D63" i="16"/>
  <c r="J62" i="16" a="1"/>
  <c r="J62" i="16" s="1"/>
  <c r="H62" i="16" a="1"/>
  <c r="H62" i="16" s="1"/>
  <c r="G62" i="16" a="1"/>
  <c r="G62" i="16" s="1"/>
  <c r="C62" i="16"/>
  <c r="K201" i="19"/>
  <c r="AB82" i="19"/>
  <c r="AF56" i="19"/>
  <c r="AF77" i="19" s="1"/>
  <c r="A120" i="16"/>
  <c r="K196" i="19"/>
  <c r="K199" i="19"/>
  <c r="R25" i="9"/>
  <c r="AB146" i="19"/>
  <c r="AH56" i="19"/>
  <c r="AH77" i="19" s="1"/>
  <c r="K205" i="19"/>
  <c r="K193" i="19"/>
  <c r="E31" i="16" a="1"/>
  <c r="E31" i="16" s="1"/>
  <c r="K31" i="16" s="1"/>
  <c r="L128" i="18"/>
  <c r="BB26" i="10"/>
  <c r="G61" i="18"/>
  <c r="S30" i="16"/>
  <c r="L30" i="18"/>
  <c r="L27" i="18"/>
  <c r="G29" i="18"/>
  <c r="M29" i="18" s="1"/>
  <c r="E161" i="18"/>
  <c r="N27" i="8"/>
  <c r="C42" i="16"/>
  <c r="I127" i="18"/>
  <c r="H126" i="18"/>
  <c r="L27" i="8"/>
  <c r="H28" i="18"/>
  <c r="N28" i="18" s="1"/>
  <c r="J126" i="18"/>
  <c r="H29" i="18"/>
  <c r="L61" i="18"/>
  <c r="N61" i="18" s="1"/>
  <c r="C47" i="16"/>
  <c r="K28" i="18"/>
  <c r="M28" i="18" s="1"/>
  <c r="L126" i="18"/>
  <c r="K30" i="18"/>
  <c r="M30" i="18" s="1"/>
  <c r="I126" i="18"/>
  <c r="K27" i="18"/>
  <c r="M27" i="18" s="1"/>
  <c r="M58" i="18"/>
  <c r="M25" i="18"/>
  <c r="O127" i="18"/>
  <c r="E30" i="8"/>
  <c r="N24" i="18"/>
  <c r="C45" i="16"/>
  <c r="C52" i="16"/>
  <c r="J30" i="8"/>
  <c r="O30" i="8"/>
  <c r="D127" i="18"/>
  <c r="H27" i="18"/>
  <c r="H30" i="18"/>
  <c r="C41" i="16"/>
  <c r="C43" i="16"/>
  <c r="C33" i="16"/>
  <c r="L60" i="18"/>
  <c r="C49" i="16"/>
  <c r="C34" i="16"/>
  <c r="L30" i="8"/>
  <c r="M57" i="18"/>
  <c r="C28" i="18"/>
  <c r="C39" i="16"/>
  <c r="C37" i="16"/>
  <c r="C51" i="16"/>
  <c r="I161" i="18"/>
  <c r="J161" i="18" s="1"/>
  <c r="D30" i="8"/>
  <c r="N91" i="18"/>
  <c r="E28" i="8"/>
  <c r="I30" i="8"/>
  <c r="C30" i="8"/>
  <c r="M28" i="8"/>
  <c r="M124" i="18"/>
  <c r="K127" i="18"/>
  <c r="F49" i="16"/>
  <c r="C27" i="18"/>
  <c r="P31" i="18"/>
  <c r="H128" i="18"/>
  <c r="Q30" i="16"/>
  <c r="K60" i="18"/>
  <c r="K61" i="18"/>
  <c r="N93" i="18"/>
  <c r="H60" i="18"/>
  <c r="C127" i="18"/>
  <c r="D126" i="18"/>
  <c r="G60" i="18"/>
  <c r="E127" i="18"/>
  <c r="F44" i="16"/>
  <c r="D29" i="8"/>
  <c r="K126" i="18"/>
  <c r="L127" i="18"/>
  <c r="P27" i="9"/>
  <c r="E126" i="18"/>
  <c r="N58" i="18"/>
  <c r="Q158" i="18"/>
  <c r="C31" i="18"/>
  <c r="F27" i="7"/>
  <c r="F33" i="16"/>
  <c r="M29" i="8"/>
  <c r="G126" i="18"/>
  <c r="O126" i="18"/>
  <c r="H31" i="18"/>
  <c r="G128" i="18"/>
  <c r="G31" i="18"/>
  <c r="L31" i="18"/>
  <c r="C30" i="18"/>
  <c r="D35" i="16"/>
  <c r="F30" i="8"/>
  <c r="N28" i="8"/>
  <c r="N29" i="8"/>
  <c r="D49" i="16"/>
  <c r="J127" i="18"/>
  <c r="D34" i="16"/>
  <c r="J27" i="8"/>
  <c r="D44" i="16"/>
  <c r="F28" i="8"/>
  <c r="H24" i="8"/>
  <c r="F29" i="8"/>
  <c r="L28" i="8"/>
  <c r="L29" i="8"/>
  <c r="M123" i="18"/>
  <c r="N124" i="18"/>
  <c r="P124" i="18"/>
  <c r="P127" i="18" s="1"/>
  <c r="D37" i="16"/>
  <c r="D38" i="16"/>
  <c r="F126" i="18"/>
  <c r="D46" i="16"/>
  <c r="G127" i="18"/>
  <c r="Q157" i="18"/>
  <c r="N123" i="18"/>
  <c r="D45" i="16"/>
  <c r="D39" i="16"/>
  <c r="D42" i="16"/>
  <c r="C44" i="16"/>
  <c r="O27" i="8"/>
  <c r="D36" i="16"/>
  <c r="G24" i="8"/>
  <c r="E27" i="8"/>
  <c r="E29" i="8"/>
  <c r="D28" i="8"/>
  <c r="D27" i="8"/>
  <c r="J158" i="18"/>
  <c r="I28" i="8"/>
  <c r="E35" i="7"/>
  <c r="B36" i="7"/>
  <c r="M30" i="8"/>
  <c r="C29" i="18"/>
  <c r="F127" i="18"/>
  <c r="F38" i="16"/>
  <c r="D51" i="16"/>
  <c r="C46" i="16"/>
  <c r="Q24" i="8"/>
  <c r="C28" i="8"/>
  <c r="C27" i="8"/>
  <c r="C29" i="8"/>
  <c r="B44" i="9"/>
  <c r="O44" i="9" s="1"/>
  <c r="H127" i="18"/>
  <c r="I27" i="8"/>
  <c r="D47" i="16"/>
  <c r="C50" i="16"/>
  <c r="D50" i="16"/>
  <c r="M27" i="8"/>
  <c r="J28" i="8"/>
  <c r="Q25" i="8"/>
  <c r="P25" i="8"/>
  <c r="J29" i="8"/>
  <c r="O29" i="8"/>
  <c r="F158" i="18"/>
  <c r="D161" i="18"/>
  <c r="D43" i="16"/>
  <c r="Q160" i="18"/>
  <c r="F27" i="8"/>
  <c r="O28" i="8"/>
  <c r="E34" i="7"/>
  <c r="C35" i="16"/>
  <c r="D41" i="16"/>
  <c r="D40" i="16"/>
  <c r="C36" i="16"/>
  <c r="C40" i="16"/>
  <c r="C38" i="16"/>
  <c r="D48" i="16"/>
  <c r="D33" i="16"/>
  <c r="D52" i="16"/>
  <c r="C48" i="16"/>
  <c r="C126" i="18"/>
  <c r="U159" i="18"/>
  <c r="U158" i="18"/>
  <c r="N25" i="7"/>
  <c r="L30" i="7"/>
  <c r="L33" i="7"/>
  <c r="L32" i="7"/>
  <c r="L28" i="7"/>
  <c r="L34" i="7"/>
  <c r="L29" i="7"/>
  <c r="L31" i="7"/>
  <c r="L27" i="7"/>
  <c r="L35" i="7"/>
  <c r="R30" i="16"/>
  <c r="O34" i="9"/>
  <c r="O42" i="9"/>
  <c r="O38" i="9"/>
  <c r="O36" i="9"/>
  <c r="O32" i="9"/>
  <c r="O27" i="9"/>
  <c r="O30" i="9"/>
  <c r="O35" i="9"/>
  <c r="O40" i="9"/>
  <c r="O39" i="9"/>
  <c r="O33" i="9"/>
  <c r="O29" i="9"/>
  <c r="O43" i="9"/>
  <c r="O37" i="9"/>
  <c r="O28" i="9"/>
  <c r="O41" i="9"/>
  <c r="V18" i="4"/>
  <c r="Z17" i="4"/>
  <c r="AD17" i="4" s="1"/>
  <c r="I33" i="9"/>
  <c r="I41" i="9"/>
  <c r="I34" i="9"/>
  <c r="I31" i="9"/>
  <c r="I30" i="9"/>
  <c r="I39" i="9"/>
  <c r="I42" i="9"/>
  <c r="I43" i="9"/>
  <c r="I40" i="9"/>
  <c r="I37" i="9"/>
  <c r="I32" i="9"/>
  <c r="I35" i="9"/>
  <c r="I28" i="9"/>
  <c r="I38" i="9"/>
  <c r="I36" i="9"/>
  <c r="I29" i="9"/>
  <c r="I27" i="9"/>
  <c r="U160" i="18"/>
  <c r="G35" i="16"/>
  <c r="F34" i="16"/>
  <c r="H31" i="7"/>
  <c r="AD15" i="4"/>
  <c r="C37" i="9"/>
  <c r="C34" i="9"/>
  <c r="C31" i="9"/>
  <c r="C41" i="9"/>
  <c r="C39" i="9"/>
  <c r="C42" i="9"/>
  <c r="C32" i="9"/>
  <c r="C30" i="9"/>
  <c r="C43" i="9"/>
  <c r="C28" i="9"/>
  <c r="C27" i="9"/>
  <c r="C33" i="9"/>
  <c r="C36" i="9"/>
  <c r="C40" i="9"/>
  <c r="C35" i="9"/>
  <c r="C38" i="9"/>
  <c r="C29" i="9"/>
  <c r="AX26" i="10"/>
  <c r="AY26" i="10" s="1"/>
  <c r="AE16" i="4"/>
  <c r="X26" i="10" s="1"/>
  <c r="Y26" i="10" s="1"/>
  <c r="N29" i="9"/>
  <c r="N28" i="9"/>
  <c r="N31" i="9"/>
  <c r="N27" i="9"/>
  <c r="N43" i="9"/>
  <c r="N39" i="9"/>
  <c r="N44" i="9"/>
  <c r="N37" i="9"/>
  <c r="N30" i="9"/>
  <c r="N34" i="9"/>
  <c r="N41" i="9"/>
  <c r="N42" i="9"/>
  <c r="N35" i="9"/>
  <c r="N40" i="9"/>
  <c r="N32" i="9"/>
  <c r="N33" i="9"/>
  <c r="N38" i="9"/>
  <c r="N36" i="9"/>
  <c r="B32" i="8"/>
  <c r="L31" i="8"/>
  <c r="E31" i="8"/>
  <c r="O31" i="8"/>
  <c r="I31" i="8"/>
  <c r="J31" i="8"/>
  <c r="F31" i="8"/>
  <c r="N31" i="8"/>
  <c r="D31" i="8"/>
  <c r="M31" i="8"/>
  <c r="C31" i="8"/>
  <c r="D94" i="18"/>
  <c r="B32" i="18"/>
  <c r="D31" i="18"/>
  <c r="K31" i="18"/>
  <c r="G33" i="16"/>
  <c r="G28" i="7"/>
  <c r="V27" i="4"/>
  <c r="AE26" i="4"/>
  <c r="X36" i="10" s="1"/>
  <c r="J42" i="9"/>
  <c r="J30" i="9"/>
  <c r="J37" i="9"/>
  <c r="J43" i="9"/>
  <c r="J32" i="9"/>
  <c r="J39" i="9"/>
  <c r="J27" i="9"/>
  <c r="J41" i="9"/>
  <c r="J34" i="9"/>
  <c r="J29" i="9"/>
  <c r="J38" i="9"/>
  <c r="J36" i="9"/>
  <c r="J35" i="9"/>
  <c r="J33" i="9"/>
  <c r="J28" i="9"/>
  <c r="J40" i="9"/>
  <c r="J31" i="9"/>
  <c r="E40" i="9"/>
  <c r="E38" i="9"/>
  <c r="E44" i="9"/>
  <c r="E35" i="9"/>
  <c r="E33" i="9"/>
  <c r="E34" i="9"/>
  <c r="E31" i="9"/>
  <c r="E32" i="9"/>
  <c r="E29" i="9"/>
  <c r="E30" i="9"/>
  <c r="E41" i="9"/>
  <c r="E42" i="9"/>
  <c r="E39" i="9"/>
  <c r="E27" i="9"/>
  <c r="E36" i="9"/>
  <c r="E43" i="9"/>
  <c r="E37" i="9"/>
  <c r="E28" i="9"/>
  <c r="B63" i="18"/>
  <c r="D62" i="18"/>
  <c r="K62" i="18"/>
  <c r="G62" i="18"/>
  <c r="O62" i="18"/>
  <c r="C62" i="18"/>
  <c r="P62" i="18"/>
  <c r="H62" i="18"/>
  <c r="K128" i="18"/>
  <c r="B129" i="18"/>
  <c r="C128" i="18"/>
  <c r="D128" i="18"/>
  <c r="E128" i="18"/>
  <c r="J128" i="18"/>
  <c r="F128" i="18"/>
  <c r="O128" i="18"/>
  <c r="B95" i="18"/>
  <c r="D95" i="18" s="1"/>
  <c r="H94" i="18"/>
  <c r="O94" i="18"/>
  <c r="L94" i="18"/>
  <c r="C94" i="18"/>
  <c r="P94" i="18"/>
  <c r="G41" i="16"/>
  <c r="F35" i="16"/>
  <c r="G47" i="16"/>
  <c r="K30" i="7"/>
  <c r="H29" i="7"/>
  <c r="H30" i="7"/>
  <c r="P157" i="18"/>
  <c r="P159" i="18"/>
  <c r="X169" i="18"/>
  <c r="R169" i="18"/>
  <c r="S169" i="18"/>
  <c r="W169" i="18"/>
  <c r="I128" i="18"/>
  <c r="D32" i="7"/>
  <c r="D33" i="7"/>
  <c r="D27" i="7"/>
  <c r="D28" i="7"/>
  <c r="D30" i="7"/>
  <c r="D31" i="7"/>
  <c r="D29" i="7"/>
  <c r="D34" i="7"/>
  <c r="D35" i="7"/>
  <c r="D36" i="7"/>
  <c r="F51" i="16"/>
  <c r="F45" i="16"/>
  <c r="F40" i="16"/>
  <c r="F50" i="16"/>
  <c r="F47" i="16"/>
  <c r="F48" i="16"/>
  <c r="F37" i="16"/>
  <c r="F41" i="16"/>
  <c r="F42" i="16"/>
  <c r="F39" i="16"/>
  <c r="G40" i="16"/>
  <c r="G38" i="16"/>
  <c r="H32" i="7"/>
  <c r="H29" i="9"/>
  <c r="H43" i="9"/>
  <c r="H41" i="9"/>
  <c r="L24" i="9"/>
  <c r="R24" i="9" s="1"/>
  <c r="H42" i="9"/>
  <c r="H36" i="9"/>
  <c r="H40" i="9"/>
  <c r="H35" i="9"/>
  <c r="H34" i="9"/>
  <c r="H39" i="9"/>
  <c r="H37" i="9"/>
  <c r="H32" i="9"/>
  <c r="H31" i="9"/>
  <c r="H33" i="9"/>
  <c r="H30" i="9"/>
  <c r="H44" i="9"/>
  <c r="H28" i="9"/>
  <c r="H27" i="9"/>
  <c r="H38" i="9"/>
  <c r="K94" i="18"/>
  <c r="M94" i="18" s="1"/>
  <c r="K93" i="18"/>
  <c r="M93" i="18" s="1"/>
  <c r="M91" i="18"/>
  <c r="C32" i="7"/>
  <c r="C27" i="7"/>
  <c r="C31" i="7"/>
  <c r="C28" i="7"/>
  <c r="C34" i="7"/>
  <c r="C30" i="7"/>
  <c r="C33" i="7"/>
  <c r="C29" i="7"/>
  <c r="C35" i="7"/>
  <c r="G36" i="16"/>
  <c r="F36" i="16"/>
  <c r="F52" i="16"/>
  <c r="I30" i="7"/>
  <c r="I28" i="7"/>
  <c r="P35" i="9"/>
  <c r="P28" i="9"/>
  <c r="P44" i="9"/>
  <c r="P33" i="9"/>
  <c r="P42" i="9"/>
  <c r="P40" i="9"/>
  <c r="P39" i="9"/>
  <c r="P30" i="9"/>
  <c r="P32" i="9"/>
  <c r="P38" i="9"/>
  <c r="P36" i="9"/>
  <c r="P31" i="9"/>
  <c r="P41" i="9"/>
  <c r="P37" i="9"/>
  <c r="P29" i="9"/>
  <c r="P34" i="9"/>
  <c r="P43" i="9"/>
  <c r="G34" i="9"/>
  <c r="G44" i="9"/>
  <c r="G28" i="9"/>
  <c r="G39" i="9"/>
  <c r="G37" i="9"/>
  <c r="G32" i="9"/>
  <c r="G43" i="9"/>
  <c r="G30" i="9"/>
  <c r="G38" i="9"/>
  <c r="K24" i="9"/>
  <c r="G27" i="9"/>
  <c r="G36" i="9"/>
  <c r="G33" i="9"/>
  <c r="G40" i="9"/>
  <c r="G29" i="9"/>
  <c r="G42" i="9"/>
  <c r="G41" i="9"/>
  <c r="G31" i="9"/>
  <c r="G35" i="9"/>
  <c r="M40" i="9"/>
  <c r="M27" i="9"/>
  <c r="M37" i="9"/>
  <c r="M41" i="9"/>
  <c r="M39" i="9"/>
  <c r="M44" i="9"/>
  <c r="M34" i="9"/>
  <c r="M35" i="9"/>
  <c r="M28" i="9"/>
  <c r="M43" i="9"/>
  <c r="M32" i="9"/>
  <c r="M30" i="9"/>
  <c r="M36" i="9"/>
  <c r="M38" i="9"/>
  <c r="M29" i="9"/>
  <c r="M42" i="9"/>
  <c r="M33" i="9"/>
  <c r="M31" i="9"/>
  <c r="O31" i="9"/>
  <c r="F40" i="9"/>
  <c r="F32" i="9"/>
  <c r="F38" i="9"/>
  <c r="F28" i="9"/>
  <c r="F35" i="9"/>
  <c r="F44" i="9"/>
  <c r="F27" i="9"/>
  <c r="F29" i="9"/>
  <c r="F30" i="9"/>
  <c r="F42" i="9"/>
  <c r="F41" i="9"/>
  <c r="F39" i="9"/>
  <c r="F36" i="9"/>
  <c r="F34" i="9"/>
  <c r="F33" i="9"/>
  <c r="F37" i="9"/>
  <c r="F43" i="9"/>
  <c r="F31" i="9"/>
  <c r="U157" i="18"/>
  <c r="P160" i="18"/>
  <c r="P158" i="18"/>
  <c r="H28" i="7"/>
  <c r="H33" i="7"/>
  <c r="H34" i="7"/>
  <c r="H35" i="7"/>
  <c r="K32" i="7"/>
  <c r="K31" i="7"/>
  <c r="K33" i="7"/>
  <c r="K28" i="7"/>
  <c r="K27" i="7"/>
  <c r="K34" i="7"/>
  <c r="K36" i="7"/>
  <c r="K35" i="7"/>
  <c r="J28" i="7"/>
  <c r="J27" i="7"/>
  <c r="J32" i="7"/>
  <c r="J33" i="7"/>
  <c r="J34" i="7"/>
  <c r="J31" i="7"/>
  <c r="J29" i="7"/>
  <c r="J35" i="7"/>
  <c r="J36" i="7"/>
  <c r="F29" i="7"/>
  <c r="F30" i="7"/>
  <c r="F31" i="7"/>
  <c r="F33" i="7"/>
  <c r="F32" i="7"/>
  <c r="F34" i="7"/>
  <c r="F35" i="7"/>
  <c r="G50" i="16"/>
  <c r="G42" i="16"/>
  <c r="G44" i="16"/>
  <c r="G46" i="16"/>
  <c r="G43" i="16"/>
  <c r="G48" i="16"/>
  <c r="G39" i="16"/>
  <c r="G34" i="16"/>
  <c r="G37" i="16"/>
  <c r="G52" i="16"/>
  <c r="G45" i="16"/>
  <c r="K25" i="9"/>
  <c r="AG25" i="9" s="1"/>
  <c r="D37" i="9"/>
  <c r="D29" i="9"/>
  <c r="D27" i="9"/>
  <c r="D42" i="9"/>
  <c r="D34" i="9"/>
  <c r="D43" i="9"/>
  <c r="D35" i="9"/>
  <c r="D32" i="9"/>
  <c r="D40" i="9"/>
  <c r="D41" i="9"/>
  <c r="D33" i="9"/>
  <c r="D30" i="9"/>
  <c r="D38" i="9"/>
  <c r="D39" i="9"/>
  <c r="D31" i="9"/>
  <c r="D28" i="9"/>
  <c r="D44" i="9"/>
  <c r="D36" i="9"/>
  <c r="D93" i="18"/>
  <c r="L62" i="18"/>
  <c r="V159" i="18"/>
  <c r="V158" i="18"/>
  <c r="V157" i="18"/>
  <c r="I32" i="7"/>
  <c r="I33" i="7"/>
  <c r="I29" i="7"/>
  <c r="I31" i="7"/>
  <c r="I34" i="7"/>
  <c r="I36" i="7"/>
  <c r="I35" i="7"/>
  <c r="M25" i="7"/>
  <c r="N24" i="7"/>
  <c r="G33" i="7"/>
  <c r="G34" i="7"/>
  <c r="G27" i="7"/>
  <c r="G30" i="7"/>
  <c r="G29" i="7"/>
  <c r="G32" i="7"/>
  <c r="G35" i="7"/>
  <c r="F43" i="16"/>
  <c r="G49" i="16"/>
  <c r="F46" i="16"/>
  <c r="F28" i="7"/>
  <c r="J30" i="7"/>
  <c r="T37" i="9" l="1"/>
  <c r="N29" i="18"/>
  <c r="M31" i="7"/>
  <c r="H29" i="8"/>
  <c r="K57" i="9"/>
  <c r="H57" i="8"/>
  <c r="M198" i="19"/>
  <c r="N198" i="19" s="1"/>
  <c r="AJ35" i="19" s="1"/>
  <c r="M203" i="19"/>
  <c r="N203" i="19" s="1"/>
  <c r="AJ40" i="19" s="1"/>
  <c r="M189" i="19"/>
  <c r="N189" i="19" s="1"/>
  <c r="M208" i="19"/>
  <c r="N208" i="19" s="1"/>
  <c r="AJ45" i="19" s="1"/>
  <c r="M194" i="19"/>
  <c r="N194" i="19" s="1"/>
  <c r="AJ31" i="19" s="1"/>
  <c r="M200" i="19"/>
  <c r="N200" i="19" s="1"/>
  <c r="AJ37" i="19" s="1"/>
  <c r="M207" i="19"/>
  <c r="N207" i="19" s="1"/>
  <c r="AJ44" i="19" s="1"/>
  <c r="M190" i="19"/>
  <c r="N190" i="19" s="1"/>
  <c r="AJ27" i="19" s="1"/>
  <c r="M201" i="19"/>
  <c r="N201" i="19" s="1"/>
  <c r="AJ38" i="19" s="1"/>
  <c r="M197" i="19"/>
  <c r="N197" i="19" s="1"/>
  <c r="AJ34" i="19" s="1"/>
  <c r="M193" i="19"/>
  <c r="N193" i="19" s="1"/>
  <c r="AJ30" i="19" s="1"/>
  <c r="M202" i="19"/>
  <c r="N202" i="19" s="1"/>
  <c r="AJ39" i="19" s="1"/>
  <c r="L27" i="19"/>
  <c r="M191" i="19"/>
  <c r="N191" i="19" s="1"/>
  <c r="AJ28" i="19" s="1"/>
  <c r="M146" i="19"/>
  <c r="M204" i="19"/>
  <c r="N204" i="19" s="1"/>
  <c r="AJ41" i="19" s="1"/>
  <c r="M205" i="19"/>
  <c r="N205" i="19" s="1"/>
  <c r="AJ42" i="19" s="1"/>
  <c r="M196" i="19"/>
  <c r="N196" i="19" s="1"/>
  <c r="AJ33" i="19" s="1"/>
  <c r="M195" i="19"/>
  <c r="N195" i="19" s="1"/>
  <c r="AJ32" i="19" s="1"/>
  <c r="M199" i="19"/>
  <c r="N199" i="19" s="1"/>
  <c r="AJ36" i="19" s="1"/>
  <c r="Y27" i="19"/>
  <c r="Z27" i="19"/>
  <c r="M206" i="19"/>
  <c r="N206" i="19" s="1"/>
  <c r="AJ43" i="19" s="1"/>
  <c r="Y26" i="19"/>
  <c r="M192" i="19"/>
  <c r="N192" i="19" s="1"/>
  <c r="AJ29" i="19" s="1"/>
  <c r="Q94" i="16"/>
  <c r="F98" i="16"/>
  <c r="C72" i="16"/>
  <c r="J83" i="16"/>
  <c r="D112" i="16"/>
  <c r="C115" i="16"/>
  <c r="C102" i="16"/>
  <c r="J108" i="16"/>
  <c r="C97" i="16"/>
  <c r="I74" i="16"/>
  <c r="E83" i="16"/>
  <c r="F100" i="16"/>
  <c r="F103" i="16"/>
  <c r="F107" i="16"/>
  <c r="F112" i="16"/>
  <c r="F114" i="16"/>
  <c r="F116" i="16"/>
  <c r="F106" i="16"/>
  <c r="F101" i="16"/>
  <c r="F108" i="16"/>
  <c r="F115" i="16"/>
  <c r="F109" i="16"/>
  <c r="F97" i="16"/>
  <c r="G80" i="16"/>
  <c r="H116" i="16"/>
  <c r="I73" i="16"/>
  <c r="F78" i="16"/>
  <c r="H70" i="16"/>
  <c r="I33" i="16"/>
  <c r="I39" i="16"/>
  <c r="F102" i="16"/>
  <c r="G113" i="16"/>
  <c r="I50" i="16"/>
  <c r="F110" i="16"/>
  <c r="F99" i="16"/>
  <c r="G98" i="16"/>
  <c r="D80" i="16"/>
  <c r="I114" i="16"/>
  <c r="F113" i="16"/>
  <c r="J100" i="16"/>
  <c r="G30" i="8"/>
  <c r="M178" i="19"/>
  <c r="F104" i="16"/>
  <c r="C70" i="16"/>
  <c r="C111" i="16"/>
  <c r="F105" i="16"/>
  <c r="F111" i="16"/>
  <c r="I81" i="16"/>
  <c r="C101" i="16"/>
  <c r="C113" i="16"/>
  <c r="C69" i="16"/>
  <c r="C116" i="16"/>
  <c r="C75" i="16"/>
  <c r="C71" i="16"/>
  <c r="C110" i="16"/>
  <c r="C68" i="16"/>
  <c r="C73" i="16"/>
  <c r="C106" i="16"/>
  <c r="C78" i="16"/>
  <c r="C107" i="16"/>
  <c r="C114" i="16"/>
  <c r="C99" i="16"/>
  <c r="I75" i="16"/>
  <c r="I98" i="16"/>
  <c r="D81" i="16"/>
  <c r="H106" i="16"/>
  <c r="I115" i="16"/>
  <c r="C104" i="16"/>
  <c r="J109" i="16"/>
  <c r="C66" i="16"/>
  <c r="I112" i="16"/>
  <c r="E104" i="16"/>
  <c r="C84" i="16"/>
  <c r="C112" i="16"/>
  <c r="C100" i="16"/>
  <c r="C105" i="16"/>
  <c r="C76" i="16"/>
  <c r="C79" i="16"/>
  <c r="E72" i="16"/>
  <c r="I68" i="16"/>
  <c r="D111" i="16"/>
  <c r="C108" i="16"/>
  <c r="C98" i="16"/>
  <c r="I71" i="16"/>
  <c r="D98" i="16"/>
  <c r="I111" i="16"/>
  <c r="D75" i="16"/>
  <c r="H113" i="16"/>
  <c r="I116" i="16"/>
  <c r="I105" i="16"/>
  <c r="E109" i="16"/>
  <c r="E75" i="16"/>
  <c r="D76" i="16"/>
  <c r="I102" i="16"/>
  <c r="I108" i="16"/>
  <c r="I109" i="16"/>
  <c r="D70" i="16"/>
  <c r="D79" i="16"/>
  <c r="D99" i="16"/>
  <c r="I113" i="16"/>
  <c r="I101" i="16"/>
  <c r="D65" i="16"/>
  <c r="D83" i="16"/>
  <c r="C67" i="16"/>
  <c r="D108" i="16"/>
  <c r="I110" i="16"/>
  <c r="D68" i="16"/>
  <c r="I99" i="16"/>
  <c r="I103" i="16"/>
  <c r="D105" i="16"/>
  <c r="I100" i="16"/>
  <c r="I107" i="16"/>
  <c r="J68" i="16"/>
  <c r="I104" i="16"/>
  <c r="I76" i="16"/>
  <c r="I65" i="16"/>
  <c r="C81" i="16"/>
  <c r="D103" i="16"/>
  <c r="I106" i="16"/>
  <c r="D114" i="16"/>
  <c r="D77" i="16"/>
  <c r="D66" i="16"/>
  <c r="I97" i="16"/>
  <c r="D72" i="16"/>
  <c r="H114" i="16"/>
  <c r="E98" i="16"/>
  <c r="R94" i="16"/>
  <c r="C103" i="16"/>
  <c r="E82" i="16"/>
  <c r="E78" i="16"/>
  <c r="D74" i="16"/>
  <c r="I67" i="16"/>
  <c r="I82" i="16"/>
  <c r="C109" i="16"/>
  <c r="E71" i="16"/>
  <c r="I70" i="16"/>
  <c r="C65" i="16"/>
  <c r="R95" i="16"/>
  <c r="E73" i="16"/>
  <c r="I77" i="16"/>
  <c r="F65" i="16"/>
  <c r="D71" i="16"/>
  <c r="I66" i="16"/>
  <c r="E65" i="16"/>
  <c r="D73" i="16"/>
  <c r="M63" i="16"/>
  <c r="E70" i="16"/>
  <c r="I84" i="16"/>
  <c r="I69" i="16"/>
  <c r="J82" i="16"/>
  <c r="E80" i="16"/>
  <c r="H100" i="16"/>
  <c r="H103" i="16"/>
  <c r="D116" i="16"/>
  <c r="G111" i="16"/>
  <c r="J111" i="16"/>
  <c r="J101" i="16"/>
  <c r="J105" i="16"/>
  <c r="E113" i="16"/>
  <c r="Q113" i="16" s="1"/>
  <c r="G114" i="16"/>
  <c r="E116" i="16"/>
  <c r="G116" i="16"/>
  <c r="D100" i="16"/>
  <c r="H102" i="16"/>
  <c r="F66" i="16"/>
  <c r="H80" i="16"/>
  <c r="J74" i="16"/>
  <c r="J81" i="16"/>
  <c r="M81" i="16" s="1"/>
  <c r="F76" i="16"/>
  <c r="K95" i="16"/>
  <c r="E108" i="16"/>
  <c r="D107" i="16"/>
  <c r="D115" i="16"/>
  <c r="G115" i="16"/>
  <c r="J114" i="16"/>
  <c r="E115" i="16"/>
  <c r="H97" i="16"/>
  <c r="H98" i="16"/>
  <c r="J70" i="16"/>
  <c r="F72" i="16"/>
  <c r="G72" i="16"/>
  <c r="G82" i="16"/>
  <c r="J65" i="16"/>
  <c r="F84" i="16"/>
  <c r="J97" i="16"/>
  <c r="J79" i="16"/>
  <c r="E102" i="16"/>
  <c r="E100" i="16"/>
  <c r="H104" i="16"/>
  <c r="J104" i="16"/>
  <c r="H74" i="16"/>
  <c r="F74" i="16"/>
  <c r="J116" i="16"/>
  <c r="H67" i="16"/>
  <c r="F75" i="16"/>
  <c r="G112" i="16"/>
  <c r="D106" i="16"/>
  <c r="H101" i="16"/>
  <c r="D109" i="16"/>
  <c r="D113" i="16"/>
  <c r="J98" i="16"/>
  <c r="H99" i="16"/>
  <c r="J99" i="16"/>
  <c r="E105" i="16"/>
  <c r="F82" i="16"/>
  <c r="D69" i="16"/>
  <c r="D67" i="16"/>
  <c r="I79" i="16"/>
  <c r="D84" i="16"/>
  <c r="I78" i="16"/>
  <c r="G83" i="16"/>
  <c r="F83" i="16"/>
  <c r="J113" i="16"/>
  <c r="H107" i="16"/>
  <c r="G106" i="16"/>
  <c r="G105" i="16"/>
  <c r="J110" i="16"/>
  <c r="E99" i="16"/>
  <c r="G100" i="16"/>
  <c r="G102" i="16"/>
  <c r="J106" i="16"/>
  <c r="G107" i="16"/>
  <c r="F67" i="16"/>
  <c r="J76" i="16"/>
  <c r="F77" i="16"/>
  <c r="F73" i="16"/>
  <c r="F71" i="16"/>
  <c r="F69" i="16"/>
  <c r="H112" i="16"/>
  <c r="J107" i="16"/>
  <c r="J66" i="16"/>
  <c r="E111" i="16"/>
  <c r="E110" i="16"/>
  <c r="E97" i="16"/>
  <c r="J102" i="16"/>
  <c r="J103" i="16"/>
  <c r="D101" i="16"/>
  <c r="E103" i="16"/>
  <c r="E107" i="16"/>
  <c r="H69" i="16"/>
  <c r="E77" i="16"/>
  <c r="J80" i="16"/>
  <c r="H65" i="16"/>
  <c r="J75" i="16"/>
  <c r="J73" i="16"/>
  <c r="F79" i="16"/>
  <c r="K63" i="16"/>
  <c r="H115" i="16"/>
  <c r="J115" i="16"/>
  <c r="D102" i="16"/>
  <c r="H111" i="16"/>
  <c r="H110" i="16"/>
  <c r="E114" i="16"/>
  <c r="G103" i="16"/>
  <c r="G104" i="16"/>
  <c r="H105" i="16"/>
  <c r="G109" i="16"/>
  <c r="D110" i="16"/>
  <c r="I80" i="16"/>
  <c r="G81" i="16"/>
  <c r="J72" i="16"/>
  <c r="J77" i="16"/>
  <c r="E76" i="16"/>
  <c r="E74" i="16"/>
  <c r="E84" i="16"/>
  <c r="Q62" i="16"/>
  <c r="H109" i="16"/>
  <c r="G108" i="16"/>
  <c r="D97" i="16"/>
  <c r="G99" i="16"/>
  <c r="D104" i="16"/>
  <c r="E106" i="16"/>
  <c r="F81" i="16"/>
  <c r="J67" i="16"/>
  <c r="I83" i="16"/>
  <c r="D78" i="16"/>
  <c r="F68" i="16"/>
  <c r="S94" i="16"/>
  <c r="J112" i="16"/>
  <c r="L63" i="16"/>
  <c r="G97" i="16"/>
  <c r="E112" i="16"/>
  <c r="E101" i="16"/>
  <c r="K101" i="16" s="1"/>
  <c r="G101" i="16"/>
  <c r="H108" i="16"/>
  <c r="G74" i="16"/>
  <c r="D82" i="16"/>
  <c r="G65" i="16"/>
  <c r="I72" i="16"/>
  <c r="H31" i="8"/>
  <c r="G89" i="8"/>
  <c r="G57" i="8"/>
  <c r="P57" i="8" s="1"/>
  <c r="H28" i="8"/>
  <c r="H27" i="8"/>
  <c r="H30" i="8"/>
  <c r="G27" i="8"/>
  <c r="G29" i="8"/>
  <c r="G31" i="8"/>
  <c r="G28" i="8"/>
  <c r="T38" i="9"/>
  <c r="L57" i="9"/>
  <c r="AH57" i="9" s="1"/>
  <c r="BJ57" i="9" s="1"/>
  <c r="T39" i="9"/>
  <c r="K56" i="9"/>
  <c r="T42" i="9"/>
  <c r="S31" i="9"/>
  <c r="T31" i="9"/>
  <c r="T44" i="9"/>
  <c r="T36" i="9"/>
  <c r="M57" i="7"/>
  <c r="T40" i="9"/>
  <c r="AE24" i="9"/>
  <c r="BG24" i="9" s="1"/>
  <c r="T28" i="9"/>
  <c r="T32" i="9"/>
  <c r="T30" i="9"/>
  <c r="M31" i="18"/>
  <c r="N89" i="7"/>
  <c r="L56" i="9"/>
  <c r="R56" i="9" s="1"/>
  <c r="M88" i="7"/>
  <c r="AT80" i="9"/>
  <c r="T43" i="9"/>
  <c r="T29" i="9"/>
  <c r="N56" i="7"/>
  <c r="T41" i="9"/>
  <c r="T35" i="9"/>
  <c r="M89" i="7"/>
  <c r="M61" i="18"/>
  <c r="K42" i="9"/>
  <c r="Q42" i="9" s="1"/>
  <c r="T34" i="9"/>
  <c r="S57" i="9"/>
  <c r="T57" i="9"/>
  <c r="BE80" i="9"/>
  <c r="S56" i="9"/>
  <c r="S29" i="9"/>
  <c r="T27" i="9"/>
  <c r="Z26" i="19"/>
  <c r="R31" i="19"/>
  <c r="R38" i="19"/>
  <c r="R43" i="19"/>
  <c r="R29" i="19"/>
  <c r="R42" i="19"/>
  <c r="R47" i="19"/>
  <c r="R37" i="19"/>
  <c r="R34" i="19"/>
  <c r="R46" i="19"/>
  <c r="R48" i="19"/>
  <c r="R39" i="19"/>
  <c r="R36" i="19"/>
  <c r="R40" i="19"/>
  <c r="R41" i="19"/>
  <c r="R45" i="19"/>
  <c r="R32" i="19"/>
  <c r="R30" i="19"/>
  <c r="R33" i="19"/>
  <c r="R44" i="19"/>
  <c r="R35" i="19"/>
  <c r="E92" i="8"/>
  <c r="E91" i="8"/>
  <c r="G88" i="8"/>
  <c r="E105" i="8"/>
  <c r="E102" i="8"/>
  <c r="E104" i="8"/>
  <c r="E103" i="8"/>
  <c r="E110" i="8"/>
  <c r="E100" i="8"/>
  <c r="E101" i="8"/>
  <c r="E95" i="8"/>
  <c r="E107" i="8"/>
  <c r="E94" i="8"/>
  <c r="E106" i="8"/>
  <c r="E99" i="8"/>
  <c r="E97" i="8"/>
  <c r="E93" i="8"/>
  <c r="E98" i="8"/>
  <c r="E96" i="8"/>
  <c r="E109" i="8"/>
  <c r="E108" i="8"/>
  <c r="N98" i="8"/>
  <c r="N97" i="8"/>
  <c r="N99" i="8"/>
  <c r="N101" i="8"/>
  <c r="N100" i="8"/>
  <c r="N110" i="8"/>
  <c r="N93" i="8"/>
  <c r="N102" i="8"/>
  <c r="N106" i="8"/>
  <c r="N105" i="8"/>
  <c r="N107" i="8"/>
  <c r="N94" i="8"/>
  <c r="N109" i="8"/>
  <c r="N95" i="8"/>
  <c r="N92" i="8"/>
  <c r="N104" i="8"/>
  <c r="N91" i="8"/>
  <c r="N103" i="8"/>
  <c r="N96" i="8"/>
  <c r="N108" i="8"/>
  <c r="G121" i="7"/>
  <c r="O116" i="7"/>
  <c r="F121" i="7"/>
  <c r="L120" i="7"/>
  <c r="G116" i="7"/>
  <c r="E121" i="7"/>
  <c r="K120" i="7"/>
  <c r="B114" i="7"/>
  <c r="D121" i="7"/>
  <c r="J120" i="7"/>
  <c r="C121" i="7"/>
  <c r="I120" i="7"/>
  <c r="H120" i="7"/>
  <c r="G120" i="7"/>
  <c r="L121" i="7"/>
  <c r="F120" i="7"/>
  <c r="K121" i="7"/>
  <c r="E120" i="7"/>
  <c r="J121" i="7"/>
  <c r="D120" i="7"/>
  <c r="H121" i="7"/>
  <c r="I121" i="7"/>
  <c r="C120" i="7"/>
  <c r="F67" i="7"/>
  <c r="F60" i="7"/>
  <c r="F72" i="7"/>
  <c r="F69" i="7"/>
  <c r="F62" i="7"/>
  <c r="F74" i="7"/>
  <c r="F59" i="7"/>
  <c r="F71" i="7"/>
  <c r="F64" i="7"/>
  <c r="F76" i="7"/>
  <c r="F61" i="7"/>
  <c r="F73" i="7"/>
  <c r="F66" i="7"/>
  <c r="F78" i="7"/>
  <c r="F63" i="7"/>
  <c r="F75" i="7"/>
  <c r="F68" i="7"/>
  <c r="F70" i="7"/>
  <c r="F65" i="7"/>
  <c r="F77" i="7"/>
  <c r="AF25" i="9"/>
  <c r="BH25" i="9" s="1"/>
  <c r="AM80" i="9"/>
  <c r="Q57" i="9"/>
  <c r="Q57" i="8"/>
  <c r="G56" i="8"/>
  <c r="E78" i="8"/>
  <c r="E68" i="8"/>
  <c r="E67" i="8"/>
  <c r="E72" i="8"/>
  <c r="E63" i="8"/>
  <c r="E62" i="8"/>
  <c r="E61" i="8"/>
  <c r="E65" i="8"/>
  <c r="E60" i="8"/>
  <c r="E73" i="8"/>
  <c r="E77" i="8"/>
  <c r="E59" i="8"/>
  <c r="E64" i="8"/>
  <c r="E76" i="8"/>
  <c r="E69" i="8"/>
  <c r="E75" i="8"/>
  <c r="E71" i="8"/>
  <c r="E74" i="8"/>
  <c r="E70" i="8"/>
  <c r="E66" i="8"/>
  <c r="D94" i="7"/>
  <c r="D106" i="7"/>
  <c r="D95" i="7"/>
  <c r="D107" i="7"/>
  <c r="D96" i="7"/>
  <c r="D108" i="7"/>
  <c r="D97" i="7"/>
  <c r="D109" i="7"/>
  <c r="D98" i="7"/>
  <c r="D110" i="7"/>
  <c r="D99" i="7"/>
  <c r="D100" i="7"/>
  <c r="D101" i="7"/>
  <c r="D102" i="7"/>
  <c r="D91" i="7"/>
  <c r="D103" i="7"/>
  <c r="D92" i="7"/>
  <c r="D104" i="7"/>
  <c r="D93" i="7"/>
  <c r="D105" i="7"/>
  <c r="S33" i="9"/>
  <c r="H68" i="16"/>
  <c r="G78" i="16"/>
  <c r="H78" i="16"/>
  <c r="G76" i="16"/>
  <c r="F80" i="16"/>
  <c r="L100" i="8"/>
  <c r="L99" i="8"/>
  <c r="L101" i="8"/>
  <c r="L102" i="8"/>
  <c r="L108" i="8"/>
  <c r="L107" i="8"/>
  <c r="L103" i="8"/>
  <c r="L104" i="8"/>
  <c r="L109" i="8"/>
  <c r="L94" i="8"/>
  <c r="L96" i="8"/>
  <c r="L106" i="8"/>
  <c r="L97" i="8"/>
  <c r="L93" i="8"/>
  <c r="L105" i="8"/>
  <c r="L98" i="8"/>
  <c r="L91" i="8"/>
  <c r="L110" i="8"/>
  <c r="L92" i="8"/>
  <c r="L95" i="8"/>
  <c r="Q25" i="9"/>
  <c r="AA25" i="9" s="1"/>
  <c r="AB25" i="9" s="1"/>
  <c r="AK80" i="9"/>
  <c r="AY80" i="9"/>
  <c r="G62" i="9"/>
  <c r="G64" i="9"/>
  <c r="G63" i="9"/>
  <c r="G77" i="9"/>
  <c r="G67" i="9"/>
  <c r="G78" i="9"/>
  <c r="G65" i="9"/>
  <c r="G59" i="9"/>
  <c r="G60" i="9"/>
  <c r="G70" i="9"/>
  <c r="G71" i="9"/>
  <c r="G68" i="9"/>
  <c r="G73" i="9"/>
  <c r="G72" i="9"/>
  <c r="G75" i="9"/>
  <c r="G61" i="9"/>
  <c r="G66" i="9"/>
  <c r="G74" i="9"/>
  <c r="G76" i="9"/>
  <c r="G69" i="9"/>
  <c r="AP80" i="9"/>
  <c r="N121" i="8"/>
  <c r="I120" i="8"/>
  <c r="I121" i="8"/>
  <c r="D120" i="8"/>
  <c r="N120" i="8"/>
  <c r="F121" i="8"/>
  <c r="M120" i="8"/>
  <c r="I116" i="8"/>
  <c r="J120" i="8"/>
  <c r="D121" i="8"/>
  <c r="C121" i="8"/>
  <c r="F120" i="8"/>
  <c r="E120" i="8"/>
  <c r="O121" i="8"/>
  <c r="B114" i="8"/>
  <c r="M121" i="8"/>
  <c r="L121" i="8"/>
  <c r="O120" i="8"/>
  <c r="L120" i="8"/>
  <c r="C120" i="8"/>
  <c r="J121" i="8"/>
  <c r="E121" i="8"/>
  <c r="A178" i="8"/>
  <c r="S39" i="9"/>
  <c r="N27" i="7"/>
  <c r="J71" i="16"/>
  <c r="G77" i="16"/>
  <c r="H77" i="16"/>
  <c r="G75" i="16"/>
  <c r="H75" i="16"/>
  <c r="E79" i="16"/>
  <c r="J78" i="16"/>
  <c r="H76" i="16"/>
  <c r="H82" i="16"/>
  <c r="Q63" i="16"/>
  <c r="M93" i="8"/>
  <c r="M92" i="8"/>
  <c r="M105" i="8"/>
  <c r="M96" i="8"/>
  <c r="M107" i="8"/>
  <c r="M104" i="8"/>
  <c r="M95" i="8"/>
  <c r="M106" i="8"/>
  <c r="M97" i="8"/>
  <c r="M94" i="8"/>
  <c r="M101" i="8"/>
  <c r="M102" i="8"/>
  <c r="M99" i="8"/>
  <c r="M98" i="8"/>
  <c r="M91" i="8"/>
  <c r="M110" i="8"/>
  <c r="M103" i="8"/>
  <c r="M100" i="8"/>
  <c r="M108" i="8"/>
  <c r="M109" i="8"/>
  <c r="AW142" i="9"/>
  <c r="AK142" i="9"/>
  <c r="X142" i="9"/>
  <c r="AX141" i="9"/>
  <c r="AL141" i="9"/>
  <c r="Y141" i="9"/>
  <c r="AY140" i="9"/>
  <c r="AM140" i="9"/>
  <c r="Z140" i="9"/>
  <c r="AZ139" i="9"/>
  <c r="AN139" i="9"/>
  <c r="BA138" i="9"/>
  <c r="AO138" i="9"/>
  <c r="BB137" i="9"/>
  <c r="AP137" i="9"/>
  <c r="BC136" i="9"/>
  <c r="AQ136" i="9"/>
  <c r="BD135" i="9"/>
  <c r="AR135" i="9"/>
  <c r="BE134" i="9"/>
  <c r="AS134" i="9"/>
  <c r="AT133" i="9"/>
  <c r="U133" i="9"/>
  <c r="AU132" i="9"/>
  <c r="V132" i="9"/>
  <c r="AV131" i="9"/>
  <c r="W131" i="9"/>
  <c r="AW130" i="9"/>
  <c r="BE142" i="9"/>
  <c r="AS142" i="9"/>
  <c r="AT141" i="9"/>
  <c r="U141" i="9"/>
  <c r="AU140" i="9"/>
  <c r="V140" i="9"/>
  <c r="AV139" i="9"/>
  <c r="W139" i="9"/>
  <c r="AW138" i="9"/>
  <c r="AK138" i="9"/>
  <c r="X138" i="9"/>
  <c r="AX137" i="9"/>
  <c r="AL137" i="9"/>
  <c r="Y137" i="9"/>
  <c r="AY136" i="9"/>
  <c r="AM136" i="9"/>
  <c r="Z136" i="9"/>
  <c r="AZ135" i="9"/>
  <c r="AN135" i="9"/>
  <c r="BA134" i="9"/>
  <c r="AO134" i="9"/>
  <c r="BB133" i="9"/>
  <c r="AP133" i="9"/>
  <c r="BC132" i="9"/>
  <c r="AQ132" i="9"/>
  <c r="BD131" i="9"/>
  <c r="AR131" i="9"/>
  <c r="BB142" i="9"/>
  <c r="AP142" i="9"/>
  <c r="BC141" i="9"/>
  <c r="AQ141" i="9"/>
  <c r="BD140" i="9"/>
  <c r="AR140" i="9"/>
  <c r="BE139" i="9"/>
  <c r="AS139" i="9"/>
  <c r="AT138" i="9"/>
  <c r="U138" i="9"/>
  <c r="AU137" i="9"/>
  <c r="V137" i="9"/>
  <c r="AV136" i="9"/>
  <c r="W136" i="9"/>
  <c r="AW135" i="9"/>
  <c r="AK135" i="9"/>
  <c r="X135" i="9"/>
  <c r="AX134" i="9"/>
  <c r="AL134" i="9"/>
  <c r="Y134" i="9"/>
  <c r="AY133" i="9"/>
  <c r="AM133" i="9"/>
  <c r="Z133" i="9"/>
  <c r="AZ132" i="9"/>
  <c r="AN132" i="9"/>
  <c r="BA131" i="9"/>
  <c r="AO131" i="9"/>
  <c r="AY142" i="9"/>
  <c r="AM142" i="9"/>
  <c r="Z142" i="9"/>
  <c r="AZ141" i="9"/>
  <c r="AN141" i="9"/>
  <c r="BA140" i="9"/>
  <c r="AO140" i="9"/>
  <c r="BB139" i="9"/>
  <c r="AP139" i="9"/>
  <c r="BC138" i="9"/>
  <c r="AQ138" i="9"/>
  <c r="BD137" i="9"/>
  <c r="AR137" i="9"/>
  <c r="BE136" i="9"/>
  <c r="AS136" i="9"/>
  <c r="AT135" i="9"/>
  <c r="U135" i="9"/>
  <c r="AU134" i="9"/>
  <c r="V134" i="9"/>
  <c r="AV133" i="9"/>
  <c r="W133" i="9"/>
  <c r="AW132" i="9"/>
  <c r="AK132" i="9"/>
  <c r="X132" i="9"/>
  <c r="AX131" i="9"/>
  <c r="AL131" i="9"/>
  <c r="Y131" i="9"/>
  <c r="AN142" i="9"/>
  <c r="U142" i="9"/>
  <c r="AU141" i="9"/>
  <c r="BB140" i="9"/>
  <c r="AQ139" i="9"/>
  <c r="X139" i="9"/>
  <c r="AX138" i="9"/>
  <c r="BE137" i="9"/>
  <c r="AM137" i="9"/>
  <c r="AT136" i="9"/>
  <c r="BA135" i="9"/>
  <c r="AP134" i="9"/>
  <c r="W134" i="9"/>
  <c r="AW133" i="9"/>
  <c r="BD132" i="9"/>
  <c r="AL132" i="9"/>
  <c r="AS131" i="9"/>
  <c r="Z131" i="9"/>
  <c r="BC130" i="9"/>
  <c r="AP130" i="9"/>
  <c r="BC129" i="9"/>
  <c r="AQ129" i="9"/>
  <c r="BD128" i="9"/>
  <c r="AR128" i="9"/>
  <c r="BE127" i="9"/>
  <c r="AS127" i="9"/>
  <c r="AT126" i="9"/>
  <c r="U126" i="9"/>
  <c r="AU125" i="9"/>
  <c r="V125" i="9"/>
  <c r="AV124" i="9"/>
  <c r="W124" i="9"/>
  <c r="AW123" i="9"/>
  <c r="AK123" i="9"/>
  <c r="X123" i="9"/>
  <c r="AX121" i="9"/>
  <c r="AL121" i="9"/>
  <c r="Y121" i="9"/>
  <c r="M121" i="9"/>
  <c r="AY120" i="9"/>
  <c r="AM120" i="9"/>
  <c r="Z120" i="9"/>
  <c r="N120" i="9"/>
  <c r="BD142" i="9"/>
  <c r="AL142" i="9"/>
  <c r="AS141" i="9"/>
  <c r="Z141" i="9"/>
  <c r="AZ140" i="9"/>
  <c r="AO139" i="9"/>
  <c r="V139" i="9"/>
  <c r="AV138" i="9"/>
  <c r="BC137" i="9"/>
  <c r="AK137" i="9"/>
  <c r="AR136" i="9"/>
  <c r="Y136" i="9"/>
  <c r="AY135" i="9"/>
  <c r="AN134" i="9"/>
  <c r="U134" i="9"/>
  <c r="AU133" i="9"/>
  <c r="BB132" i="9"/>
  <c r="AQ131" i="9"/>
  <c r="X131" i="9"/>
  <c r="BB130" i="9"/>
  <c r="AO130" i="9"/>
  <c r="BB129" i="9"/>
  <c r="AP129" i="9"/>
  <c r="BC128" i="9"/>
  <c r="AQ128" i="9"/>
  <c r="BD127" i="9"/>
  <c r="AR127" i="9"/>
  <c r="BE126" i="9"/>
  <c r="AS126" i="9"/>
  <c r="AT125" i="9"/>
  <c r="U125" i="9"/>
  <c r="BC142" i="9"/>
  <c r="AR141" i="9"/>
  <c r="X141" i="9"/>
  <c r="AX140" i="9"/>
  <c r="AM139" i="9"/>
  <c r="U139" i="9"/>
  <c r="AU138" i="9"/>
  <c r="BA137" i="9"/>
  <c r="AP136" i="9"/>
  <c r="X136" i="9"/>
  <c r="AX135" i="9"/>
  <c r="BD134" i="9"/>
  <c r="AM134" i="9"/>
  <c r="AS133" i="9"/>
  <c r="BA132" i="9"/>
  <c r="AP131" i="9"/>
  <c r="V131" i="9"/>
  <c r="BA130" i="9"/>
  <c r="AN130" i="9"/>
  <c r="BA129" i="9"/>
  <c r="AO129" i="9"/>
  <c r="BB128" i="9"/>
  <c r="AP128" i="9"/>
  <c r="BC127" i="9"/>
  <c r="AQ127" i="9"/>
  <c r="BD126" i="9"/>
  <c r="AR126" i="9"/>
  <c r="BE125" i="9"/>
  <c r="AS125" i="9"/>
  <c r="AT124" i="9"/>
  <c r="U124" i="9"/>
  <c r="AU123" i="9"/>
  <c r="V123" i="9"/>
  <c r="AV121" i="9"/>
  <c r="W121" i="9"/>
  <c r="AW120" i="9"/>
  <c r="AK120" i="9"/>
  <c r="X120" i="9"/>
  <c r="BA142" i="9"/>
  <c r="AP141" i="9"/>
  <c r="W141" i="9"/>
  <c r="AW140" i="9"/>
  <c r="BD139" i="9"/>
  <c r="AL139" i="9"/>
  <c r="AS138" i="9"/>
  <c r="Z138" i="9"/>
  <c r="AZ137" i="9"/>
  <c r="AO136" i="9"/>
  <c r="V136" i="9"/>
  <c r="AV135" i="9"/>
  <c r="BC134" i="9"/>
  <c r="AK134" i="9"/>
  <c r="AR133" i="9"/>
  <c r="Y133" i="9"/>
  <c r="AY132" i="9"/>
  <c r="AN131" i="9"/>
  <c r="U131" i="9"/>
  <c r="AZ130" i="9"/>
  <c r="AM130" i="9"/>
  <c r="Z130" i="9"/>
  <c r="AZ129" i="9"/>
  <c r="AN129" i="9"/>
  <c r="BA128" i="9"/>
  <c r="AO128" i="9"/>
  <c r="BB127" i="9"/>
  <c r="AP127" i="9"/>
  <c r="BC126" i="9"/>
  <c r="AQ126" i="9"/>
  <c r="BD125" i="9"/>
  <c r="AR125" i="9"/>
  <c r="AZ142" i="9"/>
  <c r="AO141" i="9"/>
  <c r="V141" i="9"/>
  <c r="AV140" i="9"/>
  <c r="BC139" i="9"/>
  <c r="AK139" i="9"/>
  <c r="AR138" i="9"/>
  <c r="Y138" i="9"/>
  <c r="AY137" i="9"/>
  <c r="AN136" i="9"/>
  <c r="U136" i="9"/>
  <c r="AU135" i="9"/>
  <c r="BB134" i="9"/>
  <c r="AQ133" i="9"/>
  <c r="X133" i="9"/>
  <c r="AX132" i="9"/>
  <c r="BE131" i="9"/>
  <c r="AM131" i="9"/>
  <c r="AY130" i="9"/>
  <c r="AL130" i="9"/>
  <c r="Y130" i="9"/>
  <c r="AY129" i="9"/>
  <c r="AM129" i="9"/>
  <c r="Z129" i="9"/>
  <c r="AZ128" i="9"/>
  <c r="AN128" i="9"/>
  <c r="BA127" i="9"/>
  <c r="AO127" i="9"/>
  <c r="BB126" i="9"/>
  <c r="AP126" i="9"/>
  <c r="BC125" i="9"/>
  <c r="AQ125" i="9"/>
  <c r="BD124" i="9"/>
  <c r="AX142" i="9"/>
  <c r="BE141" i="9"/>
  <c r="AM141" i="9"/>
  <c r="AT140" i="9"/>
  <c r="BA139" i="9"/>
  <c r="AP138" i="9"/>
  <c r="W138" i="9"/>
  <c r="AW137" i="9"/>
  <c r="BD136" i="9"/>
  <c r="AL136" i="9"/>
  <c r="AS135" i="9"/>
  <c r="Z135" i="9"/>
  <c r="AZ134" i="9"/>
  <c r="AO133" i="9"/>
  <c r="V133" i="9"/>
  <c r="AV132" i="9"/>
  <c r="BC131" i="9"/>
  <c r="AK131" i="9"/>
  <c r="AX130" i="9"/>
  <c r="AK130" i="9"/>
  <c r="X130" i="9"/>
  <c r="AX129" i="9"/>
  <c r="AL129" i="9"/>
  <c r="Y129" i="9"/>
  <c r="AY128" i="9"/>
  <c r="AM128" i="9"/>
  <c r="Z128" i="9"/>
  <c r="AZ127" i="9"/>
  <c r="AN127" i="9"/>
  <c r="BA126" i="9"/>
  <c r="AO126" i="9"/>
  <c r="BB125" i="9"/>
  <c r="AP125" i="9"/>
  <c r="BC124" i="9"/>
  <c r="AQ124" i="9"/>
  <c r="BD123" i="9"/>
  <c r="AR123" i="9"/>
  <c r="BE121" i="9"/>
  <c r="AS121" i="9"/>
  <c r="H121" i="9"/>
  <c r="AT120" i="9"/>
  <c r="U120" i="9"/>
  <c r="I120" i="9"/>
  <c r="AV142" i="9"/>
  <c r="BD141" i="9"/>
  <c r="AK141" i="9"/>
  <c r="AS140" i="9"/>
  <c r="Y140" i="9"/>
  <c r="AY139" i="9"/>
  <c r="AN138" i="9"/>
  <c r="V138" i="9"/>
  <c r="AV137" i="9"/>
  <c r="BB136" i="9"/>
  <c r="AK136" i="9"/>
  <c r="AQ135" i="9"/>
  <c r="Y135" i="9"/>
  <c r="AY134" i="9"/>
  <c r="BE133" i="9"/>
  <c r="AN133" i="9"/>
  <c r="AT132" i="9"/>
  <c r="BB131" i="9"/>
  <c r="AV130" i="9"/>
  <c r="W130" i="9"/>
  <c r="AW129" i="9"/>
  <c r="AK129" i="9"/>
  <c r="X129" i="9"/>
  <c r="AX128" i="9"/>
  <c r="AL128" i="9"/>
  <c r="Y128" i="9"/>
  <c r="AY127" i="9"/>
  <c r="AM127" i="9"/>
  <c r="Z127" i="9"/>
  <c r="AZ126" i="9"/>
  <c r="AN126" i="9"/>
  <c r="BA125" i="9"/>
  <c r="AO125" i="9"/>
  <c r="BB124" i="9"/>
  <c r="AP124" i="9"/>
  <c r="BC123" i="9"/>
  <c r="AQ123" i="9"/>
  <c r="BD121" i="9"/>
  <c r="AR121" i="9"/>
  <c r="G121" i="9"/>
  <c r="BE120" i="9"/>
  <c r="AS120" i="9"/>
  <c r="H120" i="9"/>
  <c r="AU142" i="9"/>
  <c r="BB141" i="9"/>
  <c r="AQ140" i="9"/>
  <c r="X140" i="9"/>
  <c r="AX139" i="9"/>
  <c r="BE138" i="9"/>
  <c r="AM138" i="9"/>
  <c r="AT137" i="9"/>
  <c r="BA136" i="9"/>
  <c r="AP135" i="9"/>
  <c r="W135" i="9"/>
  <c r="AW134" i="9"/>
  <c r="BD133" i="9"/>
  <c r="AL133" i="9"/>
  <c r="AS132" i="9"/>
  <c r="Z132" i="9"/>
  <c r="AZ131" i="9"/>
  <c r="AU130" i="9"/>
  <c r="V130" i="9"/>
  <c r="AV129" i="9"/>
  <c r="W129" i="9"/>
  <c r="AW128" i="9"/>
  <c r="AK128" i="9"/>
  <c r="X128" i="9"/>
  <c r="AX127" i="9"/>
  <c r="AL127" i="9"/>
  <c r="Y127" i="9"/>
  <c r="AY126" i="9"/>
  <c r="AM126" i="9"/>
  <c r="Z126" i="9"/>
  <c r="AZ125" i="9"/>
  <c r="AN125" i="9"/>
  <c r="BA124" i="9"/>
  <c r="AO124" i="9"/>
  <c r="BB123" i="9"/>
  <c r="AP123" i="9"/>
  <c r="BC121" i="9"/>
  <c r="AQ121" i="9"/>
  <c r="F121" i="9"/>
  <c r="BD120" i="9"/>
  <c r="AR120" i="9"/>
  <c r="G120" i="9"/>
  <c r="AT142" i="9"/>
  <c r="BA141" i="9"/>
  <c r="AP140" i="9"/>
  <c r="W140" i="9"/>
  <c r="AW139" i="9"/>
  <c r="BD138" i="9"/>
  <c r="AL138" i="9"/>
  <c r="AS137" i="9"/>
  <c r="Z137" i="9"/>
  <c r="AZ136" i="9"/>
  <c r="AO135" i="9"/>
  <c r="V135" i="9"/>
  <c r="AV134" i="9"/>
  <c r="BC133" i="9"/>
  <c r="AK133" i="9"/>
  <c r="AR132" i="9"/>
  <c r="Y132" i="9"/>
  <c r="AY131" i="9"/>
  <c r="AT130" i="9"/>
  <c r="U130" i="9"/>
  <c r="AU129" i="9"/>
  <c r="V129" i="9"/>
  <c r="AV128" i="9"/>
  <c r="W128" i="9"/>
  <c r="AW127" i="9"/>
  <c r="AK127" i="9"/>
  <c r="X127" i="9"/>
  <c r="AX126" i="9"/>
  <c r="AL126" i="9"/>
  <c r="Y126" i="9"/>
  <c r="AY125" i="9"/>
  <c r="AM125" i="9"/>
  <c r="Z125" i="9"/>
  <c r="AR142" i="9"/>
  <c r="Y142" i="9"/>
  <c r="AY141" i="9"/>
  <c r="AN140" i="9"/>
  <c r="U140" i="9"/>
  <c r="AU139" i="9"/>
  <c r="BB138" i="9"/>
  <c r="AQ137" i="9"/>
  <c r="X137" i="9"/>
  <c r="AX136" i="9"/>
  <c r="BE135" i="9"/>
  <c r="AM135" i="9"/>
  <c r="AT134" i="9"/>
  <c r="BA133" i="9"/>
  <c r="AP132" i="9"/>
  <c r="W132" i="9"/>
  <c r="AW131" i="9"/>
  <c r="AS130" i="9"/>
  <c r="AT129" i="9"/>
  <c r="U129" i="9"/>
  <c r="AU128" i="9"/>
  <c r="V128" i="9"/>
  <c r="AV127" i="9"/>
  <c r="W127" i="9"/>
  <c r="AW126" i="9"/>
  <c r="AK126" i="9"/>
  <c r="X126" i="9"/>
  <c r="AX125" i="9"/>
  <c r="AL125" i="9"/>
  <c r="Y125" i="9"/>
  <c r="AY124" i="9"/>
  <c r="AM124" i="9"/>
  <c r="Z124" i="9"/>
  <c r="AQ142" i="9"/>
  <c r="W142" i="9"/>
  <c r="AW141" i="9"/>
  <c r="BE140" i="9"/>
  <c r="AL140" i="9"/>
  <c r="AT139" i="9"/>
  <c r="Z139" i="9"/>
  <c r="AZ138" i="9"/>
  <c r="AO137" i="9"/>
  <c r="W137" i="9"/>
  <c r="AW136" i="9"/>
  <c r="BC135" i="9"/>
  <c r="AL135" i="9"/>
  <c r="AR134" i="9"/>
  <c r="Z134" i="9"/>
  <c r="AZ133" i="9"/>
  <c r="AO132" i="9"/>
  <c r="U132" i="9"/>
  <c r="AU131" i="9"/>
  <c r="BE130" i="9"/>
  <c r="AR130" i="9"/>
  <c r="BE129" i="9"/>
  <c r="AS129" i="9"/>
  <c r="AT128" i="9"/>
  <c r="U128" i="9"/>
  <c r="AU127" i="9"/>
  <c r="V127" i="9"/>
  <c r="AV126" i="9"/>
  <c r="W126" i="9"/>
  <c r="AW125" i="9"/>
  <c r="AK125" i="9"/>
  <c r="X125" i="9"/>
  <c r="AX124" i="9"/>
  <c r="AL124" i="9"/>
  <c r="Y124" i="9"/>
  <c r="AY123" i="9"/>
  <c r="AM123" i="9"/>
  <c r="Z123" i="9"/>
  <c r="AZ121" i="9"/>
  <c r="AN121" i="9"/>
  <c r="O121" i="9"/>
  <c r="C121" i="9"/>
  <c r="BA120" i="9"/>
  <c r="AO120" i="9"/>
  <c r="P120" i="9"/>
  <c r="D120" i="9"/>
  <c r="AO142" i="9"/>
  <c r="V142" i="9"/>
  <c r="AV141" i="9"/>
  <c r="BC140" i="9"/>
  <c r="AK140" i="9"/>
  <c r="AR139" i="9"/>
  <c r="Y139" i="9"/>
  <c r="AY138" i="9"/>
  <c r="AN137" i="9"/>
  <c r="U137" i="9"/>
  <c r="AU136" i="9"/>
  <c r="BB135" i="9"/>
  <c r="AQ130" i="9"/>
  <c r="AU124" i="9"/>
  <c r="BE123" i="9"/>
  <c r="AU121" i="9"/>
  <c r="V121" i="9"/>
  <c r="AX133" i="9"/>
  <c r="AV125" i="9"/>
  <c r="AS124" i="9"/>
  <c r="BA123" i="9"/>
  <c r="AT121" i="9"/>
  <c r="U121" i="9"/>
  <c r="J120" i="9"/>
  <c r="AR124" i="9"/>
  <c r="AZ123" i="9"/>
  <c r="AP121" i="9"/>
  <c r="BC120" i="9"/>
  <c r="F120" i="9"/>
  <c r="BE132" i="9"/>
  <c r="BD129" i="9"/>
  <c r="AK124" i="9"/>
  <c r="AV123" i="9"/>
  <c r="W123" i="9"/>
  <c r="AM121" i="9"/>
  <c r="N121" i="9"/>
  <c r="AZ120" i="9"/>
  <c r="C120" i="9"/>
  <c r="AM132" i="9"/>
  <c r="AR129" i="9"/>
  <c r="U127" i="9"/>
  <c r="AT123" i="9"/>
  <c r="U123" i="9"/>
  <c r="AK121" i="9"/>
  <c r="AX120" i="9"/>
  <c r="Y120" i="9"/>
  <c r="AO123" i="9"/>
  <c r="I121" i="9"/>
  <c r="AU120" i="9"/>
  <c r="V120" i="9"/>
  <c r="BE128" i="9"/>
  <c r="BE124" i="9"/>
  <c r="X124" i="9"/>
  <c r="AL123" i="9"/>
  <c r="BA121" i="9"/>
  <c r="D121" i="9"/>
  <c r="AP120" i="9"/>
  <c r="X134" i="9"/>
  <c r="BD130" i="9"/>
  <c r="AW124" i="9"/>
  <c r="AW121" i="9"/>
  <c r="X121" i="9"/>
  <c r="AL120" i="9"/>
  <c r="M120" i="9"/>
  <c r="AT131" i="9"/>
  <c r="AN123" i="9"/>
  <c r="AZ124" i="9"/>
  <c r="Z121" i="9"/>
  <c r="O120" i="9"/>
  <c r="AN124" i="9"/>
  <c r="Y123" i="9"/>
  <c r="P121" i="9"/>
  <c r="E120" i="9"/>
  <c r="J121" i="9"/>
  <c r="E121" i="9"/>
  <c r="B114" i="9"/>
  <c r="AS128" i="9"/>
  <c r="V124" i="9"/>
  <c r="AT127" i="9"/>
  <c r="BB120" i="9"/>
  <c r="AV120" i="9"/>
  <c r="AU126" i="9"/>
  <c r="BB121" i="9"/>
  <c r="AQ120" i="9"/>
  <c r="AQ134" i="9"/>
  <c r="V126" i="9"/>
  <c r="AY121" i="9"/>
  <c r="AN120" i="9"/>
  <c r="W125" i="9"/>
  <c r="AX123" i="9"/>
  <c r="AO121" i="9"/>
  <c r="AS123" i="9"/>
  <c r="W120" i="9"/>
  <c r="K70" i="7"/>
  <c r="K63" i="7"/>
  <c r="K75" i="7"/>
  <c r="K60" i="7"/>
  <c r="K72" i="7"/>
  <c r="K65" i="7"/>
  <c r="K77" i="7"/>
  <c r="K62" i="7"/>
  <c r="K74" i="7"/>
  <c r="K67" i="7"/>
  <c r="K64" i="7"/>
  <c r="K76" i="7"/>
  <c r="K69" i="7"/>
  <c r="K66" i="7"/>
  <c r="K78" i="7"/>
  <c r="K59" i="7"/>
  <c r="K71" i="7"/>
  <c r="K61" i="7"/>
  <c r="K73" i="7"/>
  <c r="K68" i="7"/>
  <c r="M31" i="16"/>
  <c r="AJ25" i="9"/>
  <c r="AW80" i="9"/>
  <c r="BB80" i="9"/>
  <c r="K26" i="19"/>
  <c r="C31" i="19"/>
  <c r="C36" i="19"/>
  <c r="C35" i="19"/>
  <c r="C48" i="19"/>
  <c r="C34" i="19"/>
  <c r="C29" i="19"/>
  <c r="C33" i="19"/>
  <c r="C45" i="19"/>
  <c r="C32" i="19"/>
  <c r="C43" i="19"/>
  <c r="C38" i="19"/>
  <c r="C42" i="19"/>
  <c r="C37" i="19"/>
  <c r="C41" i="19"/>
  <c r="C47" i="19"/>
  <c r="C40" i="19"/>
  <c r="C39" i="19"/>
  <c r="C44" i="19"/>
  <c r="C46" i="19"/>
  <c r="C30" i="19"/>
  <c r="N66" i="8"/>
  <c r="N72" i="8"/>
  <c r="N63" i="8"/>
  <c r="N78" i="8"/>
  <c r="N71" i="8"/>
  <c r="N70" i="8"/>
  <c r="N75" i="8"/>
  <c r="N69" i="8"/>
  <c r="N68" i="8"/>
  <c r="N64" i="8"/>
  <c r="N67" i="8"/>
  <c r="N65" i="8"/>
  <c r="N60" i="8"/>
  <c r="N62" i="8"/>
  <c r="N59" i="8"/>
  <c r="N74" i="8"/>
  <c r="N61" i="8"/>
  <c r="N77" i="8"/>
  <c r="N76" i="8"/>
  <c r="N73" i="8"/>
  <c r="H56" i="8"/>
  <c r="F70" i="8"/>
  <c r="F68" i="8"/>
  <c r="F67" i="8"/>
  <c r="F60" i="8"/>
  <c r="F63" i="8"/>
  <c r="F69" i="8"/>
  <c r="F62" i="8"/>
  <c r="F64" i="8"/>
  <c r="F59" i="8"/>
  <c r="F74" i="8"/>
  <c r="F66" i="8"/>
  <c r="F61" i="8"/>
  <c r="F73" i="8"/>
  <c r="F71" i="8"/>
  <c r="F65" i="8"/>
  <c r="F78" i="8"/>
  <c r="F72" i="8"/>
  <c r="F77" i="8"/>
  <c r="F76" i="8"/>
  <c r="F75" i="8"/>
  <c r="A146" i="7"/>
  <c r="E94" i="7"/>
  <c r="E106" i="7"/>
  <c r="E99" i="7"/>
  <c r="E96" i="7"/>
  <c r="E108" i="7"/>
  <c r="E101" i="7"/>
  <c r="E98" i="7"/>
  <c r="E110" i="7"/>
  <c r="E91" i="7"/>
  <c r="E103" i="7"/>
  <c r="E100" i="7"/>
  <c r="E93" i="7"/>
  <c r="E105" i="7"/>
  <c r="E102" i="7"/>
  <c r="E95" i="7"/>
  <c r="E107" i="7"/>
  <c r="E97" i="7"/>
  <c r="E109" i="7"/>
  <c r="E92" i="7"/>
  <c r="E104" i="7"/>
  <c r="T33" i="9"/>
  <c r="J44" i="9"/>
  <c r="S40" i="9"/>
  <c r="K160" i="18"/>
  <c r="O57" i="7" s="1"/>
  <c r="K57" i="8" s="1"/>
  <c r="R57" i="8" s="1"/>
  <c r="K159" i="18"/>
  <c r="K158" i="18"/>
  <c r="K157" i="18"/>
  <c r="H83" i="16"/>
  <c r="C80" i="16"/>
  <c r="G79" i="16"/>
  <c r="H79" i="16"/>
  <c r="C77" i="16"/>
  <c r="C83" i="16"/>
  <c r="R63" i="16"/>
  <c r="Q95" i="16"/>
  <c r="P89" i="8"/>
  <c r="Q89" i="8"/>
  <c r="BA110" i="9"/>
  <c r="AO110" i="9"/>
  <c r="BB109" i="9"/>
  <c r="AP109" i="9"/>
  <c r="BC108" i="9"/>
  <c r="AQ108" i="9"/>
  <c r="BD107" i="9"/>
  <c r="AR107" i="9"/>
  <c r="BE106" i="9"/>
  <c r="AY110" i="9"/>
  <c r="AM110" i="9"/>
  <c r="Z110" i="9"/>
  <c r="AZ109" i="9"/>
  <c r="AN109" i="9"/>
  <c r="AV110" i="9"/>
  <c r="W110" i="9"/>
  <c r="AW109" i="9"/>
  <c r="AK109" i="9"/>
  <c r="X109" i="9"/>
  <c r="AX108" i="9"/>
  <c r="AL108" i="9"/>
  <c r="Y108" i="9"/>
  <c r="AU110" i="9"/>
  <c r="V110" i="9"/>
  <c r="AV109" i="9"/>
  <c r="W109" i="9"/>
  <c r="AW108" i="9"/>
  <c r="AK108" i="9"/>
  <c r="X108" i="9"/>
  <c r="AT110" i="9"/>
  <c r="U110" i="9"/>
  <c r="AU109" i="9"/>
  <c r="V109" i="9"/>
  <c r="AV108" i="9"/>
  <c r="W108" i="9"/>
  <c r="AW107" i="9"/>
  <c r="AK107" i="9"/>
  <c r="X107" i="9"/>
  <c r="AX106" i="9"/>
  <c r="BC110" i="9"/>
  <c r="AQ110" i="9"/>
  <c r="BD109" i="9"/>
  <c r="AR109" i="9"/>
  <c r="AN110" i="9"/>
  <c r="BA109" i="9"/>
  <c r="AT108" i="9"/>
  <c r="AS107" i="9"/>
  <c r="AV106" i="9"/>
  <c r="W106" i="9"/>
  <c r="AW105" i="9"/>
  <c r="AK105" i="9"/>
  <c r="X105" i="9"/>
  <c r="AX104" i="9"/>
  <c r="AL104" i="9"/>
  <c r="Y104" i="9"/>
  <c r="AY103" i="9"/>
  <c r="AM103" i="9"/>
  <c r="Z103" i="9"/>
  <c r="AZ102" i="9"/>
  <c r="AN102" i="9"/>
  <c r="BA101" i="9"/>
  <c r="AO101" i="9"/>
  <c r="BB100" i="9"/>
  <c r="AP100" i="9"/>
  <c r="BC99" i="9"/>
  <c r="AQ99" i="9"/>
  <c r="BD98" i="9"/>
  <c r="AR98" i="9"/>
  <c r="BE97" i="9"/>
  <c r="AS97" i="9"/>
  <c r="AT96" i="9"/>
  <c r="U96" i="9"/>
  <c r="AU95" i="9"/>
  <c r="V95" i="9"/>
  <c r="AV94" i="9"/>
  <c r="W94" i="9"/>
  <c r="AW93" i="9"/>
  <c r="AK93" i="9"/>
  <c r="X93" i="9"/>
  <c r="AX92" i="9"/>
  <c r="AL92" i="9"/>
  <c r="Y92" i="9"/>
  <c r="AY91" i="9"/>
  <c r="AM91" i="9"/>
  <c r="Z91" i="9"/>
  <c r="AZ89" i="9"/>
  <c r="AN89" i="9"/>
  <c r="O89" i="9"/>
  <c r="C89" i="9"/>
  <c r="BA88" i="9"/>
  <c r="AO88" i="9"/>
  <c r="P88" i="9"/>
  <c r="D88" i="9"/>
  <c r="AL110" i="9"/>
  <c r="AY109" i="9"/>
  <c r="Z109" i="9"/>
  <c r="AS108" i="9"/>
  <c r="AQ107" i="9"/>
  <c r="AU106" i="9"/>
  <c r="V106" i="9"/>
  <c r="AV105" i="9"/>
  <c r="W105" i="9"/>
  <c r="AW104" i="9"/>
  <c r="AK104" i="9"/>
  <c r="X104" i="9"/>
  <c r="AX103" i="9"/>
  <c r="AL103" i="9"/>
  <c r="Y103" i="9"/>
  <c r="AY102" i="9"/>
  <c r="AM102" i="9"/>
  <c r="Z102" i="9"/>
  <c r="AZ101" i="9"/>
  <c r="AN101" i="9"/>
  <c r="BA100" i="9"/>
  <c r="AO100" i="9"/>
  <c r="BB99" i="9"/>
  <c r="AP99" i="9"/>
  <c r="BC98" i="9"/>
  <c r="AQ98" i="9"/>
  <c r="BD97" i="9"/>
  <c r="AR97" i="9"/>
  <c r="BE96" i="9"/>
  <c r="AS96" i="9"/>
  <c r="AT95" i="9"/>
  <c r="U95" i="9"/>
  <c r="AU94" i="9"/>
  <c r="V94" i="9"/>
  <c r="AV93" i="9"/>
  <c r="W93" i="9"/>
  <c r="AW92" i="9"/>
  <c r="AK92" i="9"/>
  <c r="X92" i="9"/>
  <c r="AX91" i="9"/>
  <c r="AL91" i="9"/>
  <c r="Y91" i="9"/>
  <c r="AY89" i="9"/>
  <c r="AM89" i="9"/>
  <c r="Z89" i="9"/>
  <c r="N89" i="9"/>
  <c r="AZ88" i="9"/>
  <c r="AN88" i="9"/>
  <c r="O88" i="9"/>
  <c r="C88" i="9"/>
  <c r="AK110" i="9"/>
  <c r="AX109" i="9"/>
  <c r="Y109" i="9"/>
  <c r="AR108" i="9"/>
  <c r="Z108" i="9"/>
  <c r="BE107" i="9"/>
  <c r="AP107" i="9"/>
  <c r="AT106" i="9"/>
  <c r="U106" i="9"/>
  <c r="AU105" i="9"/>
  <c r="V105" i="9"/>
  <c r="AV104" i="9"/>
  <c r="W104" i="9"/>
  <c r="AW103" i="9"/>
  <c r="AK103" i="9"/>
  <c r="X103" i="9"/>
  <c r="AX102" i="9"/>
  <c r="AL102" i="9"/>
  <c r="Y102" i="9"/>
  <c r="AY101" i="9"/>
  <c r="AM101" i="9"/>
  <c r="Z101" i="9"/>
  <c r="AZ100" i="9"/>
  <c r="AN100" i="9"/>
  <c r="BA99" i="9"/>
  <c r="AO99" i="9"/>
  <c r="BB98" i="9"/>
  <c r="AP98" i="9"/>
  <c r="BC97" i="9"/>
  <c r="AQ97" i="9"/>
  <c r="BD96" i="9"/>
  <c r="AR96" i="9"/>
  <c r="BE95" i="9"/>
  <c r="AS95" i="9"/>
  <c r="AT94" i="9"/>
  <c r="U94" i="9"/>
  <c r="AU93" i="9"/>
  <c r="V93" i="9"/>
  <c r="AV92" i="9"/>
  <c r="W92" i="9"/>
  <c r="AW91" i="9"/>
  <c r="AK91" i="9"/>
  <c r="X91" i="9"/>
  <c r="AX89" i="9"/>
  <c r="AL89" i="9"/>
  <c r="Y89" i="9"/>
  <c r="M89" i="9"/>
  <c r="AY88" i="9"/>
  <c r="AM88" i="9"/>
  <c r="Z88" i="9"/>
  <c r="N88" i="9"/>
  <c r="BD110" i="9"/>
  <c r="AS109" i="9"/>
  <c r="AO108" i="9"/>
  <c r="U108" i="9"/>
  <c r="BB107" i="9"/>
  <c r="AN107" i="9"/>
  <c r="Y107" i="9"/>
  <c r="AR106" i="9"/>
  <c r="BE105" i="9"/>
  <c r="AS105" i="9"/>
  <c r="AT104" i="9"/>
  <c r="U104" i="9"/>
  <c r="AU103" i="9"/>
  <c r="V103" i="9"/>
  <c r="AV102" i="9"/>
  <c r="W102" i="9"/>
  <c r="AW101" i="9"/>
  <c r="AK101" i="9"/>
  <c r="X101" i="9"/>
  <c r="AX100" i="9"/>
  <c r="AL100" i="9"/>
  <c r="Y100" i="9"/>
  <c r="AY99" i="9"/>
  <c r="AM99" i="9"/>
  <c r="Z99" i="9"/>
  <c r="AZ98" i="9"/>
  <c r="AN98" i="9"/>
  <c r="BA97" i="9"/>
  <c r="AO97" i="9"/>
  <c r="BB96" i="9"/>
  <c r="AP96" i="9"/>
  <c r="BC95" i="9"/>
  <c r="AQ95" i="9"/>
  <c r="BD94" i="9"/>
  <c r="AR94" i="9"/>
  <c r="BE93" i="9"/>
  <c r="AS93" i="9"/>
  <c r="AT92" i="9"/>
  <c r="U92" i="9"/>
  <c r="AU91" i="9"/>
  <c r="V91" i="9"/>
  <c r="AV89" i="9"/>
  <c r="W89" i="9"/>
  <c r="AW88" i="9"/>
  <c r="AK88" i="9"/>
  <c r="X88" i="9"/>
  <c r="BB110" i="9"/>
  <c r="AQ109" i="9"/>
  <c r="BE108" i="9"/>
  <c r="AN108" i="9"/>
  <c r="BA107" i="9"/>
  <c r="AM107" i="9"/>
  <c r="W107" i="9"/>
  <c r="BD106" i="9"/>
  <c r="AQ106" i="9"/>
  <c r="BD105" i="9"/>
  <c r="AR105" i="9"/>
  <c r="BE104" i="9"/>
  <c r="AS104" i="9"/>
  <c r="AT103" i="9"/>
  <c r="U103" i="9"/>
  <c r="AU102" i="9"/>
  <c r="V102" i="9"/>
  <c r="AV101" i="9"/>
  <c r="W101" i="9"/>
  <c r="AW100" i="9"/>
  <c r="AK100" i="9"/>
  <c r="X100" i="9"/>
  <c r="AX99" i="9"/>
  <c r="AL99" i="9"/>
  <c r="Y99" i="9"/>
  <c r="AY98" i="9"/>
  <c r="AM98" i="9"/>
  <c r="Z98" i="9"/>
  <c r="AZ97" i="9"/>
  <c r="AN97" i="9"/>
  <c r="BA96" i="9"/>
  <c r="AO96" i="9"/>
  <c r="BB95" i="9"/>
  <c r="AP95" i="9"/>
  <c r="BC94" i="9"/>
  <c r="AQ94" i="9"/>
  <c r="BD93" i="9"/>
  <c r="AR93" i="9"/>
  <c r="BE92" i="9"/>
  <c r="AS92" i="9"/>
  <c r="AT91" i="9"/>
  <c r="U91" i="9"/>
  <c r="AU89" i="9"/>
  <c r="V89" i="9"/>
  <c r="J89" i="9"/>
  <c r="AV88" i="9"/>
  <c r="W88" i="9"/>
  <c r="AX110" i="9"/>
  <c r="Y110" i="9"/>
  <c r="AM109" i="9"/>
  <c r="BB108" i="9"/>
  <c r="AY107" i="9"/>
  <c r="U107" i="9"/>
  <c r="BB106" i="9"/>
  <c r="AO106" i="9"/>
  <c r="BB105" i="9"/>
  <c r="AP105" i="9"/>
  <c r="BC104" i="9"/>
  <c r="AQ104" i="9"/>
  <c r="BD103" i="9"/>
  <c r="AR103" i="9"/>
  <c r="BE102" i="9"/>
  <c r="AS102" i="9"/>
  <c r="AT101" i="9"/>
  <c r="U101" i="9"/>
  <c r="AU100" i="9"/>
  <c r="V100" i="9"/>
  <c r="AV99" i="9"/>
  <c r="W99" i="9"/>
  <c r="AW98" i="9"/>
  <c r="AK98" i="9"/>
  <c r="X98" i="9"/>
  <c r="AX97" i="9"/>
  <c r="AL97" i="9"/>
  <c r="Y97" i="9"/>
  <c r="AY96" i="9"/>
  <c r="AM96" i="9"/>
  <c r="Z96" i="9"/>
  <c r="AZ95" i="9"/>
  <c r="AN95" i="9"/>
  <c r="BA94" i="9"/>
  <c r="AO94" i="9"/>
  <c r="BB93" i="9"/>
  <c r="AP93" i="9"/>
  <c r="BC92" i="9"/>
  <c r="AQ92" i="9"/>
  <c r="BD91" i="9"/>
  <c r="AR91" i="9"/>
  <c r="BE89" i="9"/>
  <c r="AS89" i="9"/>
  <c r="H89" i="9"/>
  <c r="AT88" i="9"/>
  <c r="U88" i="9"/>
  <c r="I88" i="9"/>
  <c r="AS110" i="9"/>
  <c r="AZ108" i="9"/>
  <c r="AV107" i="9"/>
  <c r="AZ106" i="9"/>
  <c r="AM106" i="9"/>
  <c r="Z106" i="9"/>
  <c r="AZ105" i="9"/>
  <c r="AN105" i="9"/>
  <c r="BA104" i="9"/>
  <c r="AO104" i="9"/>
  <c r="BB103" i="9"/>
  <c r="AP103" i="9"/>
  <c r="BC102" i="9"/>
  <c r="AQ102" i="9"/>
  <c r="BD101" i="9"/>
  <c r="AR101" i="9"/>
  <c r="BE100" i="9"/>
  <c r="AS100" i="9"/>
  <c r="AT99" i="9"/>
  <c r="U99" i="9"/>
  <c r="AU98" i="9"/>
  <c r="V98" i="9"/>
  <c r="AV97" i="9"/>
  <c r="W97" i="9"/>
  <c r="AW96" i="9"/>
  <c r="AK96" i="9"/>
  <c r="X96" i="9"/>
  <c r="AX95" i="9"/>
  <c r="AL95" i="9"/>
  <c r="Y95" i="9"/>
  <c r="AY94" i="9"/>
  <c r="AM94" i="9"/>
  <c r="Z94" i="9"/>
  <c r="AZ93" i="9"/>
  <c r="AN93" i="9"/>
  <c r="BA92" i="9"/>
  <c r="AO92" i="9"/>
  <c r="BB91" i="9"/>
  <c r="AP91" i="9"/>
  <c r="BC89" i="9"/>
  <c r="AQ89" i="9"/>
  <c r="F89" i="9"/>
  <c r="BD88" i="9"/>
  <c r="AR88" i="9"/>
  <c r="G88" i="9"/>
  <c r="AP110" i="9"/>
  <c r="BC109" i="9"/>
  <c r="AU108" i="9"/>
  <c r="AT107" i="9"/>
  <c r="AW106" i="9"/>
  <c r="AK106" i="9"/>
  <c r="X106" i="9"/>
  <c r="AX105" i="9"/>
  <c r="AL105" i="9"/>
  <c r="Y105" i="9"/>
  <c r="AY104" i="9"/>
  <c r="AM104" i="9"/>
  <c r="Z104" i="9"/>
  <c r="AZ103" i="9"/>
  <c r="AN103" i="9"/>
  <c r="BA102" i="9"/>
  <c r="AO102" i="9"/>
  <c r="BB101" i="9"/>
  <c r="AP101" i="9"/>
  <c r="BC100" i="9"/>
  <c r="AQ100" i="9"/>
  <c r="BD99" i="9"/>
  <c r="AR99" i="9"/>
  <c r="BE98" i="9"/>
  <c r="AS98" i="9"/>
  <c r="AT97" i="9"/>
  <c r="U97" i="9"/>
  <c r="AU96" i="9"/>
  <c r="V96" i="9"/>
  <c r="AV95" i="9"/>
  <c r="W95" i="9"/>
  <c r="AW94" i="9"/>
  <c r="AK94" i="9"/>
  <c r="X94" i="9"/>
  <c r="AX93" i="9"/>
  <c r="AL93" i="9"/>
  <c r="Y93" i="9"/>
  <c r="AY92" i="9"/>
  <c r="AM92" i="9"/>
  <c r="Z92" i="9"/>
  <c r="AZ91" i="9"/>
  <c r="AN91" i="9"/>
  <c r="BA89" i="9"/>
  <c r="AO89" i="9"/>
  <c r="P89" i="9"/>
  <c r="D89" i="9"/>
  <c r="BB88" i="9"/>
  <c r="AP88" i="9"/>
  <c r="E88" i="9"/>
  <c r="AZ110" i="9"/>
  <c r="AO109" i="9"/>
  <c r="AM108" i="9"/>
  <c r="AZ107" i="9"/>
  <c r="BC105" i="9"/>
  <c r="AR104" i="9"/>
  <c r="U102" i="9"/>
  <c r="AU101" i="9"/>
  <c r="X99" i="9"/>
  <c r="AX98" i="9"/>
  <c r="AM97" i="9"/>
  <c r="BA95" i="9"/>
  <c r="AP94" i="9"/>
  <c r="BD92" i="9"/>
  <c r="AV91" i="9"/>
  <c r="AP89" i="9"/>
  <c r="E89" i="9"/>
  <c r="AW110" i="9"/>
  <c r="AL109" i="9"/>
  <c r="AX107" i="9"/>
  <c r="BA105" i="9"/>
  <c r="AP104" i="9"/>
  <c r="BD102" i="9"/>
  <c r="AS101" i="9"/>
  <c r="V99" i="9"/>
  <c r="AV98" i="9"/>
  <c r="AK97" i="9"/>
  <c r="Y96" i="9"/>
  <c r="AY95" i="9"/>
  <c r="AN94" i="9"/>
  <c r="BB92" i="9"/>
  <c r="AS91" i="9"/>
  <c r="AK89" i="9"/>
  <c r="AR110" i="9"/>
  <c r="AU107" i="9"/>
  <c r="Y106" i="9"/>
  <c r="AY105" i="9"/>
  <c r="AN104" i="9"/>
  <c r="BB102" i="9"/>
  <c r="AQ101" i="9"/>
  <c r="BE99" i="9"/>
  <c r="AT98" i="9"/>
  <c r="W96" i="9"/>
  <c r="AW95" i="9"/>
  <c r="AL94" i="9"/>
  <c r="Z93" i="9"/>
  <c r="AZ92" i="9"/>
  <c r="AQ91" i="9"/>
  <c r="Y88" i="9"/>
  <c r="U109" i="9"/>
  <c r="V108" i="9"/>
  <c r="AO107" i="9"/>
  <c r="AT105" i="9"/>
  <c r="W103" i="9"/>
  <c r="AW102" i="9"/>
  <c r="AL101" i="9"/>
  <c r="Z100" i="9"/>
  <c r="AZ99" i="9"/>
  <c r="AO98" i="9"/>
  <c r="BC96" i="9"/>
  <c r="AR95" i="9"/>
  <c r="U93" i="9"/>
  <c r="AU92" i="9"/>
  <c r="AO91" i="9"/>
  <c r="V88" i="9"/>
  <c r="AL107" i="9"/>
  <c r="BC106" i="9"/>
  <c r="AQ105" i="9"/>
  <c r="BE103" i="9"/>
  <c r="AT102" i="9"/>
  <c r="W100" i="9"/>
  <c r="AW99" i="9"/>
  <c r="AL98" i="9"/>
  <c r="Z97" i="9"/>
  <c r="AZ96" i="9"/>
  <c r="AO95" i="9"/>
  <c r="BC93" i="9"/>
  <c r="AR92" i="9"/>
  <c r="BE88" i="9"/>
  <c r="X110" i="9"/>
  <c r="BA106" i="9"/>
  <c r="AO105" i="9"/>
  <c r="BC103" i="9"/>
  <c r="AR102" i="9"/>
  <c r="U100" i="9"/>
  <c r="AU99" i="9"/>
  <c r="X97" i="9"/>
  <c r="AX96" i="9"/>
  <c r="AM95" i="9"/>
  <c r="BA93" i="9"/>
  <c r="AP92" i="9"/>
  <c r="X89" i="9"/>
  <c r="BC88" i="9"/>
  <c r="AY106" i="9"/>
  <c r="AM105" i="9"/>
  <c r="BA103" i="9"/>
  <c r="AP102" i="9"/>
  <c r="BD100" i="9"/>
  <c r="AS99" i="9"/>
  <c r="V97" i="9"/>
  <c r="AV96" i="9"/>
  <c r="AK95" i="9"/>
  <c r="Y94" i="9"/>
  <c r="AY93" i="9"/>
  <c r="AN92" i="9"/>
  <c r="U89" i="9"/>
  <c r="AX88" i="9"/>
  <c r="M88" i="9"/>
  <c r="Z107" i="9"/>
  <c r="AS106" i="9"/>
  <c r="V104" i="9"/>
  <c r="AV103" i="9"/>
  <c r="AK102" i="9"/>
  <c r="Y101" i="9"/>
  <c r="AY100" i="9"/>
  <c r="AN99" i="9"/>
  <c r="BB97" i="9"/>
  <c r="AQ96" i="9"/>
  <c r="BE94" i="9"/>
  <c r="AT93" i="9"/>
  <c r="BD89" i="9"/>
  <c r="AU88" i="9"/>
  <c r="J88" i="9"/>
  <c r="BD108" i="9"/>
  <c r="V107" i="9"/>
  <c r="AP106" i="9"/>
  <c r="BD104" i="9"/>
  <c r="AS103" i="9"/>
  <c r="V101" i="9"/>
  <c r="AV100" i="9"/>
  <c r="AK99" i="9"/>
  <c r="Y98" i="9"/>
  <c r="AY97" i="9"/>
  <c r="AN96" i="9"/>
  <c r="BB94" i="9"/>
  <c r="AQ93" i="9"/>
  <c r="W91" i="9"/>
  <c r="BB89" i="9"/>
  <c r="AS88" i="9"/>
  <c r="H88" i="9"/>
  <c r="BA108" i="9"/>
  <c r="AN106" i="9"/>
  <c r="BB104" i="9"/>
  <c r="AQ103" i="9"/>
  <c r="BE101" i="9"/>
  <c r="AT100" i="9"/>
  <c r="W98" i="9"/>
  <c r="AW97" i="9"/>
  <c r="AL96" i="9"/>
  <c r="Z95" i="9"/>
  <c r="AZ94" i="9"/>
  <c r="AO93" i="9"/>
  <c r="BE91" i="9"/>
  <c r="AW89" i="9"/>
  <c r="AQ88" i="9"/>
  <c r="F88" i="9"/>
  <c r="BE109" i="9"/>
  <c r="AY108" i="9"/>
  <c r="AL106" i="9"/>
  <c r="Z105" i="9"/>
  <c r="AZ104" i="9"/>
  <c r="AO103" i="9"/>
  <c r="BC101" i="9"/>
  <c r="AR100" i="9"/>
  <c r="U98" i="9"/>
  <c r="AU97" i="9"/>
  <c r="X95" i="9"/>
  <c r="AX94" i="9"/>
  <c r="AM93" i="9"/>
  <c r="BC91" i="9"/>
  <c r="AT89" i="9"/>
  <c r="I89" i="9"/>
  <c r="AL88" i="9"/>
  <c r="BE110" i="9"/>
  <c r="AT109" i="9"/>
  <c r="AP108" i="9"/>
  <c r="BC107" i="9"/>
  <c r="U105" i="9"/>
  <c r="AU104" i="9"/>
  <c r="X102" i="9"/>
  <c r="AX101" i="9"/>
  <c r="AM100" i="9"/>
  <c r="BA98" i="9"/>
  <c r="AP97" i="9"/>
  <c r="BD95" i="9"/>
  <c r="AS94" i="9"/>
  <c r="V92" i="9"/>
  <c r="BA91" i="9"/>
  <c r="AR89" i="9"/>
  <c r="G89" i="9"/>
  <c r="B82" i="9"/>
  <c r="A146" i="9"/>
  <c r="AH25" i="9"/>
  <c r="BJ25" i="9" s="1"/>
  <c r="AU80" i="9"/>
  <c r="N78" i="9"/>
  <c r="N77" i="9"/>
  <c r="N64" i="9"/>
  <c r="N65" i="9"/>
  <c r="N61" i="9"/>
  <c r="N72" i="9"/>
  <c r="N66" i="9"/>
  <c r="N59" i="9"/>
  <c r="N74" i="9"/>
  <c r="N76" i="9"/>
  <c r="N62" i="9"/>
  <c r="N67" i="9"/>
  <c r="N70" i="9"/>
  <c r="N69" i="9"/>
  <c r="N68" i="9"/>
  <c r="N71" i="9"/>
  <c r="N73" i="9"/>
  <c r="N60" i="9"/>
  <c r="N63" i="9"/>
  <c r="N75" i="9"/>
  <c r="D64" i="9"/>
  <c r="D69" i="9"/>
  <c r="D71" i="9"/>
  <c r="D60" i="9"/>
  <c r="D65" i="9"/>
  <c r="D73" i="9"/>
  <c r="D76" i="9"/>
  <c r="D75" i="9"/>
  <c r="D67" i="9"/>
  <c r="D66" i="9"/>
  <c r="D78" i="9"/>
  <c r="D61" i="9"/>
  <c r="D74" i="9"/>
  <c r="D68" i="9"/>
  <c r="D62" i="9"/>
  <c r="D63" i="9"/>
  <c r="D72" i="9"/>
  <c r="D70" i="9"/>
  <c r="D59" i="9"/>
  <c r="D77" i="9"/>
  <c r="Q46" i="19"/>
  <c r="Q35" i="19"/>
  <c r="Q45" i="19"/>
  <c r="Q47" i="19"/>
  <c r="Q34" i="19"/>
  <c r="Q41" i="19"/>
  <c r="Q32" i="19"/>
  <c r="Q38" i="19"/>
  <c r="Q44" i="19"/>
  <c r="Q29" i="19"/>
  <c r="Q37" i="19"/>
  <c r="Q43" i="19"/>
  <c r="Q30" i="19"/>
  <c r="Q42" i="19"/>
  <c r="Q36" i="19"/>
  <c r="Q33" i="19"/>
  <c r="Q39" i="19"/>
  <c r="Q48" i="19"/>
  <c r="Q40" i="19"/>
  <c r="Q31" i="19"/>
  <c r="L91" i="7"/>
  <c r="L103" i="7"/>
  <c r="L96" i="7"/>
  <c r="L108" i="7"/>
  <c r="L93" i="7"/>
  <c r="L105" i="7"/>
  <c r="L98" i="7"/>
  <c r="L110" i="7"/>
  <c r="L95" i="7"/>
  <c r="L107" i="7"/>
  <c r="L100" i="7"/>
  <c r="L97" i="7"/>
  <c r="L109" i="7"/>
  <c r="L102" i="7"/>
  <c r="L99" i="7"/>
  <c r="L92" i="7"/>
  <c r="L104" i="7"/>
  <c r="L101" i="7"/>
  <c r="L94" i="7"/>
  <c r="L106" i="7"/>
  <c r="S35" i="9"/>
  <c r="J84" i="16"/>
  <c r="AG24" i="9"/>
  <c r="BI24" i="9" s="1"/>
  <c r="Q88" i="8"/>
  <c r="C93" i="8"/>
  <c r="C92" i="8"/>
  <c r="C91" i="8"/>
  <c r="C105" i="8"/>
  <c r="C107" i="8"/>
  <c r="C104" i="8"/>
  <c r="C106" i="8"/>
  <c r="C95" i="8"/>
  <c r="C100" i="8"/>
  <c r="C102" i="8"/>
  <c r="C97" i="8"/>
  <c r="C103" i="8"/>
  <c r="C109" i="8"/>
  <c r="C96" i="8"/>
  <c r="C108" i="8"/>
  <c r="C101" i="8"/>
  <c r="C98" i="8"/>
  <c r="C110" i="8"/>
  <c r="C94" i="8"/>
  <c r="C99" i="8"/>
  <c r="AD25" i="9"/>
  <c r="BF25" i="9" s="1"/>
  <c r="AS80" i="9"/>
  <c r="P70" i="9"/>
  <c r="P64" i="9"/>
  <c r="P71" i="9"/>
  <c r="P69" i="9"/>
  <c r="P73" i="9"/>
  <c r="P76" i="9"/>
  <c r="P75" i="9"/>
  <c r="P60" i="9"/>
  <c r="P65" i="9"/>
  <c r="P78" i="9"/>
  <c r="P72" i="9"/>
  <c r="P67" i="9"/>
  <c r="P74" i="9"/>
  <c r="P77" i="9"/>
  <c r="P66" i="9"/>
  <c r="P61" i="9"/>
  <c r="P68" i="9"/>
  <c r="P62" i="9"/>
  <c r="P63" i="9"/>
  <c r="P59" i="9"/>
  <c r="AO80" i="9"/>
  <c r="AR80" i="9"/>
  <c r="O63" i="8"/>
  <c r="O75" i="8"/>
  <c r="O73" i="8"/>
  <c r="O74" i="8"/>
  <c r="O62" i="8"/>
  <c r="O70" i="8"/>
  <c r="O67" i="8"/>
  <c r="O66" i="8"/>
  <c r="O72" i="8"/>
  <c r="O78" i="8"/>
  <c r="O59" i="8"/>
  <c r="O65" i="8"/>
  <c r="O61" i="8"/>
  <c r="O69" i="8"/>
  <c r="O71" i="8"/>
  <c r="O64" i="8"/>
  <c r="O60" i="8"/>
  <c r="O68" i="8"/>
  <c r="O77" i="8"/>
  <c r="O76" i="8"/>
  <c r="S30" i="9"/>
  <c r="G66" i="16"/>
  <c r="G84" i="16"/>
  <c r="H84" i="16"/>
  <c r="S62" i="16"/>
  <c r="M94" i="16"/>
  <c r="Q24" i="9"/>
  <c r="AA24" i="9" s="1"/>
  <c r="AB24" i="9" s="1"/>
  <c r="O91" i="8"/>
  <c r="O100" i="8"/>
  <c r="O99" i="8"/>
  <c r="O105" i="8"/>
  <c r="O102" i="8"/>
  <c r="O93" i="8"/>
  <c r="O104" i="8"/>
  <c r="O95" i="8"/>
  <c r="O92" i="8"/>
  <c r="O103" i="8"/>
  <c r="O94" i="8"/>
  <c r="O97" i="8"/>
  <c r="O109" i="8"/>
  <c r="O96" i="8"/>
  <c r="O108" i="8"/>
  <c r="O101" i="8"/>
  <c r="O106" i="8"/>
  <c r="O107" i="8"/>
  <c r="O98" i="8"/>
  <c r="O110" i="8"/>
  <c r="C63" i="7"/>
  <c r="C71" i="7"/>
  <c r="C64" i="7"/>
  <c r="C72" i="7"/>
  <c r="C65" i="7"/>
  <c r="C73" i="7"/>
  <c r="C66" i="7"/>
  <c r="C74" i="7"/>
  <c r="C59" i="7"/>
  <c r="C67" i="7"/>
  <c r="C75" i="7"/>
  <c r="C60" i="7"/>
  <c r="C68" i="7"/>
  <c r="C76" i="7"/>
  <c r="C61" i="7"/>
  <c r="C69" i="7"/>
  <c r="C77" i="7"/>
  <c r="C62" i="7"/>
  <c r="C70" i="7"/>
  <c r="C78" i="7"/>
  <c r="G65" i="7"/>
  <c r="G77" i="7"/>
  <c r="G70" i="7"/>
  <c r="G67" i="7"/>
  <c r="G60" i="7"/>
  <c r="G72" i="7"/>
  <c r="G69" i="7"/>
  <c r="G62" i="7"/>
  <c r="G74" i="7"/>
  <c r="G59" i="7"/>
  <c r="G71" i="7"/>
  <c r="G64" i="7"/>
  <c r="G76" i="7"/>
  <c r="G61" i="7"/>
  <c r="G73" i="7"/>
  <c r="G66" i="7"/>
  <c r="G78" i="7"/>
  <c r="G63" i="7"/>
  <c r="G75" i="7"/>
  <c r="G68" i="7"/>
  <c r="AN80" i="9"/>
  <c r="BA80" i="9"/>
  <c r="I61" i="9"/>
  <c r="I74" i="9"/>
  <c r="I65" i="9"/>
  <c r="I68" i="9"/>
  <c r="I77" i="9"/>
  <c r="I63" i="9"/>
  <c r="I69" i="9"/>
  <c r="I66" i="9"/>
  <c r="I75" i="9"/>
  <c r="I76" i="9"/>
  <c r="I59" i="9"/>
  <c r="I78" i="9"/>
  <c r="I64" i="9"/>
  <c r="I71" i="9"/>
  <c r="I70" i="9"/>
  <c r="I67" i="9"/>
  <c r="I60" i="9"/>
  <c r="I73" i="9"/>
  <c r="I72" i="9"/>
  <c r="I62" i="9"/>
  <c r="BD80" i="9"/>
  <c r="M76" i="8"/>
  <c r="M69" i="8"/>
  <c r="M65" i="8"/>
  <c r="M68" i="8"/>
  <c r="M67" i="8"/>
  <c r="M63" i="8"/>
  <c r="M71" i="8"/>
  <c r="M74" i="8"/>
  <c r="M64" i="8"/>
  <c r="M61" i="8"/>
  <c r="M66" i="8"/>
  <c r="M62" i="8"/>
  <c r="M73" i="8"/>
  <c r="M75" i="8"/>
  <c r="M70" i="8"/>
  <c r="M72" i="8"/>
  <c r="M78" i="8"/>
  <c r="M60" i="8"/>
  <c r="M59" i="8"/>
  <c r="M77" i="8"/>
  <c r="I98" i="7"/>
  <c r="I106" i="7"/>
  <c r="I91" i="7"/>
  <c r="I99" i="7"/>
  <c r="I107" i="7"/>
  <c r="I92" i="7"/>
  <c r="I100" i="7"/>
  <c r="I108" i="7"/>
  <c r="I93" i="7"/>
  <c r="I101" i="7"/>
  <c r="I109" i="7"/>
  <c r="I94" i="7"/>
  <c r="I102" i="7"/>
  <c r="I110" i="7"/>
  <c r="I95" i="7"/>
  <c r="I103" i="7"/>
  <c r="I96" i="7"/>
  <c r="I104" i="7"/>
  <c r="I97" i="7"/>
  <c r="I105" i="7"/>
  <c r="F102" i="7"/>
  <c r="F95" i="7"/>
  <c r="F107" i="7"/>
  <c r="F92" i="7"/>
  <c r="F104" i="7"/>
  <c r="F97" i="7"/>
  <c r="F109" i="7"/>
  <c r="F94" i="7"/>
  <c r="F106" i="7"/>
  <c r="F99" i="7"/>
  <c r="F96" i="7"/>
  <c r="F108" i="7"/>
  <c r="F101" i="7"/>
  <c r="F98" i="7"/>
  <c r="F110" i="7"/>
  <c r="F91" i="7"/>
  <c r="F103" i="7"/>
  <c r="F100" i="7"/>
  <c r="F93" i="7"/>
  <c r="F105" i="7"/>
  <c r="C44" i="9"/>
  <c r="K44" i="9" s="1"/>
  <c r="S27" i="9"/>
  <c r="AI25" i="9"/>
  <c r="BK25" i="9" s="1"/>
  <c r="H66" i="16"/>
  <c r="R62" i="16"/>
  <c r="S95" i="16"/>
  <c r="AH24" i="9"/>
  <c r="BJ24" i="9" s="1"/>
  <c r="D93" i="8"/>
  <c r="D92" i="8"/>
  <c r="D97" i="8"/>
  <c r="D96" i="8"/>
  <c r="D98" i="8"/>
  <c r="D95" i="8"/>
  <c r="D108" i="8"/>
  <c r="D110" i="8"/>
  <c r="D106" i="8"/>
  <c r="D105" i="8"/>
  <c r="D109" i="8"/>
  <c r="D91" i="8"/>
  <c r="D99" i="8"/>
  <c r="D103" i="8"/>
  <c r="D100" i="8"/>
  <c r="D107" i="8"/>
  <c r="D102" i="8"/>
  <c r="D101" i="8"/>
  <c r="D94" i="8"/>
  <c r="D104" i="8"/>
  <c r="H77" i="7"/>
  <c r="H74" i="7"/>
  <c r="H59" i="7"/>
  <c r="H62" i="7"/>
  <c r="H61" i="7"/>
  <c r="H66" i="7"/>
  <c r="H78" i="7"/>
  <c r="H63" i="7"/>
  <c r="H65" i="7"/>
  <c r="H68" i="7"/>
  <c r="H67" i="7"/>
  <c r="H69" i="7"/>
  <c r="H71" i="7"/>
  <c r="H60" i="7"/>
  <c r="H70" i="7"/>
  <c r="H73" i="7"/>
  <c r="H76" i="7"/>
  <c r="H64" i="7"/>
  <c r="H75" i="7"/>
  <c r="H72" i="7"/>
  <c r="L153" i="8"/>
  <c r="N152" i="8"/>
  <c r="E153" i="8"/>
  <c r="L152" i="8"/>
  <c r="B146" i="8"/>
  <c r="D153" i="8"/>
  <c r="N153" i="8"/>
  <c r="M153" i="8"/>
  <c r="O152" i="8"/>
  <c r="M152" i="8"/>
  <c r="J153" i="8"/>
  <c r="J152" i="8"/>
  <c r="I153" i="8"/>
  <c r="I152" i="8"/>
  <c r="C153" i="8"/>
  <c r="E152" i="8"/>
  <c r="D152" i="8"/>
  <c r="C152" i="8"/>
  <c r="O153" i="8"/>
  <c r="I148" i="8"/>
  <c r="F152" i="8"/>
  <c r="F153" i="8"/>
  <c r="J64" i="9"/>
  <c r="J67" i="9"/>
  <c r="J73" i="9"/>
  <c r="J62" i="9"/>
  <c r="J68" i="9"/>
  <c r="J69" i="9"/>
  <c r="J65" i="9"/>
  <c r="J74" i="9"/>
  <c r="J63" i="9"/>
  <c r="J78" i="9"/>
  <c r="J76" i="9"/>
  <c r="J75" i="9"/>
  <c r="J77" i="9"/>
  <c r="J66" i="9"/>
  <c r="J59" i="9"/>
  <c r="J71" i="9"/>
  <c r="J70" i="9"/>
  <c r="J61" i="9"/>
  <c r="J60" i="9"/>
  <c r="J72" i="9"/>
  <c r="AL80" i="9"/>
  <c r="AZ80" i="9"/>
  <c r="F72" i="9"/>
  <c r="F70" i="9"/>
  <c r="F63" i="9"/>
  <c r="F78" i="9"/>
  <c r="F65" i="9"/>
  <c r="F64" i="9"/>
  <c r="F68" i="9"/>
  <c r="F59" i="9"/>
  <c r="F71" i="9"/>
  <c r="F74" i="9"/>
  <c r="F73" i="9"/>
  <c r="F66" i="9"/>
  <c r="F60" i="9"/>
  <c r="F61" i="9"/>
  <c r="F76" i="9"/>
  <c r="F69" i="9"/>
  <c r="F62" i="9"/>
  <c r="F77" i="9"/>
  <c r="F67" i="9"/>
  <c r="F75" i="9"/>
  <c r="S32" i="9"/>
  <c r="S44" i="9"/>
  <c r="H126" i="16" a="1"/>
  <c r="H126" i="16" s="1"/>
  <c r="G126" i="16" a="1"/>
  <c r="G126" i="16" s="1"/>
  <c r="H127" i="16" a="1"/>
  <c r="H127" i="16" s="1"/>
  <c r="E126" i="16" a="1"/>
  <c r="E126" i="16" s="1"/>
  <c r="E127" i="16" a="1"/>
  <c r="E127" i="16" s="1"/>
  <c r="C127" i="16"/>
  <c r="F126" i="16" a="1"/>
  <c r="F126" i="16" s="1"/>
  <c r="J127" i="16" a="1"/>
  <c r="J127" i="16" s="1"/>
  <c r="I127" i="16" a="1"/>
  <c r="I127" i="16" s="1"/>
  <c r="J126" i="16" a="1"/>
  <c r="J126" i="16" s="1"/>
  <c r="G127" i="16" a="1"/>
  <c r="G127" i="16" s="1"/>
  <c r="I126" i="16" a="1"/>
  <c r="I126" i="16" s="1"/>
  <c r="F127" i="16" a="1"/>
  <c r="F127" i="16" s="1"/>
  <c r="D127" i="16"/>
  <c r="D126" i="16"/>
  <c r="C126" i="16"/>
  <c r="B120" i="16"/>
  <c r="A152" i="16"/>
  <c r="AJ24" i="9"/>
  <c r="N57" i="7"/>
  <c r="N146" i="19"/>
  <c r="AH26" i="19"/>
  <c r="AH47" i="19" s="1"/>
  <c r="AX80" i="9"/>
  <c r="D59" i="8"/>
  <c r="D69" i="8"/>
  <c r="D65" i="8"/>
  <c r="D71" i="8"/>
  <c r="D62" i="8"/>
  <c r="D64" i="8"/>
  <c r="D61" i="8"/>
  <c r="D76" i="8"/>
  <c r="D68" i="8"/>
  <c r="D63" i="8"/>
  <c r="D66" i="8"/>
  <c r="D73" i="8"/>
  <c r="D67" i="8"/>
  <c r="D74" i="8"/>
  <c r="D78" i="8"/>
  <c r="D77" i="8"/>
  <c r="D75" i="8"/>
  <c r="D60" i="8"/>
  <c r="D70" i="8"/>
  <c r="D72" i="8"/>
  <c r="K27" i="19"/>
  <c r="S41" i="9"/>
  <c r="S36" i="9"/>
  <c r="H81" i="16"/>
  <c r="AI24" i="9"/>
  <c r="BK24" i="9" s="1"/>
  <c r="F91" i="8"/>
  <c r="H88" i="8"/>
  <c r="F94" i="8"/>
  <c r="F96" i="8"/>
  <c r="F93" i="8"/>
  <c r="F95" i="8"/>
  <c r="F105" i="8"/>
  <c r="F106" i="8"/>
  <c r="F108" i="8"/>
  <c r="F110" i="8"/>
  <c r="F107" i="8"/>
  <c r="F97" i="8"/>
  <c r="F99" i="8"/>
  <c r="F92" i="8"/>
  <c r="F98" i="8"/>
  <c r="F104" i="8"/>
  <c r="F101" i="8"/>
  <c r="F109" i="8"/>
  <c r="F102" i="8"/>
  <c r="F103" i="8"/>
  <c r="F100" i="8"/>
  <c r="D70" i="7"/>
  <c r="D59" i="7"/>
  <c r="D71" i="7"/>
  <c r="D60" i="7"/>
  <c r="D72" i="7"/>
  <c r="D61" i="7"/>
  <c r="D73" i="7"/>
  <c r="D62" i="7"/>
  <c r="D74" i="7"/>
  <c r="D63" i="7"/>
  <c r="D75" i="7"/>
  <c r="D64" i="7"/>
  <c r="D76" i="7"/>
  <c r="D65" i="7"/>
  <c r="D77" i="7"/>
  <c r="D66" i="7"/>
  <c r="D78" i="7"/>
  <c r="D67" i="7"/>
  <c r="D68" i="7"/>
  <c r="D69" i="7"/>
  <c r="I62" i="7"/>
  <c r="I70" i="7"/>
  <c r="I78" i="7"/>
  <c r="I63" i="7"/>
  <c r="I71" i="7"/>
  <c r="I64" i="7"/>
  <c r="I72" i="7"/>
  <c r="I65" i="7"/>
  <c r="I73" i="7"/>
  <c r="I66" i="7"/>
  <c r="I74" i="7"/>
  <c r="I59" i="7"/>
  <c r="I67" i="7"/>
  <c r="I75" i="7"/>
  <c r="I60" i="7"/>
  <c r="I68" i="7"/>
  <c r="I76" i="7"/>
  <c r="I61" i="7"/>
  <c r="I69" i="7"/>
  <c r="I77" i="7"/>
  <c r="L66" i="7"/>
  <c r="L78" i="7"/>
  <c r="L59" i="7"/>
  <c r="L71" i="7"/>
  <c r="L68" i="7"/>
  <c r="L61" i="7"/>
  <c r="L73" i="7"/>
  <c r="L70" i="7"/>
  <c r="L63" i="7"/>
  <c r="L75" i="7"/>
  <c r="L60" i="7"/>
  <c r="L72" i="7"/>
  <c r="L65" i="7"/>
  <c r="L77" i="7"/>
  <c r="L62" i="7"/>
  <c r="L74" i="7"/>
  <c r="L67" i="7"/>
  <c r="L64" i="7"/>
  <c r="L76" i="7"/>
  <c r="L69" i="7"/>
  <c r="E59" i="9"/>
  <c r="E64" i="9"/>
  <c r="E70" i="9"/>
  <c r="E66" i="9"/>
  <c r="E71" i="9"/>
  <c r="E65" i="9"/>
  <c r="E72" i="9"/>
  <c r="E73" i="9"/>
  <c r="E76" i="9"/>
  <c r="E75" i="9"/>
  <c r="E74" i="9"/>
  <c r="E69" i="9"/>
  <c r="E60" i="9"/>
  <c r="E77" i="9"/>
  <c r="E67" i="9"/>
  <c r="E61" i="9"/>
  <c r="E62" i="9"/>
  <c r="E78" i="9"/>
  <c r="E63" i="9"/>
  <c r="E68" i="9"/>
  <c r="AE57" i="9"/>
  <c r="BG57" i="9" s="1"/>
  <c r="J94" i="7"/>
  <c r="J106" i="7"/>
  <c r="J95" i="7"/>
  <c r="J107" i="7"/>
  <c r="J96" i="7"/>
  <c r="J108" i="7"/>
  <c r="J97" i="7"/>
  <c r="J109" i="7"/>
  <c r="J98" i="7"/>
  <c r="J110" i="7"/>
  <c r="J99" i="7"/>
  <c r="J100" i="7"/>
  <c r="J101" i="7"/>
  <c r="J102" i="7"/>
  <c r="J91" i="7"/>
  <c r="J103" i="7"/>
  <c r="J92" i="7"/>
  <c r="J104" i="7"/>
  <c r="J93" i="7"/>
  <c r="J105" i="7"/>
  <c r="N88" i="7"/>
  <c r="S28" i="9"/>
  <c r="S38" i="9"/>
  <c r="G110" i="16"/>
  <c r="G67" i="16"/>
  <c r="E81" i="16"/>
  <c r="J69" i="16"/>
  <c r="F70" i="16"/>
  <c r="E68" i="16"/>
  <c r="E66" i="16"/>
  <c r="H73" i="16"/>
  <c r="E69" i="16"/>
  <c r="H71" i="16"/>
  <c r="E67" i="16"/>
  <c r="C82" i="16"/>
  <c r="K62" i="16"/>
  <c r="K94" i="16"/>
  <c r="L95" i="16"/>
  <c r="L94" i="16"/>
  <c r="AD24" i="9"/>
  <c r="BF24" i="9" s="1"/>
  <c r="I93" i="8"/>
  <c r="I108" i="8"/>
  <c r="I99" i="8"/>
  <c r="I110" i="8"/>
  <c r="I101" i="8"/>
  <c r="I98" i="8"/>
  <c r="I109" i="8"/>
  <c r="I100" i="8"/>
  <c r="I94" i="8"/>
  <c r="I105" i="8"/>
  <c r="I92" i="8"/>
  <c r="I104" i="8"/>
  <c r="I91" i="8"/>
  <c r="I103" i="8"/>
  <c r="I106" i="8"/>
  <c r="I96" i="8"/>
  <c r="I102" i="8"/>
  <c r="I95" i="8"/>
  <c r="I97" i="8"/>
  <c r="I107" i="8"/>
  <c r="E69" i="7"/>
  <c r="E62" i="7"/>
  <c r="E74" i="7"/>
  <c r="E59" i="7"/>
  <c r="E71" i="7"/>
  <c r="E64" i="7"/>
  <c r="E76" i="7"/>
  <c r="E61" i="7"/>
  <c r="E73" i="7"/>
  <c r="E66" i="7"/>
  <c r="E78" i="7"/>
  <c r="E63" i="7"/>
  <c r="E75" i="7"/>
  <c r="E68" i="7"/>
  <c r="E65" i="7"/>
  <c r="E77" i="7"/>
  <c r="E70" i="7"/>
  <c r="E67" i="7"/>
  <c r="E60" i="7"/>
  <c r="E72" i="7"/>
  <c r="C72" i="9"/>
  <c r="C78" i="9"/>
  <c r="C75" i="9"/>
  <c r="C74" i="9"/>
  <c r="C71" i="9"/>
  <c r="C65" i="9"/>
  <c r="C77" i="9"/>
  <c r="C76" i="9"/>
  <c r="C73" i="9"/>
  <c r="C61" i="9"/>
  <c r="C66" i="9"/>
  <c r="C68" i="9"/>
  <c r="C67" i="9"/>
  <c r="C59" i="9"/>
  <c r="C62" i="9"/>
  <c r="C69" i="9"/>
  <c r="C63" i="9"/>
  <c r="C64" i="9"/>
  <c r="C70" i="9"/>
  <c r="C60" i="9"/>
  <c r="H75" i="9"/>
  <c r="H63" i="9"/>
  <c r="H62" i="9"/>
  <c r="H70" i="9"/>
  <c r="H66" i="9"/>
  <c r="H69" i="9"/>
  <c r="H78" i="9"/>
  <c r="H73" i="9"/>
  <c r="H76" i="9"/>
  <c r="H64" i="9"/>
  <c r="H59" i="9"/>
  <c r="H77" i="9"/>
  <c r="H67" i="9"/>
  <c r="H60" i="9"/>
  <c r="H72" i="9"/>
  <c r="H71" i="9"/>
  <c r="H65" i="9"/>
  <c r="H74" i="9"/>
  <c r="H68" i="9"/>
  <c r="H61" i="9"/>
  <c r="AQ80" i="9"/>
  <c r="Q56" i="8"/>
  <c r="C70" i="8"/>
  <c r="C69" i="8"/>
  <c r="C65" i="8"/>
  <c r="C64" i="8"/>
  <c r="C63" i="8"/>
  <c r="C67" i="8"/>
  <c r="C62" i="8"/>
  <c r="C75" i="8"/>
  <c r="C61" i="8"/>
  <c r="C74" i="8"/>
  <c r="C66" i="8"/>
  <c r="C60" i="8"/>
  <c r="C78" i="8"/>
  <c r="C59" i="8"/>
  <c r="C71" i="8"/>
  <c r="C77" i="8"/>
  <c r="C73" i="8"/>
  <c r="C68" i="8"/>
  <c r="C76" i="8"/>
  <c r="C72" i="8"/>
  <c r="H91" i="7"/>
  <c r="H109" i="7"/>
  <c r="H92" i="7"/>
  <c r="H107" i="7"/>
  <c r="H93" i="7"/>
  <c r="H94" i="7"/>
  <c r="H103" i="7"/>
  <c r="H105" i="7"/>
  <c r="H96" i="7"/>
  <c r="H98" i="7"/>
  <c r="H100" i="7"/>
  <c r="H97" i="7"/>
  <c r="H95" i="7"/>
  <c r="H102" i="7"/>
  <c r="H104" i="7"/>
  <c r="H106" i="7"/>
  <c r="H108" i="7"/>
  <c r="H110" i="7"/>
  <c r="H99" i="7"/>
  <c r="H101" i="7"/>
  <c r="C91" i="7"/>
  <c r="C99" i="7"/>
  <c r="C107" i="7"/>
  <c r="C92" i="7"/>
  <c r="C100" i="7"/>
  <c r="C108" i="7"/>
  <c r="C93" i="7"/>
  <c r="C101" i="7"/>
  <c r="C109" i="7"/>
  <c r="C94" i="7"/>
  <c r="C102" i="7"/>
  <c r="C110" i="7"/>
  <c r="C95" i="7"/>
  <c r="C103" i="7"/>
  <c r="C96" i="7"/>
  <c r="C104" i="7"/>
  <c r="C97" i="7"/>
  <c r="C105" i="7"/>
  <c r="C98" i="7"/>
  <c r="C106" i="7"/>
  <c r="G102" i="7"/>
  <c r="G95" i="7"/>
  <c r="G107" i="7"/>
  <c r="G92" i="7"/>
  <c r="G104" i="7"/>
  <c r="G97" i="7"/>
  <c r="G109" i="7"/>
  <c r="G94" i="7"/>
  <c r="G106" i="7"/>
  <c r="G99" i="7"/>
  <c r="G96" i="7"/>
  <c r="G108" i="7"/>
  <c r="G101" i="7"/>
  <c r="G98" i="7"/>
  <c r="G110" i="7"/>
  <c r="G91" i="7"/>
  <c r="G103" i="7"/>
  <c r="G100" i="7"/>
  <c r="G93" i="7"/>
  <c r="G105" i="7"/>
  <c r="S37" i="9"/>
  <c r="S42" i="9"/>
  <c r="Q104" i="16"/>
  <c r="H72" i="16"/>
  <c r="G70" i="16"/>
  <c r="G68" i="16"/>
  <c r="G73" i="16"/>
  <c r="C74" i="16"/>
  <c r="G71" i="16"/>
  <c r="G69" i="16"/>
  <c r="L62" i="16"/>
  <c r="M62" i="16"/>
  <c r="L26" i="19"/>
  <c r="D37" i="19"/>
  <c r="D43" i="19"/>
  <c r="D47" i="19"/>
  <c r="D33" i="19"/>
  <c r="D36" i="19"/>
  <c r="D32" i="19"/>
  <c r="D34" i="19"/>
  <c r="D39" i="19"/>
  <c r="D29" i="19"/>
  <c r="D44" i="19"/>
  <c r="D30" i="19"/>
  <c r="D40" i="19"/>
  <c r="D45" i="19"/>
  <c r="D31" i="19"/>
  <c r="D42" i="19"/>
  <c r="D41" i="19"/>
  <c r="D48" i="19"/>
  <c r="D38" i="19"/>
  <c r="D46" i="19"/>
  <c r="D35" i="19"/>
  <c r="AF24" i="9"/>
  <c r="BH24" i="9" s="1"/>
  <c r="J101" i="8"/>
  <c r="J91" i="8"/>
  <c r="J92" i="8"/>
  <c r="J102" i="8"/>
  <c r="J103" i="8"/>
  <c r="J104" i="8"/>
  <c r="J94" i="8"/>
  <c r="J96" i="8"/>
  <c r="J105" i="8"/>
  <c r="J110" i="8"/>
  <c r="J108" i="8"/>
  <c r="J106" i="8"/>
  <c r="J95" i="8"/>
  <c r="J107" i="8"/>
  <c r="J100" i="8"/>
  <c r="J98" i="8"/>
  <c r="J99" i="8"/>
  <c r="J97" i="8"/>
  <c r="J109" i="8"/>
  <c r="J93" i="8"/>
  <c r="AV80" i="9"/>
  <c r="O64" i="9"/>
  <c r="O74" i="9"/>
  <c r="O60" i="9"/>
  <c r="O78" i="9"/>
  <c r="O77" i="9"/>
  <c r="O76" i="9"/>
  <c r="O71" i="9"/>
  <c r="O65" i="9"/>
  <c r="O61" i="9"/>
  <c r="O66" i="9"/>
  <c r="O68" i="9"/>
  <c r="O67" i="9"/>
  <c r="O75" i="9"/>
  <c r="O70" i="9"/>
  <c r="O59" i="9"/>
  <c r="O62" i="9"/>
  <c r="O73" i="9"/>
  <c r="O72" i="9"/>
  <c r="O69" i="9"/>
  <c r="O63" i="9"/>
  <c r="T56" i="9"/>
  <c r="BC80" i="9"/>
  <c r="J71" i="8"/>
  <c r="J60" i="8"/>
  <c r="J64" i="8"/>
  <c r="J63" i="8"/>
  <c r="J66" i="8"/>
  <c r="J68" i="8"/>
  <c r="J78" i="8"/>
  <c r="J69" i="8"/>
  <c r="J65" i="8"/>
  <c r="J62" i="8"/>
  <c r="J77" i="8"/>
  <c r="J76" i="8"/>
  <c r="J61" i="8"/>
  <c r="J70" i="8"/>
  <c r="J75" i="8"/>
  <c r="J74" i="8"/>
  <c r="J67" i="8"/>
  <c r="J73" i="8"/>
  <c r="J59" i="8"/>
  <c r="J72" i="8"/>
  <c r="I72" i="8"/>
  <c r="I71" i="8"/>
  <c r="I67" i="8"/>
  <c r="I65" i="8"/>
  <c r="I70" i="8"/>
  <c r="I66" i="8"/>
  <c r="I62" i="8"/>
  <c r="I77" i="8"/>
  <c r="I69" i="8"/>
  <c r="I74" i="8"/>
  <c r="I76" i="8"/>
  <c r="I64" i="8"/>
  <c r="I68" i="8"/>
  <c r="I63" i="8"/>
  <c r="I59" i="8"/>
  <c r="I78" i="8"/>
  <c r="I75" i="8"/>
  <c r="I61" i="8"/>
  <c r="I73" i="8"/>
  <c r="I60" i="8"/>
  <c r="L31" i="16"/>
  <c r="S43" i="9"/>
  <c r="S34" i="9"/>
  <c r="N178" i="19"/>
  <c r="AI26" i="19"/>
  <c r="AI47" i="19" s="1"/>
  <c r="S63" i="16"/>
  <c r="M95" i="16"/>
  <c r="J70" i="7"/>
  <c r="J59" i="7"/>
  <c r="J71" i="7"/>
  <c r="J60" i="7"/>
  <c r="J72" i="7"/>
  <c r="J61" i="7"/>
  <c r="J73" i="7"/>
  <c r="J62" i="7"/>
  <c r="J74" i="7"/>
  <c r="J63" i="7"/>
  <c r="J75" i="7"/>
  <c r="J64" i="7"/>
  <c r="J76" i="7"/>
  <c r="J65" i="7"/>
  <c r="J77" i="7"/>
  <c r="J66" i="7"/>
  <c r="J78" i="7"/>
  <c r="J67" i="7"/>
  <c r="J68" i="7"/>
  <c r="J69" i="7"/>
  <c r="M56" i="7"/>
  <c r="AE25" i="9"/>
  <c r="BG25" i="9" s="1"/>
  <c r="M59" i="9"/>
  <c r="M65" i="9"/>
  <c r="M66" i="9"/>
  <c r="M62" i="9"/>
  <c r="M70" i="9"/>
  <c r="M67" i="9"/>
  <c r="M60" i="9"/>
  <c r="M75" i="9"/>
  <c r="M73" i="9"/>
  <c r="M77" i="9"/>
  <c r="M71" i="9"/>
  <c r="M63" i="9"/>
  <c r="M68" i="9"/>
  <c r="M72" i="9"/>
  <c r="M74" i="9"/>
  <c r="M69" i="9"/>
  <c r="M76" i="9"/>
  <c r="M78" i="9"/>
  <c r="M61" i="9"/>
  <c r="M64" i="9"/>
  <c r="L65" i="8"/>
  <c r="L71" i="8"/>
  <c r="L77" i="8"/>
  <c r="L70" i="8"/>
  <c r="L69" i="8"/>
  <c r="L67" i="8"/>
  <c r="L62" i="8"/>
  <c r="L66" i="8"/>
  <c r="L61" i="8"/>
  <c r="L64" i="8"/>
  <c r="L76" i="8"/>
  <c r="L63" i="8"/>
  <c r="L78" i="8"/>
  <c r="L60" i="8"/>
  <c r="L75" i="8"/>
  <c r="L74" i="8"/>
  <c r="L59" i="8"/>
  <c r="L68" i="8"/>
  <c r="L73" i="8"/>
  <c r="L72" i="8"/>
  <c r="K93" i="7"/>
  <c r="K105" i="7"/>
  <c r="K98" i="7"/>
  <c r="K110" i="7"/>
  <c r="K95" i="7"/>
  <c r="K107" i="7"/>
  <c r="K100" i="7"/>
  <c r="K97" i="7"/>
  <c r="K109" i="7"/>
  <c r="K102" i="7"/>
  <c r="K99" i="7"/>
  <c r="K92" i="7"/>
  <c r="K104" i="7"/>
  <c r="K101" i="7"/>
  <c r="K94" i="7"/>
  <c r="K106" i="7"/>
  <c r="K91" i="7"/>
  <c r="K103" i="7"/>
  <c r="K96" i="7"/>
  <c r="K108" i="7"/>
  <c r="I44" i="9"/>
  <c r="K36" i="9"/>
  <c r="N30" i="18"/>
  <c r="L38" i="16"/>
  <c r="N27" i="18"/>
  <c r="BI25" i="9"/>
  <c r="BB27" i="10"/>
  <c r="I37" i="16"/>
  <c r="F161" i="18"/>
  <c r="G160" i="18" s="1"/>
  <c r="I44" i="16"/>
  <c r="I40" i="16"/>
  <c r="I49" i="16"/>
  <c r="I42" i="16"/>
  <c r="I41" i="16"/>
  <c r="I47" i="16"/>
  <c r="I51" i="16"/>
  <c r="I45" i="16"/>
  <c r="I34" i="16"/>
  <c r="I35" i="16"/>
  <c r="I52" i="16"/>
  <c r="I36" i="16"/>
  <c r="I38" i="16"/>
  <c r="I48" i="16"/>
  <c r="I43" i="16"/>
  <c r="Q31" i="16"/>
  <c r="P128" i="18"/>
  <c r="Q30" i="8"/>
  <c r="X89" i="8" s="1"/>
  <c r="K27" i="9"/>
  <c r="K40" i="9"/>
  <c r="K38" i="9"/>
  <c r="K39" i="9"/>
  <c r="L30" i="9"/>
  <c r="R30" i="9" s="1"/>
  <c r="L31" i="9"/>
  <c r="R31" i="9" s="1"/>
  <c r="M28" i="7"/>
  <c r="N30" i="16"/>
  <c r="O30" i="16" s="1"/>
  <c r="N60" i="18"/>
  <c r="L33" i="9"/>
  <c r="R33" i="9" s="1"/>
  <c r="L38" i="9"/>
  <c r="R38" i="9" s="1"/>
  <c r="L39" i="9"/>
  <c r="R39" i="9" s="1"/>
  <c r="L43" i="9"/>
  <c r="R43" i="9" s="1"/>
  <c r="K28" i="9"/>
  <c r="L40" i="9"/>
  <c r="R40" i="9" s="1"/>
  <c r="K30" i="9"/>
  <c r="L36" i="9"/>
  <c r="R36" i="9" s="1"/>
  <c r="K34" i="9"/>
  <c r="E39" i="16"/>
  <c r="K39" i="16" s="1"/>
  <c r="E40" i="16"/>
  <c r="K40" i="16" s="1"/>
  <c r="K32" i="9"/>
  <c r="N62" i="18"/>
  <c r="K37" i="9"/>
  <c r="L34" i="9"/>
  <c r="R34" i="9" s="1"/>
  <c r="K29" i="9"/>
  <c r="P24" i="8"/>
  <c r="M62" i="18"/>
  <c r="S31" i="16"/>
  <c r="L29" i="9"/>
  <c r="R29" i="9" s="1"/>
  <c r="E42" i="16"/>
  <c r="K42" i="16" s="1"/>
  <c r="L44" i="9"/>
  <c r="R44" i="9" s="1"/>
  <c r="L35" i="9"/>
  <c r="R35" i="9" s="1"/>
  <c r="N126" i="18"/>
  <c r="K31" i="9"/>
  <c r="L32" i="9"/>
  <c r="R32" i="9" s="1"/>
  <c r="N128" i="18"/>
  <c r="M128" i="18"/>
  <c r="K35" i="9"/>
  <c r="Q35" i="9" s="1"/>
  <c r="M60" i="18"/>
  <c r="M126" i="18"/>
  <c r="M127" i="18"/>
  <c r="N127" i="18"/>
  <c r="K95" i="18"/>
  <c r="L42" i="9"/>
  <c r="K33" i="9"/>
  <c r="L37" i="9"/>
  <c r="R37" i="9" s="1"/>
  <c r="L41" i="9"/>
  <c r="R41" i="9" s="1"/>
  <c r="L27" i="9"/>
  <c r="R27" i="9" s="1"/>
  <c r="L28" i="9"/>
  <c r="R28" i="9" s="1"/>
  <c r="E36" i="16"/>
  <c r="K36" i="16" s="1"/>
  <c r="P126" i="18"/>
  <c r="H42" i="16"/>
  <c r="L42" i="16" s="1"/>
  <c r="H41" i="16"/>
  <c r="L41" i="16" s="1"/>
  <c r="R31" i="16"/>
  <c r="H50" i="16"/>
  <c r="R50" i="16" s="1"/>
  <c r="V115" i="16" s="1"/>
  <c r="H35" i="16"/>
  <c r="L35" i="16" s="1"/>
  <c r="H33" i="16"/>
  <c r="L33" i="16" s="1"/>
  <c r="H40" i="16"/>
  <c r="R40" i="16" s="1"/>
  <c r="V105" i="16" s="1"/>
  <c r="E36" i="7"/>
  <c r="B37" i="7"/>
  <c r="H36" i="7"/>
  <c r="L36" i="7"/>
  <c r="C36" i="7"/>
  <c r="F36" i="7"/>
  <c r="G36" i="7"/>
  <c r="H39" i="16"/>
  <c r="R39" i="16" s="1"/>
  <c r="V104" i="16" s="1"/>
  <c r="M27" i="7"/>
  <c r="N31" i="18"/>
  <c r="B45" i="9"/>
  <c r="K43" i="9"/>
  <c r="Q29" i="8"/>
  <c r="X88" i="8" s="1"/>
  <c r="E35" i="16"/>
  <c r="K35" i="16" s="1"/>
  <c r="E48" i="16"/>
  <c r="K48" i="16" s="1"/>
  <c r="E45" i="16"/>
  <c r="K45" i="16" s="1"/>
  <c r="E44" i="16"/>
  <c r="K44" i="16" s="1"/>
  <c r="E52" i="16"/>
  <c r="K52" i="16" s="1"/>
  <c r="E51" i="16"/>
  <c r="K51" i="16" s="1"/>
  <c r="E46" i="16"/>
  <c r="K46" i="16" s="1"/>
  <c r="E47" i="16"/>
  <c r="K47" i="16" s="1"/>
  <c r="E49" i="16"/>
  <c r="K49" i="16" s="1"/>
  <c r="E43" i="16"/>
  <c r="K43" i="16" s="1"/>
  <c r="E33" i="16"/>
  <c r="K33" i="16" s="1"/>
  <c r="E50" i="16"/>
  <c r="K50" i="16" s="1"/>
  <c r="E41" i="16"/>
  <c r="K41" i="16" s="1"/>
  <c r="E38" i="16"/>
  <c r="K38" i="16" s="1"/>
  <c r="E37" i="16"/>
  <c r="K37" i="16" s="1"/>
  <c r="E34" i="16"/>
  <c r="K34" i="16" s="1"/>
  <c r="K41" i="9"/>
  <c r="Q27" i="8"/>
  <c r="X86" i="8" s="1"/>
  <c r="Q28" i="8"/>
  <c r="X87" i="8" s="1"/>
  <c r="W160" i="18"/>
  <c r="W159" i="18"/>
  <c r="W158" i="18"/>
  <c r="W157" i="18"/>
  <c r="M30" i="7"/>
  <c r="V28" i="4"/>
  <c r="AE27" i="4"/>
  <c r="X37" i="10" s="1"/>
  <c r="H52" i="16"/>
  <c r="R52" i="16" s="1"/>
  <c r="V117" i="16" s="1"/>
  <c r="H34" i="16"/>
  <c r="L34" i="16" s="1"/>
  <c r="N28" i="7"/>
  <c r="S159" i="18"/>
  <c r="S158" i="18"/>
  <c r="S157" i="18"/>
  <c r="S160" i="18"/>
  <c r="H45" i="16"/>
  <c r="R45" i="16" s="1"/>
  <c r="V110" i="16" s="1"/>
  <c r="Q31" i="8"/>
  <c r="X90" i="8" s="1"/>
  <c r="H37" i="16"/>
  <c r="R37" i="16" s="1"/>
  <c r="V102" i="16" s="1"/>
  <c r="N32" i="7"/>
  <c r="M33" i="7"/>
  <c r="R159" i="18"/>
  <c r="R160" i="18"/>
  <c r="R158" i="18"/>
  <c r="R157" i="18"/>
  <c r="N33" i="7"/>
  <c r="X158" i="18"/>
  <c r="X159" i="18"/>
  <c r="X160" i="18"/>
  <c r="X157" i="18"/>
  <c r="N94" i="18"/>
  <c r="B33" i="8"/>
  <c r="E32" i="8"/>
  <c r="O32" i="8"/>
  <c r="I32" i="8"/>
  <c r="F32" i="8"/>
  <c r="L32" i="8"/>
  <c r="D32" i="8"/>
  <c r="N32" i="8"/>
  <c r="J32" i="8"/>
  <c r="M32" i="8"/>
  <c r="C32" i="8"/>
  <c r="AE15" i="4"/>
  <c r="AX25" i="10"/>
  <c r="H44" i="16"/>
  <c r="R44" i="16" s="1"/>
  <c r="V109" i="16" s="1"/>
  <c r="H49" i="16"/>
  <c r="R49" i="16" s="1"/>
  <c r="V114" i="16" s="1"/>
  <c r="N35" i="7"/>
  <c r="N30" i="7"/>
  <c r="M32" i="7"/>
  <c r="H46" i="16"/>
  <c r="R46" i="16" s="1"/>
  <c r="V111" i="16" s="1"/>
  <c r="C32" i="18"/>
  <c r="B33" i="18"/>
  <c r="D32" i="18"/>
  <c r="P32" i="18"/>
  <c r="O32" i="18"/>
  <c r="L32" i="18"/>
  <c r="H32" i="18"/>
  <c r="K32" i="18"/>
  <c r="G32" i="18"/>
  <c r="M35" i="7"/>
  <c r="R38" i="16"/>
  <c r="V103" i="16" s="1"/>
  <c r="H47" i="16"/>
  <c r="R47" i="16" s="1"/>
  <c r="V112" i="16" s="1"/>
  <c r="H43" i="16"/>
  <c r="L43" i="16" s="1"/>
  <c r="N31" i="7"/>
  <c r="B96" i="18"/>
  <c r="L95" i="18"/>
  <c r="O95" i="18"/>
  <c r="C95" i="18"/>
  <c r="P95" i="18"/>
  <c r="G95" i="18"/>
  <c r="H95" i="18"/>
  <c r="B130" i="18"/>
  <c r="K129" i="18"/>
  <c r="C129" i="18"/>
  <c r="L129" i="18"/>
  <c r="H129" i="18"/>
  <c r="J129" i="18"/>
  <c r="P129" i="18"/>
  <c r="E129" i="18"/>
  <c r="I129" i="18"/>
  <c r="D129" i="18"/>
  <c r="G129" i="18"/>
  <c r="F129" i="18"/>
  <c r="O129" i="18"/>
  <c r="J47" i="16"/>
  <c r="J39" i="16"/>
  <c r="J46" i="16"/>
  <c r="M46" i="16" s="1"/>
  <c r="J48" i="16"/>
  <c r="J42" i="16"/>
  <c r="J52" i="16"/>
  <c r="J33" i="16"/>
  <c r="J44" i="16"/>
  <c r="J36" i="16"/>
  <c r="J35" i="16"/>
  <c r="J49" i="16"/>
  <c r="J37" i="16"/>
  <c r="J41" i="16"/>
  <c r="J34" i="16"/>
  <c r="J51" i="16"/>
  <c r="J50" i="16"/>
  <c r="J40" i="16"/>
  <c r="J43" i="16"/>
  <c r="J45" i="16"/>
  <c r="J38" i="16"/>
  <c r="AE17" i="4"/>
  <c r="X27" i="10" s="1"/>
  <c r="Y27" i="10" s="1"/>
  <c r="AX27" i="10"/>
  <c r="AY27" i="10" s="1"/>
  <c r="H36" i="16"/>
  <c r="L36" i="16" s="1"/>
  <c r="H51" i="16"/>
  <c r="L51" i="16" s="1"/>
  <c r="N29" i="7"/>
  <c r="M29" i="7"/>
  <c r="M34" i="7"/>
  <c r="B64" i="18"/>
  <c r="C63" i="18"/>
  <c r="L63" i="18"/>
  <c r="H63" i="18"/>
  <c r="P63" i="18"/>
  <c r="O63" i="18"/>
  <c r="G63" i="18"/>
  <c r="D63" i="18"/>
  <c r="K63" i="18"/>
  <c r="Z18" i="4"/>
  <c r="V19" i="4"/>
  <c r="H48" i="16"/>
  <c r="L48" i="16" s="1"/>
  <c r="N34" i="7"/>
  <c r="Y40" i="19" l="1"/>
  <c r="K102" i="16"/>
  <c r="K108" i="16"/>
  <c r="Q116" i="16"/>
  <c r="AG56" i="9"/>
  <c r="BI56" i="9" s="1"/>
  <c r="AF42" i="9"/>
  <c r="Q56" i="9"/>
  <c r="AH56" i="9"/>
  <c r="BJ56" i="9" s="1"/>
  <c r="AF56" i="9"/>
  <c r="BH56" i="9" s="1"/>
  <c r="AD56" i="9"/>
  <c r="BF56" i="9" s="1"/>
  <c r="H94" i="8"/>
  <c r="P29" i="8"/>
  <c r="X57" i="8" s="1"/>
  <c r="P30" i="8"/>
  <c r="X58" i="8" s="1"/>
  <c r="T72" i="9"/>
  <c r="P27" i="8"/>
  <c r="X55" i="8" s="1"/>
  <c r="H103" i="8"/>
  <c r="H92" i="8"/>
  <c r="AH33" i="9"/>
  <c r="H109" i="8"/>
  <c r="H98" i="8"/>
  <c r="P31" i="8"/>
  <c r="H99" i="8"/>
  <c r="T65" i="9"/>
  <c r="H102" i="8"/>
  <c r="H105" i="8"/>
  <c r="H93" i="8"/>
  <c r="H107" i="8"/>
  <c r="G121" i="8"/>
  <c r="H95" i="8"/>
  <c r="G153" i="8"/>
  <c r="H121" i="8"/>
  <c r="H96" i="8"/>
  <c r="P28" i="8"/>
  <c r="X56" i="8" s="1"/>
  <c r="L38" i="19"/>
  <c r="Y41" i="19"/>
  <c r="L40" i="19"/>
  <c r="L48" i="19"/>
  <c r="Y37" i="19"/>
  <c r="Y44" i="19"/>
  <c r="Y36" i="19"/>
  <c r="L31" i="19"/>
  <c r="L37" i="19"/>
  <c r="Y48" i="19"/>
  <c r="Y45" i="19"/>
  <c r="L35" i="19"/>
  <c r="L36" i="19"/>
  <c r="L41" i="19"/>
  <c r="Y43" i="19"/>
  <c r="L42" i="19"/>
  <c r="L47" i="19"/>
  <c r="Y31" i="19"/>
  <c r="Y38" i="19"/>
  <c r="M210" i="19"/>
  <c r="L44" i="19"/>
  <c r="L29" i="19"/>
  <c r="Y42" i="19"/>
  <c r="Y30" i="19"/>
  <c r="L33" i="19"/>
  <c r="Y29" i="19"/>
  <c r="Y32" i="19"/>
  <c r="L39" i="19"/>
  <c r="Y33" i="19"/>
  <c r="Y47" i="19"/>
  <c r="L46" i="19"/>
  <c r="L34" i="19"/>
  <c r="Y34" i="19"/>
  <c r="Y35" i="19"/>
  <c r="Y46" i="19"/>
  <c r="L43" i="19"/>
  <c r="K100" i="16"/>
  <c r="Q98" i="16"/>
  <c r="X65" i="16" s="1"/>
  <c r="L102" i="16"/>
  <c r="Q100" i="16"/>
  <c r="X67" i="16" s="1"/>
  <c r="Q112" i="16"/>
  <c r="X79" i="16" s="1"/>
  <c r="S83" i="16"/>
  <c r="W150" i="16" s="1"/>
  <c r="M107" i="16"/>
  <c r="S73" i="16"/>
  <c r="W140" i="16" s="1"/>
  <c r="M68" i="16"/>
  <c r="L100" i="16"/>
  <c r="Q75" i="16"/>
  <c r="W74" i="16" s="1"/>
  <c r="Q108" i="16"/>
  <c r="X75" i="16" s="1"/>
  <c r="Q114" i="16"/>
  <c r="K107" i="16"/>
  <c r="M108" i="16"/>
  <c r="M73" i="16"/>
  <c r="M33" i="16"/>
  <c r="N33" i="16" s="1"/>
  <c r="O33" i="16" s="1"/>
  <c r="V30" i="16" s="1"/>
  <c r="S69" i="16"/>
  <c r="W136" i="16" s="1"/>
  <c r="K116" i="16"/>
  <c r="M39" i="16"/>
  <c r="Q80" i="16"/>
  <c r="W79" i="16" s="1"/>
  <c r="S74" i="16"/>
  <c r="W141" i="16" s="1"/>
  <c r="R103" i="16"/>
  <c r="X104" i="16" s="1"/>
  <c r="M109" i="16"/>
  <c r="Q115" i="16"/>
  <c r="X82" i="16" s="1"/>
  <c r="S99" i="16"/>
  <c r="X134" i="16" s="1"/>
  <c r="S71" i="16"/>
  <c r="W138" i="16" s="1"/>
  <c r="R98" i="16"/>
  <c r="X99" i="16" s="1"/>
  <c r="R80" i="16"/>
  <c r="W113" i="16" s="1"/>
  <c r="S50" i="16"/>
  <c r="V149" i="16" s="1"/>
  <c r="Q106" i="16"/>
  <c r="X73" i="16" s="1"/>
  <c r="R97" i="16"/>
  <c r="X98" i="16" s="1"/>
  <c r="K115" i="16"/>
  <c r="K82" i="16"/>
  <c r="M66" i="16"/>
  <c r="K99" i="16"/>
  <c r="Q83" i="16"/>
  <c r="W82" i="16" s="1"/>
  <c r="R83" i="16"/>
  <c r="W116" i="16" s="1"/>
  <c r="M100" i="16"/>
  <c r="L103" i="16"/>
  <c r="L97" i="16"/>
  <c r="M77" i="16"/>
  <c r="Q103" i="16"/>
  <c r="X70" i="16" s="1"/>
  <c r="Q78" i="16"/>
  <c r="W77" i="16" s="1"/>
  <c r="L113" i="16"/>
  <c r="Q107" i="16"/>
  <c r="X74" i="16" s="1"/>
  <c r="K103" i="16"/>
  <c r="L104" i="16"/>
  <c r="K109" i="16"/>
  <c r="K127" i="16"/>
  <c r="S108" i="16"/>
  <c r="X143" i="16" s="1"/>
  <c r="S77" i="16"/>
  <c r="W144" i="16" s="1"/>
  <c r="Q101" i="16"/>
  <c r="X68" i="16" s="1"/>
  <c r="Q102" i="16"/>
  <c r="X69" i="16" s="1"/>
  <c r="M74" i="16"/>
  <c r="Q97" i="16"/>
  <c r="X64" i="16" s="1"/>
  <c r="S106" i="16"/>
  <c r="X141" i="16" s="1"/>
  <c r="R116" i="16"/>
  <c r="X117" i="16" s="1"/>
  <c r="Q111" i="16"/>
  <c r="X78" i="16" s="1"/>
  <c r="S112" i="16"/>
  <c r="X147" i="16" s="1"/>
  <c r="Q99" i="16"/>
  <c r="X66" i="16" s="1"/>
  <c r="L98" i="16"/>
  <c r="Q109" i="16"/>
  <c r="X76" i="16" s="1"/>
  <c r="Q110" i="16"/>
  <c r="X77" i="16" s="1"/>
  <c r="L127" i="16"/>
  <c r="K78" i="16"/>
  <c r="Q105" i="16"/>
  <c r="X72" i="16" s="1"/>
  <c r="S109" i="16"/>
  <c r="X144" i="16" s="1"/>
  <c r="N63" i="16"/>
  <c r="O63" i="16" s="1"/>
  <c r="M114" i="16"/>
  <c r="K65" i="16"/>
  <c r="Q82" i="16"/>
  <c r="W81" i="16" s="1"/>
  <c r="S127" i="16"/>
  <c r="L82" i="16"/>
  <c r="S114" i="16"/>
  <c r="X149" i="16" s="1"/>
  <c r="S70" i="16"/>
  <c r="W137" i="16" s="1"/>
  <c r="K71" i="16"/>
  <c r="M97" i="16"/>
  <c r="K76" i="16"/>
  <c r="K105" i="16"/>
  <c r="L72" i="16"/>
  <c r="Q73" i="16"/>
  <c r="W72" i="16" s="1"/>
  <c r="L106" i="16"/>
  <c r="L32" i="19"/>
  <c r="L45" i="19"/>
  <c r="R105" i="16"/>
  <c r="X106" i="16" s="1"/>
  <c r="M75" i="16"/>
  <c r="M105" i="16"/>
  <c r="H101" i="8"/>
  <c r="S97" i="16"/>
  <c r="X132" i="16" s="1"/>
  <c r="L30" i="19"/>
  <c r="Q71" i="16"/>
  <c r="W70" i="16" s="1"/>
  <c r="H97" i="8"/>
  <c r="K73" i="16"/>
  <c r="K72" i="16"/>
  <c r="S111" i="16"/>
  <c r="X146" i="16" s="1"/>
  <c r="K104" i="16"/>
  <c r="Y39" i="19"/>
  <c r="S115" i="16"/>
  <c r="X150" i="16" s="1"/>
  <c r="H108" i="8"/>
  <c r="S100" i="16"/>
  <c r="X135" i="16" s="1"/>
  <c r="R114" i="16"/>
  <c r="X115" i="16" s="1"/>
  <c r="R65" i="16"/>
  <c r="W98" i="16" s="1"/>
  <c r="K84" i="16"/>
  <c r="R112" i="16"/>
  <c r="X113" i="16" s="1"/>
  <c r="S116" i="16"/>
  <c r="X151" i="16" s="1"/>
  <c r="K111" i="16"/>
  <c r="R106" i="16"/>
  <c r="X107" i="16" s="1"/>
  <c r="S101" i="16"/>
  <c r="X136" i="16" s="1"/>
  <c r="S72" i="16"/>
  <c r="W139" i="16" s="1"/>
  <c r="L107" i="16"/>
  <c r="L116" i="16"/>
  <c r="R102" i="16"/>
  <c r="X103" i="16" s="1"/>
  <c r="R100" i="16"/>
  <c r="X101" i="16" s="1"/>
  <c r="M84" i="16"/>
  <c r="S107" i="16"/>
  <c r="X142" i="16" s="1"/>
  <c r="S65" i="16"/>
  <c r="W132" i="16" s="1"/>
  <c r="L114" i="16"/>
  <c r="M70" i="16"/>
  <c r="R113" i="16"/>
  <c r="X114" i="16" s="1"/>
  <c r="Q84" i="16"/>
  <c r="W83" i="16" s="1"/>
  <c r="R82" i="16"/>
  <c r="W115" i="16" s="1"/>
  <c r="K126" i="16"/>
  <c r="S110" i="16"/>
  <c r="X145" i="16" s="1"/>
  <c r="M71" i="16"/>
  <c r="M115" i="16"/>
  <c r="S79" i="16"/>
  <c r="W146" i="16" s="1"/>
  <c r="S105" i="16"/>
  <c r="X140" i="16" s="1"/>
  <c r="M80" i="16"/>
  <c r="K98" i="16"/>
  <c r="L80" i="16"/>
  <c r="M110" i="16"/>
  <c r="R107" i="16"/>
  <c r="X108" i="16" s="1"/>
  <c r="S102" i="16"/>
  <c r="X137" i="16" s="1"/>
  <c r="S104" i="16"/>
  <c r="X139" i="16" s="1"/>
  <c r="S84" i="16"/>
  <c r="W151" i="16" s="1"/>
  <c r="S75" i="16"/>
  <c r="W142" i="16" s="1"/>
  <c r="S68" i="16"/>
  <c r="W135" i="16" s="1"/>
  <c r="R104" i="16"/>
  <c r="X105" i="16" s="1"/>
  <c r="L115" i="16"/>
  <c r="M113" i="16"/>
  <c r="S76" i="16"/>
  <c r="W143" i="16" s="1"/>
  <c r="S98" i="16"/>
  <c r="X133" i="16" s="1"/>
  <c r="M112" i="16"/>
  <c r="L74" i="16"/>
  <c r="Q72" i="16"/>
  <c r="W71" i="16" s="1"/>
  <c r="M82" i="16"/>
  <c r="M103" i="16"/>
  <c r="K106" i="16"/>
  <c r="L112" i="16"/>
  <c r="K80" i="16"/>
  <c r="L83" i="16"/>
  <c r="L111" i="16"/>
  <c r="L101" i="16"/>
  <c r="M111" i="16"/>
  <c r="S81" i="16"/>
  <c r="W148" i="16" s="1"/>
  <c r="S82" i="16"/>
  <c r="W149" i="16" s="1"/>
  <c r="M126" i="16"/>
  <c r="Q65" i="16"/>
  <c r="W64" i="16" s="1"/>
  <c r="R74" i="16"/>
  <c r="W107" i="16" s="1"/>
  <c r="M102" i="16"/>
  <c r="S103" i="16"/>
  <c r="X138" i="16" s="1"/>
  <c r="S66" i="16"/>
  <c r="M83" i="16"/>
  <c r="S78" i="16"/>
  <c r="W145" i="16" s="1"/>
  <c r="S67" i="16"/>
  <c r="W134" i="16" s="1"/>
  <c r="R101" i="16"/>
  <c r="X102" i="16" s="1"/>
  <c r="M99" i="16"/>
  <c r="M106" i="16"/>
  <c r="K77" i="16"/>
  <c r="L99" i="16"/>
  <c r="K74" i="16"/>
  <c r="N94" i="16"/>
  <c r="O94" i="16" s="1"/>
  <c r="M104" i="16"/>
  <c r="S80" i="16"/>
  <c r="W147" i="16" s="1"/>
  <c r="K114" i="16"/>
  <c r="K110" i="16"/>
  <c r="R108" i="16"/>
  <c r="X109" i="16" s="1"/>
  <c r="L109" i="16"/>
  <c r="K112" i="16"/>
  <c r="R99" i="16"/>
  <c r="X100" i="16" s="1"/>
  <c r="S113" i="16"/>
  <c r="X148" i="16" s="1"/>
  <c r="R81" i="16"/>
  <c r="W114" i="16" s="1"/>
  <c r="R115" i="16"/>
  <c r="X116" i="16" s="1"/>
  <c r="K83" i="16"/>
  <c r="M98" i="16"/>
  <c r="K97" i="16"/>
  <c r="Q74" i="16"/>
  <c r="W73" i="16" s="1"/>
  <c r="K113" i="16"/>
  <c r="M65" i="16"/>
  <c r="L65" i="16"/>
  <c r="K70" i="16"/>
  <c r="M79" i="16"/>
  <c r="M72" i="16"/>
  <c r="M116" i="16"/>
  <c r="Q70" i="16"/>
  <c r="W69" i="16" s="1"/>
  <c r="M101" i="16"/>
  <c r="R72" i="16"/>
  <c r="W105" i="16" s="1"/>
  <c r="R111" i="16"/>
  <c r="X112" i="16" s="1"/>
  <c r="Q76" i="16"/>
  <c r="W75" i="16" s="1"/>
  <c r="M67" i="16"/>
  <c r="M127" i="16"/>
  <c r="M76" i="16"/>
  <c r="Q77" i="16"/>
  <c r="W76" i="16" s="1"/>
  <c r="N95" i="16"/>
  <c r="O95" i="16" s="1"/>
  <c r="L108" i="16"/>
  <c r="L105" i="16"/>
  <c r="R109" i="16"/>
  <c r="X110" i="16" s="1"/>
  <c r="K75" i="16"/>
  <c r="H106" i="8"/>
  <c r="H74" i="8"/>
  <c r="AD57" i="9"/>
  <c r="BF57" i="9" s="1"/>
  <c r="H75" i="8"/>
  <c r="AG57" i="9"/>
  <c r="BI57" i="9" s="1"/>
  <c r="H76" i="8"/>
  <c r="H77" i="8"/>
  <c r="R57" i="9"/>
  <c r="AA57" i="9" s="1"/>
  <c r="AB57" i="9" s="1"/>
  <c r="AI57" i="9"/>
  <c r="BK57" i="9" s="1"/>
  <c r="H153" i="8"/>
  <c r="AF57" i="9"/>
  <c r="BH57" i="9" s="1"/>
  <c r="AJ57" i="9"/>
  <c r="H78" i="8"/>
  <c r="H65" i="8"/>
  <c r="H67" i="8"/>
  <c r="H71" i="8"/>
  <c r="H68" i="8"/>
  <c r="H110" i="8"/>
  <c r="H73" i="8"/>
  <c r="G77" i="8"/>
  <c r="G73" i="8"/>
  <c r="G105" i="8"/>
  <c r="G106" i="8"/>
  <c r="G74" i="8"/>
  <c r="G107" i="8"/>
  <c r="G75" i="8"/>
  <c r="G101" i="8"/>
  <c r="G108" i="8"/>
  <c r="G76" i="8"/>
  <c r="G109" i="8"/>
  <c r="G110" i="8"/>
  <c r="G78" i="8"/>
  <c r="H70" i="8"/>
  <c r="H100" i="8"/>
  <c r="H61" i="8"/>
  <c r="H66" i="8"/>
  <c r="H59" i="8"/>
  <c r="H64" i="8"/>
  <c r="H32" i="8"/>
  <c r="H104" i="8"/>
  <c r="H62" i="8"/>
  <c r="H69" i="8"/>
  <c r="H72" i="8"/>
  <c r="H63" i="8"/>
  <c r="H91" i="8"/>
  <c r="H60" i="8"/>
  <c r="G32" i="8"/>
  <c r="G71" i="8"/>
  <c r="P71" i="8" s="1"/>
  <c r="G63" i="8"/>
  <c r="G95" i="8"/>
  <c r="G69" i="8"/>
  <c r="G67" i="8"/>
  <c r="G100" i="8"/>
  <c r="G68" i="8"/>
  <c r="G64" i="8"/>
  <c r="G96" i="8"/>
  <c r="G103" i="8"/>
  <c r="G59" i="8"/>
  <c r="G98" i="8"/>
  <c r="G104" i="8"/>
  <c r="P104" i="8" s="1"/>
  <c r="G93" i="8"/>
  <c r="G102" i="8"/>
  <c r="G97" i="8"/>
  <c r="G60" i="8"/>
  <c r="G99" i="8"/>
  <c r="G66" i="8"/>
  <c r="G65" i="8"/>
  <c r="G91" i="8"/>
  <c r="G72" i="8"/>
  <c r="G70" i="8"/>
  <c r="G61" i="8"/>
  <c r="G94" i="8"/>
  <c r="G92" i="8"/>
  <c r="G62" i="8"/>
  <c r="P88" i="8"/>
  <c r="AJ56" i="9"/>
  <c r="P56" i="8"/>
  <c r="N74" i="7"/>
  <c r="T78" i="9"/>
  <c r="AI56" i="9"/>
  <c r="BK56" i="9" s="1"/>
  <c r="AJ43" i="9"/>
  <c r="BO278" i="9" s="1"/>
  <c r="G157" i="18"/>
  <c r="Q24" i="18" s="1"/>
  <c r="G159" i="18"/>
  <c r="AE56" i="9"/>
  <c r="BG56" i="9" s="1"/>
  <c r="T120" i="9"/>
  <c r="T88" i="9"/>
  <c r="N68" i="7"/>
  <c r="AJ41" i="9"/>
  <c r="BO276" i="9" s="1"/>
  <c r="T68" i="9"/>
  <c r="N63" i="7"/>
  <c r="AH32" i="9"/>
  <c r="M92" i="7"/>
  <c r="T77" i="9"/>
  <c r="AI34" i="9"/>
  <c r="O89" i="7"/>
  <c r="K89" i="8" s="1"/>
  <c r="R89" i="8" s="1"/>
  <c r="S89" i="8" s="1"/>
  <c r="T89" i="8" s="1"/>
  <c r="T89" i="9"/>
  <c r="AE30" i="9"/>
  <c r="AG39" i="9"/>
  <c r="N65" i="7"/>
  <c r="N59" i="7"/>
  <c r="N70" i="7"/>
  <c r="T59" i="9"/>
  <c r="S121" i="9"/>
  <c r="T75" i="9"/>
  <c r="M93" i="7"/>
  <c r="AI33" i="9"/>
  <c r="T69" i="9"/>
  <c r="Q43" i="9"/>
  <c r="AA43" i="9" s="1"/>
  <c r="AB43" i="9" s="1"/>
  <c r="BO40" i="9" s="1"/>
  <c r="N69" i="7"/>
  <c r="K88" i="9"/>
  <c r="Q88" i="9" s="1"/>
  <c r="M120" i="7"/>
  <c r="M36" i="7"/>
  <c r="N67" i="7"/>
  <c r="T74" i="9"/>
  <c r="N121" i="7"/>
  <c r="AF38" i="9"/>
  <c r="BO137" i="9" s="1"/>
  <c r="BA112" i="9"/>
  <c r="N77" i="7"/>
  <c r="N71" i="7"/>
  <c r="S68" i="9"/>
  <c r="M59" i="7"/>
  <c r="K121" i="9"/>
  <c r="Q121" i="9" s="1"/>
  <c r="N76" i="7"/>
  <c r="M109" i="7"/>
  <c r="T63" i="9"/>
  <c r="N72" i="7"/>
  <c r="M106" i="7"/>
  <c r="T62" i="9"/>
  <c r="T76" i="9"/>
  <c r="S120" i="9"/>
  <c r="T60" i="9"/>
  <c r="L121" i="9"/>
  <c r="R121" i="9" s="1"/>
  <c r="BA144" i="9"/>
  <c r="M98" i="7"/>
  <c r="N75" i="7"/>
  <c r="AI30" i="9"/>
  <c r="K89" i="9"/>
  <c r="AN112" i="9"/>
  <c r="AX144" i="9"/>
  <c r="BC144" i="9"/>
  <c r="AH28" i="9"/>
  <c r="AH40" i="9"/>
  <c r="S78" i="9"/>
  <c r="N62" i="7"/>
  <c r="AI29" i="9"/>
  <c r="S59" i="9"/>
  <c r="S60" i="9"/>
  <c r="AD28" i="9"/>
  <c r="N73" i="7"/>
  <c r="AH27" i="9"/>
  <c r="M99" i="7"/>
  <c r="N61" i="7"/>
  <c r="T64" i="9"/>
  <c r="AE31" i="9"/>
  <c r="AF37" i="9"/>
  <c r="BH37" i="9" s="1"/>
  <c r="BO374" i="9" s="1"/>
  <c r="M95" i="7"/>
  <c r="M91" i="7"/>
  <c r="N78" i="7"/>
  <c r="AJ27" i="9"/>
  <c r="BO262" i="9" s="1"/>
  <c r="T70" i="9"/>
  <c r="L89" i="9"/>
  <c r="R89" i="9" s="1"/>
  <c r="AY144" i="9"/>
  <c r="G158" i="18"/>
  <c r="Q57" i="18" s="1"/>
  <c r="R57" i="18" s="1"/>
  <c r="S57" i="18" s="1"/>
  <c r="T57" i="18" s="1"/>
  <c r="AG36" i="9"/>
  <c r="N60" i="7"/>
  <c r="T67" i="9"/>
  <c r="T121" i="9"/>
  <c r="O56" i="7"/>
  <c r="T56" i="7" s="1"/>
  <c r="O88" i="7"/>
  <c r="S72" i="9"/>
  <c r="S76" i="9"/>
  <c r="R69" i="16"/>
  <c r="W102" i="16" s="1"/>
  <c r="L69" i="16"/>
  <c r="M104" i="7"/>
  <c r="Q74" i="8"/>
  <c r="Y101" i="8" s="1"/>
  <c r="K64" i="9"/>
  <c r="K65" i="9"/>
  <c r="Q65" i="9" s="1"/>
  <c r="N64" i="7"/>
  <c r="AG27" i="9"/>
  <c r="Q33" i="9"/>
  <c r="AA33" i="9" s="1"/>
  <c r="AB33" i="9" s="1"/>
  <c r="BO30" i="9" s="1"/>
  <c r="AH44" i="9"/>
  <c r="AF44" i="9"/>
  <c r="AI44" i="9"/>
  <c r="AJ44" i="9"/>
  <c r="BO279" i="9" s="1"/>
  <c r="AG44" i="9"/>
  <c r="AD44" i="9"/>
  <c r="AE44" i="9"/>
  <c r="BO109" i="9" s="1"/>
  <c r="Q44" i="9"/>
  <c r="AA44" i="9" s="1"/>
  <c r="AB44" i="9" s="1"/>
  <c r="BO41" i="9" s="1"/>
  <c r="M69" i="7"/>
  <c r="M72" i="7"/>
  <c r="R66" i="16"/>
  <c r="W99" i="16" s="1"/>
  <c r="L66" i="16"/>
  <c r="AH34" i="9"/>
  <c r="AD36" i="9"/>
  <c r="Q94" i="8"/>
  <c r="Z89" i="8" s="1"/>
  <c r="Q106" i="8"/>
  <c r="Z101" i="8" s="1"/>
  <c r="AD31" i="9"/>
  <c r="AE40" i="9"/>
  <c r="L63" i="9"/>
  <c r="R63" i="9" s="1"/>
  <c r="L60" i="9"/>
  <c r="R60" i="9" s="1"/>
  <c r="AO112" i="9"/>
  <c r="AQ112" i="9"/>
  <c r="AS112" i="9"/>
  <c r="R79" i="16"/>
  <c r="W112" i="16" s="1"/>
  <c r="L79" i="16"/>
  <c r="AI35" i="9"/>
  <c r="K30" i="19"/>
  <c r="K45" i="19"/>
  <c r="AO144" i="9"/>
  <c r="D127" i="9"/>
  <c r="D134" i="9"/>
  <c r="D142" i="9"/>
  <c r="D132" i="9"/>
  <c r="D125" i="9"/>
  <c r="D141" i="9"/>
  <c r="D139" i="9"/>
  <c r="D131" i="9"/>
  <c r="D124" i="9"/>
  <c r="D128" i="9"/>
  <c r="D137" i="9"/>
  <c r="D126" i="9"/>
  <c r="D129" i="9"/>
  <c r="D130" i="9"/>
  <c r="D136" i="9"/>
  <c r="D140" i="9"/>
  <c r="D135" i="9"/>
  <c r="D138" i="9"/>
  <c r="D123" i="9"/>
  <c r="D133" i="9"/>
  <c r="AF39" i="9"/>
  <c r="BH39" i="9" s="1"/>
  <c r="BO376" i="9" s="1"/>
  <c r="AJ38" i="9"/>
  <c r="BO273" i="9" s="1"/>
  <c r="AE42" i="9"/>
  <c r="N104" i="7"/>
  <c r="N108" i="7"/>
  <c r="D130" i="7"/>
  <c r="D131" i="7"/>
  <c r="D132" i="7"/>
  <c r="D133" i="7"/>
  <c r="D134" i="7"/>
  <c r="D142" i="7"/>
  <c r="D141" i="7"/>
  <c r="D123" i="7"/>
  <c r="D135" i="7"/>
  <c r="D140" i="7"/>
  <c r="D139" i="7"/>
  <c r="D124" i="7"/>
  <c r="D138" i="7"/>
  <c r="D125" i="7"/>
  <c r="D137" i="7"/>
  <c r="D126" i="7"/>
  <c r="D127" i="7"/>
  <c r="D128" i="7"/>
  <c r="D129" i="7"/>
  <c r="D136" i="7"/>
  <c r="Z36" i="19"/>
  <c r="AE32" i="9"/>
  <c r="S73" i="9"/>
  <c r="S77" i="9"/>
  <c r="R71" i="16"/>
  <c r="W104" i="16" s="1"/>
  <c r="L71" i="16"/>
  <c r="AD43" i="9"/>
  <c r="M96" i="7"/>
  <c r="M107" i="7"/>
  <c r="Q61" i="8"/>
  <c r="Y88" i="8" s="1"/>
  <c r="K63" i="9"/>
  <c r="K71" i="9"/>
  <c r="Q71" i="9" s="1"/>
  <c r="Q67" i="16"/>
  <c r="W66" i="16" s="1"/>
  <c r="K67" i="16"/>
  <c r="AF27" i="9"/>
  <c r="AF33" i="9"/>
  <c r="J165" i="8"/>
  <c r="J161" i="8"/>
  <c r="J170" i="8"/>
  <c r="J164" i="8"/>
  <c r="J173" i="8"/>
  <c r="J171" i="8"/>
  <c r="J162" i="8"/>
  <c r="J172" i="8"/>
  <c r="J163" i="8"/>
  <c r="J160" i="8"/>
  <c r="J174" i="8"/>
  <c r="J158" i="8"/>
  <c r="J169" i="8"/>
  <c r="J168" i="8"/>
  <c r="J166" i="8"/>
  <c r="J159" i="8"/>
  <c r="J157" i="8"/>
  <c r="J156" i="8"/>
  <c r="J167" i="8"/>
  <c r="J155" i="8"/>
  <c r="M61" i="7"/>
  <c r="M64" i="7"/>
  <c r="AD34" i="9"/>
  <c r="Q110" i="8"/>
  <c r="Z105" i="8" s="1"/>
  <c r="Q104" i="8"/>
  <c r="Z99" i="8" s="1"/>
  <c r="AI31" i="9"/>
  <c r="AF40" i="9"/>
  <c r="L62" i="9"/>
  <c r="R62" i="9" s="1"/>
  <c r="L71" i="9"/>
  <c r="R71" i="9" s="1"/>
  <c r="AV112" i="9"/>
  <c r="AK112" i="9"/>
  <c r="C91" i="9"/>
  <c r="C94" i="9"/>
  <c r="C107" i="9"/>
  <c r="C104" i="9"/>
  <c r="C92" i="9"/>
  <c r="C99" i="9"/>
  <c r="C110" i="9"/>
  <c r="C96" i="9"/>
  <c r="C106" i="9"/>
  <c r="C95" i="9"/>
  <c r="C109" i="9"/>
  <c r="C93" i="9"/>
  <c r="C105" i="9"/>
  <c r="C108" i="9"/>
  <c r="C102" i="9"/>
  <c r="C100" i="9"/>
  <c r="C103" i="9"/>
  <c r="C98" i="9"/>
  <c r="C101" i="9"/>
  <c r="C97" i="9"/>
  <c r="AF35" i="9"/>
  <c r="K46" i="19"/>
  <c r="K33" i="19"/>
  <c r="E140" i="9"/>
  <c r="E126" i="9"/>
  <c r="E135" i="9"/>
  <c r="E124" i="9"/>
  <c r="E133" i="9"/>
  <c r="E138" i="9"/>
  <c r="E136" i="9"/>
  <c r="E123" i="9"/>
  <c r="E125" i="9"/>
  <c r="E142" i="9"/>
  <c r="E128" i="9"/>
  <c r="E127" i="9"/>
  <c r="E129" i="9"/>
  <c r="E139" i="9"/>
  <c r="E130" i="9"/>
  <c r="E132" i="9"/>
  <c r="E141" i="9"/>
  <c r="E131" i="9"/>
  <c r="E137" i="9"/>
  <c r="E134" i="9"/>
  <c r="M133" i="9"/>
  <c r="M136" i="9"/>
  <c r="M135" i="9"/>
  <c r="M138" i="9"/>
  <c r="M131" i="9"/>
  <c r="M139" i="9"/>
  <c r="M141" i="9"/>
  <c r="M123" i="9"/>
  <c r="M142" i="9"/>
  <c r="M140" i="9"/>
  <c r="M126" i="9"/>
  <c r="M128" i="9"/>
  <c r="M130" i="9"/>
  <c r="M137" i="9"/>
  <c r="M124" i="9"/>
  <c r="M132" i="9"/>
  <c r="M127" i="9"/>
  <c r="M129" i="9"/>
  <c r="M134" i="9"/>
  <c r="M125" i="9"/>
  <c r="F125" i="9"/>
  <c r="F137" i="9"/>
  <c r="F132" i="9"/>
  <c r="F130" i="9"/>
  <c r="F124" i="9"/>
  <c r="F139" i="9"/>
  <c r="F123" i="9"/>
  <c r="F127" i="9"/>
  <c r="F140" i="9"/>
  <c r="F141" i="9"/>
  <c r="F134" i="9"/>
  <c r="F126" i="9"/>
  <c r="F142" i="9"/>
  <c r="F129" i="9"/>
  <c r="F128" i="9"/>
  <c r="F133" i="9"/>
  <c r="F131" i="9"/>
  <c r="F138" i="9"/>
  <c r="F135" i="9"/>
  <c r="F136" i="9"/>
  <c r="BE144" i="9"/>
  <c r="P135" i="9"/>
  <c r="P141" i="9"/>
  <c r="P136" i="9"/>
  <c r="P131" i="9"/>
  <c r="P125" i="9"/>
  <c r="P139" i="9"/>
  <c r="P137" i="9"/>
  <c r="P128" i="9"/>
  <c r="P123" i="9"/>
  <c r="P124" i="9"/>
  <c r="P126" i="9"/>
  <c r="P129" i="9"/>
  <c r="P140" i="9"/>
  <c r="P130" i="9"/>
  <c r="P138" i="9"/>
  <c r="P127" i="9"/>
  <c r="P133" i="9"/>
  <c r="P142" i="9"/>
  <c r="P132" i="9"/>
  <c r="P134" i="9"/>
  <c r="R75" i="16"/>
  <c r="W108" i="16" s="1"/>
  <c r="L75" i="16"/>
  <c r="AJ39" i="9"/>
  <c r="BO274" i="9" s="1"/>
  <c r="AE38" i="9"/>
  <c r="I131" i="8"/>
  <c r="I130" i="8"/>
  <c r="I127" i="8"/>
  <c r="I126" i="8"/>
  <c r="I142" i="8"/>
  <c r="I124" i="8"/>
  <c r="I123" i="8"/>
  <c r="I141" i="8"/>
  <c r="I140" i="8"/>
  <c r="I139" i="8"/>
  <c r="I138" i="8"/>
  <c r="I129" i="8"/>
  <c r="I136" i="8"/>
  <c r="I128" i="8"/>
  <c r="I135" i="8"/>
  <c r="I132" i="8"/>
  <c r="I137" i="8"/>
  <c r="I125" i="8"/>
  <c r="I134" i="8"/>
  <c r="I133" i="8"/>
  <c r="AH29" i="9"/>
  <c r="N92" i="7"/>
  <c r="N96" i="7"/>
  <c r="Z39" i="19"/>
  <c r="Q32" i="9"/>
  <c r="AA32" i="9" s="1"/>
  <c r="AB32" i="9" s="1"/>
  <c r="BO29" i="9" s="1"/>
  <c r="AD30" i="9"/>
  <c r="S62" i="9"/>
  <c r="AI43" i="9"/>
  <c r="BO244" i="9" s="1"/>
  <c r="M103" i="7"/>
  <c r="Q72" i="8"/>
  <c r="Y99" i="8" s="1"/>
  <c r="Q75" i="8"/>
  <c r="Y102" i="8" s="1"/>
  <c r="K69" i="9"/>
  <c r="Q69" i="9" s="1"/>
  <c r="K74" i="9"/>
  <c r="Q74" i="9" s="1"/>
  <c r="Q27" i="9"/>
  <c r="AA27" i="9" s="1"/>
  <c r="AB27" i="9" s="1"/>
  <c r="BO24" i="9" s="1"/>
  <c r="H138" i="16"/>
  <c r="H148" i="16"/>
  <c r="H136" i="16"/>
  <c r="H135" i="16"/>
  <c r="H133" i="16"/>
  <c r="H145" i="16"/>
  <c r="H146" i="16"/>
  <c r="H130" i="16"/>
  <c r="H132" i="16"/>
  <c r="H134" i="16"/>
  <c r="H147" i="16"/>
  <c r="H129" i="16"/>
  <c r="H143" i="16"/>
  <c r="H140" i="16"/>
  <c r="H131" i="16"/>
  <c r="H142" i="16"/>
  <c r="H144" i="16"/>
  <c r="H137" i="16"/>
  <c r="H141" i="16"/>
  <c r="H139" i="16"/>
  <c r="AE33" i="9"/>
  <c r="M76" i="7"/>
  <c r="M71" i="7"/>
  <c r="AJ34" i="9"/>
  <c r="BO269" i="9" s="1"/>
  <c r="Q98" i="8"/>
  <c r="Z93" i="8" s="1"/>
  <c r="Q107" i="8"/>
  <c r="Z102" i="8" s="1"/>
  <c r="AF31" i="9"/>
  <c r="BH31" i="9" s="1"/>
  <c r="BO368" i="9" s="1"/>
  <c r="AD40" i="9"/>
  <c r="L68" i="9"/>
  <c r="R68" i="9" s="1"/>
  <c r="L69" i="9"/>
  <c r="BA174" i="9"/>
  <c r="AO174" i="9"/>
  <c r="BB173" i="9"/>
  <c r="AP173" i="9"/>
  <c r="AW174" i="9"/>
  <c r="AK174" i="9"/>
  <c r="X174" i="9"/>
  <c r="AX173" i="9"/>
  <c r="AL173" i="9"/>
  <c r="Y173" i="9"/>
  <c r="AU174" i="9"/>
  <c r="V174" i="9"/>
  <c r="AV173" i="9"/>
  <c r="W173" i="9"/>
  <c r="AT174" i="9"/>
  <c r="U174" i="9"/>
  <c r="AU173" i="9"/>
  <c r="V173" i="9"/>
  <c r="BD174" i="9"/>
  <c r="AR174" i="9"/>
  <c r="BE173" i="9"/>
  <c r="AS173" i="9"/>
  <c r="BC174" i="9"/>
  <c r="AQ174" i="9"/>
  <c r="BD173" i="9"/>
  <c r="AR173" i="9"/>
  <c r="BE174" i="9"/>
  <c r="AT173" i="9"/>
  <c r="U173" i="9"/>
  <c r="AZ172" i="9"/>
  <c r="AN172" i="9"/>
  <c r="BA171" i="9"/>
  <c r="AO171" i="9"/>
  <c r="BB170" i="9"/>
  <c r="AP170" i="9"/>
  <c r="BC169" i="9"/>
  <c r="AQ169" i="9"/>
  <c r="BD168" i="9"/>
  <c r="AR168" i="9"/>
  <c r="BE167" i="9"/>
  <c r="AS167" i="9"/>
  <c r="AT166" i="9"/>
  <c r="U166" i="9"/>
  <c r="AU165" i="9"/>
  <c r="V165" i="9"/>
  <c r="AV164" i="9"/>
  <c r="W164" i="9"/>
  <c r="AW163" i="9"/>
  <c r="AK163" i="9"/>
  <c r="X163" i="9"/>
  <c r="AX162" i="9"/>
  <c r="AL162" i="9"/>
  <c r="Y162" i="9"/>
  <c r="AY161" i="9"/>
  <c r="AM161" i="9"/>
  <c r="AZ174" i="9"/>
  <c r="AO173" i="9"/>
  <c r="AX172" i="9"/>
  <c r="AL172" i="9"/>
  <c r="Y172" i="9"/>
  <c r="AY171" i="9"/>
  <c r="AM171" i="9"/>
  <c r="Z171" i="9"/>
  <c r="AZ170" i="9"/>
  <c r="AN170" i="9"/>
  <c r="BA169" i="9"/>
  <c r="AO169" i="9"/>
  <c r="BB168" i="9"/>
  <c r="AP168" i="9"/>
  <c r="BC167" i="9"/>
  <c r="AQ167" i="9"/>
  <c r="BD166" i="9"/>
  <c r="AR166" i="9"/>
  <c r="BE165" i="9"/>
  <c r="AS165" i="9"/>
  <c r="AT164" i="9"/>
  <c r="U164" i="9"/>
  <c r="AU163" i="9"/>
  <c r="V163" i="9"/>
  <c r="AV162" i="9"/>
  <c r="W162" i="9"/>
  <c r="AW161" i="9"/>
  <c r="AK161" i="9"/>
  <c r="X161" i="9"/>
  <c r="AX174" i="9"/>
  <c r="Y174" i="9"/>
  <c r="AM173" i="9"/>
  <c r="AV172" i="9"/>
  <c r="W172" i="9"/>
  <c r="AW171" i="9"/>
  <c r="AK171" i="9"/>
  <c r="X171" i="9"/>
  <c r="AX170" i="9"/>
  <c r="AL170" i="9"/>
  <c r="Y170" i="9"/>
  <c r="AY169" i="9"/>
  <c r="AM169" i="9"/>
  <c r="Z169" i="9"/>
  <c r="AZ168" i="9"/>
  <c r="AN168" i="9"/>
  <c r="BA167" i="9"/>
  <c r="AO167" i="9"/>
  <c r="BB166" i="9"/>
  <c r="AP166" i="9"/>
  <c r="BC165" i="9"/>
  <c r="AQ165" i="9"/>
  <c r="BD164" i="9"/>
  <c r="AR164" i="9"/>
  <c r="BE163" i="9"/>
  <c r="AS163" i="9"/>
  <c r="AT162" i="9"/>
  <c r="U162" i="9"/>
  <c r="AU161" i="9"/>
  <c r="V161" i="9"/>
  <c r="AS174" i="9"/>
  <c r="AT172" i="9"/>
  <c r="U172" i="9"/>
  <c r="AU171" i="9"/>
  <c r="V171" i="9"/>
  <c r="AV170" i="9"/>
  <c r="W170" i="9"/>
  <c r="AW169" i="9"/>
  <c r="AK169" i="9"/>
  <c r="X169" i="9"/>
  <c r="AX168" i="9"/>
  <c r="AL168" i="9"/>
  <c r="Y168" i="9"/>
  <c r="AY167" i="9"/>
  <c r="AM167" i="9"/>
  <c r="Z167" i="9"/>
  <c r="AZ166" i="9"/>
  <c r="AN166" i="9"/>
  <c r="BA165" i="9"/>
  <c r="AO165" i="9"/>
  <c r="BB164" i="9"/>
  <c r="AP164" i="9"/>
  <c r="BC163" i="9"/>
  <c r="AQ163" i="9"/>
  <c r="BD162" i="9"/>
  <c r="AR162" i="9"/>
  <c r="BE161" i="9"/>
  <c r="AS161" i="9"/>
  <c r="AP174" i="9"/>
  <c r="BC173" i="9"/>
  <c r="BE172" i="9"/>
  <c r="AS172" i="9"/>
  <c r="AT171" i="9"/>
  <c r="U171" i="9"/>
  <c r="AU170" i="9"/>
  <c r="V170" i="9"/>
  <c r="AV169" i="9"/>
  <c r="W169" i="9"/>
  <c r="AW168" i="9"/>
  <c r="AK168" i="9"/>
  <c r="X168" i="9"/>
  <c r="AX167" i="9"/>
  <c r="AL167" i="9"/>
  <c r="Y167" i="9"/>
  <c r="AY166" i="9"/>
  <c r="AM166" i="9"/>
  <c r="Z166" i="9"/>
  <c r="AZ165" i="9"/>
  <c r="AN165" i="9"/>
  <c r="BA164" i="9"/>
  <c r="AO164" i="9"/>
  <c r="BB163" i="9"/>
  <c r="AP163" i="9"/>
  <c r="BC162" i="9"/>
  <c r="AQ162" i="9"/>
  <c r="BD161" i="9"/>
  <c r="AR161" i="9"/>
  <c r="AL174" i="9"/>
  <c r="BA173" i="9"/>
  <c r="BA172" i="9"/>
  <c r="AZ171" i="9"/>
  <c r="AY170" i="9"/>
  <c r="AX169" i="9"/>
  <c r="AV168" i="9"/>
  <c r="AV167" i="9"/>
  <c r="AV166" i="9"/>
  <c r="Y166" i="9"/>
  <c r="AV165" i="9"/>
  <c r="Y165" i="9"/>
  <c r="AU164" i="9"/>
  <c r="Y164" i="9"/>
  <c r="AT163" i="9"/>
  <c r="Y163" i="9"/>
  <c r="AS162" i="9"/>
  <c r="X162" i="9"/>
  <c r="AQ161" i="9"/>
  <c r="Y161" i="9"/>
  <c r="AW160" i="9"/>
  <c r="AK160" i="9"/>
  <c r="X160" i="9"/>
  <c r="AX159" i="9"/>
  <c r="AL159" i="9"/>
  <c r="Y159" i="9"/>
  <c r="AY158" i="9"/>
  <c r="AM158" i="9"/>
  <c r="Z158" i="9"/>
  <c r="AZ157" i="9"/>
  <c r="AN157" i="9"/>
  <c r="BA156" i="9"/>
  <c r="AO156" i="9"/>
  <c r="BB155" i="9"/>
  <c r="AP155" i="9"/>
  <c r="AZ173" i="9"/>
  <c r="AY172" i="9"/>
  <c r="AX171" i="9"/>
  <c r="AW170" i="9"/>
  <c r="AU169" i="9"/>
  <c r="AU168" i="9"/>
  <c r="Z168" i="9"/>
  <c r="AU167" i="9"/>
  <c r="X167" i="9"/>
  <c r="AU166" i="9"/>
  <c r="X166" i="9"/>
  <c r="AT165" i="9"/>
  <c r="X165" i="9"/>
  <c r="AS164" i="9"/>
  <c r="X164" i="9"/>
  <c r="AR163" i="9"/>
  <c r="W163" i="9"/>
  <c r="AP162" i="9"/>
  <c r="V162" i="9"/>
  <c r="AP161" i="9"/>
  <c r="W161" i="9"/>
  <c r="AV160" i="9"/>
  <c r="AY173" i="9"/>
  <c r="AW172" i="9"/>
  <c r="AV171" i="9"/>
  <c r="AT170" i="9"/>
  <c r="Z170" i="9"/>
  <c r="AT169" i="9"/>
  <c r="Y169" i="9"/>
  <c r="AT168" i="9"/>
  <c r="W168" i="9"/>
  <c r="AT167" i="9"/>
  <c r="W167" i="9"/>
  <c r="AS166" i="9"/>
  <c r="W166" i="9"/>
  <c r="AR165" i="9"/>
  <c r="W165" i="9"/>
  <c r="AQ164" i="9"/>
  <c r="V164" i="9"/>
  <c r="AO163" i="9"/>
  <c r="U163" i="9"/>
  <c r="AO162" i="9"/>
  <c r="AO161" i="9"/>
  <c r="U161" i="9"/>
  <c r="Z174" i="9"/>
  <c r="AW173" i="9"/>
  <c r="AU172" i="9"/>
  <c r="Z172" i="9"/>
  <c r="AS171" i="9"/>
  <c r="Y171" i="9"/>
  <c r="AS170" i="9"/>
  <c r="X170" i="9"/>
  <c r="AS169" i="9"/>
  <c r="V169" i="9"/>
  <c r="AS168" i="9"/>
  <c r="V168" i="9"/>
  <c r="AR167" i="9"/>
  <c r="V167" i="9"/>
  <c r="AQ166" i="9"/>
  <c r="V166" i="9"/>
  <c r="AP165" i="9"/>
  <c r="U165" i="9"/>
  <c r="AN164" i="9"/>
  <c r="AN163" i="9"/>
  <c r="AN162" i="9"/>
  <c r="AN161" i="9"/>
  <c r="AT160" i="9"/>
  <c r="U160" i="9"/>
  <c r="AU159" i="9"/>
  <c r="V159" i="9"/>
  <c r="AV158" i="9"/>
  <c r="W158" i="9"/>
  <c r="AW157" i="9"/>
  <c r="AK157" i="9"/>
  <c r="X157" i="9"/>
  <c r="AX156" i="9"/>
  <c r="AL156" i="9"/>
  <c r="Y156" i="9"/>
  <c r="AY155" i="9"/>
  <c r="AM155" i="9"/>
  <c r="Z155" i="9"/>
  <c r="W174" i="9"/>
  <c r="AQ173" i="9"/>
  <c r="AR172" i="9"/>
  <c r="X172" i="9"/>
  <c r="AR171" i="9"/>
  <c r="W171" i="9"/>
  <c r="AR170" i="9"/>
  <c r="U170" i="9"/>
  <c r="AR169" i="9"/>
  <c r="U169" i="9"/>
  <c r="AQ168" i="9"/>
  <c r="U168" i="9"/>
  <c r="AP167" i="9"/>
  <c r="U167" i="9"/>
  <c r="AO166" i="9"/>
  <c r="AM165" i="9"/>
  <c r="AM164" i="9"/>
  <c r="AM163" i="9"/>
  <c r="AM162" i="9"/>
  <c r="AL161" i="9"/>
  <c r="BE160" i="9"/>
  <c r="AS160" i="9"/>
  <c r="AT159" i="9"/>
  <c r="U159" i="9"/>
  <c r="AU158" i="9"/>
  <c r="V158" i="9"/>
  <c r="AV157" i="9"/>
  <c r="W157" i="9"/>
  <c r="AW156" i="9"/>
  <c r="AK156" i="9"/>
  <c r="X156" i="9"/>
  <c r="AX155" i="9"/>
  <c r="AL155" i="9"/>
  <c r="Y155" i="9"/>
  <c r="AN173" i="9"/>
  <c r="AQ172" i="9"/>
  <c r="V172" i="9"/>
  <c r="AQ171" i="9"/>
  <c r="AQ170" i="9"/>
  <c r="AP169" i="9"/>
  <c r="AO168" i="9"/>
  <c r="AN167" i="9"/>
  <c r="AL166" i="9"/>
  <c r="AL165" i="9"/>
  <c r="AL164" i="9"/>
  <c r="AL163" i="9"/>
  <c r="BE162" i="9"/>
  <c r="AK162" i="9"/>
  <c r="BC161" i="9"/>
  <c r="BD160" i="9"/>
  <c r="AR160" i="9"/>
  <c r="BE159" i="9"/>
  <c r="AS159" i="9"/>
  <c r="AT158" i="9"/>
  <c r="U158" i="9"/>
  <c r="AU157" i="9"/>
  <c r="V157" i="9"/>
  <c r="AV156" i="9"/>
  <c r="W156" i="9"/>
  <c r="AW155" i="9"/>
  <c r="AK155" i="9"/>
  <c r="X155" i="9"/>
  <c r="AX153" i="9"/>
  <c r="AK173" i="9"/>
  <c r="AP172" i="9"/>
  <c r="AP171" i="9"/>
  <c r="AO170" i="9"/>
  <c r="AN169" i="9"/>
  <c r="AM168" i="9"/>
  <c r="AK167" i="9"/>
  <c r="AK166" i="9"/>
  <c r="AK165" i="9"/>
  <c r="BE164" i="9"/>
  <c r="AK164" i="9"/>
  <c r="BD163" i="9"/>
  <c r="BB162" i="9"/>
  <c r="BB161" i="9"/>
  <c r="BC160" i="9"/>
  <c r="AQ160" i="9"/>
  <c r="BD159" i="9"/>
  <c r="AR159" i="9"/>
  <c r="BE158" i="9"/>
  <c r="AS158" i="9"/>
  <c r="AT157" i="9"/>
  <c r="U157" i="9"/>
  <c r="AU156" i="9"/>
  <c r="V156" i="9"/>
  <c r="AV155" i="9"/>
  <c r="W155" i="9"/>
  <c r="BB174" i="9"/>
  <c r="AO172" i="9"/>
  <c r="AN171" i="9"/>
  <c r="AM170" i="9"/>
  <c r="AL169" i="9"/>
  <c r="BE166" i="9"/>
  <c r="BD165" i="9"/>
  <c r="BC164" i="9"/>
  <c r="BA163" i="9"/>
  <c r="BA162" i="9"/>
  <c r="BA161" i="9"/>
  <c r="BB160" i="9"/>
  <c r="AP160" i="9"/>
  <c r="BC159" i="9"/>
  <c r="AQ159" i="9"/>
  <c r="BD158" i="9"/>
  <c r="AR158" i="9"/>
  <c r="BE157" i="9"/>
  <c r="AS157" i="9"/>
  <c r="AT156" i="9"/>
  <c r="U156" i="9"/>
  <c r="AU155" i="9"/>
  <c r="V155" i="9"/>
  <c r="AV153" i="9"/>
  <c r="AY174" i="9"/>
  <c r="AM172" i="9"/>
  <c r="BE171" i="9"/>
  <c r="AL171" i="9"/>
  <c r="BE170" i="9"/>
  <c r="AK170" i="9"/>
  <c r="BE169" i="9"/>
  <c r="BE168" i="9"/>
  <c r="BD167" i="9"/>
  <c r="BC166" i="9"/>
  <c r="BB165" i="9"/>
  <c r="AZ164" i="9"/>
  <c r="AZ163" i="9"/>
  <c r="AZ162" i="9"/>
  <c r="AZ161" i="9"/>
  <c r="BA160" i="9"/>
  <c r="AO160" i="9"/>
  <c r="BB159" i="9"/>
  <c r="AP159" i="9"/>
  <c r="BC158" i="9"/>
  <c r="AQ158" i="9"/>
  <c r="BD157" i="9"/>
  <c r="AV174" i="9"/>
  <c r="Z173" i="9"/>
  <c r="BD172" i="9"/>
  <c r="AK172" i="9"/>
  <c r="BD171" i="9"/>
  <c r="BD170" i="9"/>
  <c r="BD169" i="9"/>
  <c r="BC168" i="9"/>
  <c r="BB167" i="9"/>
  <c r="BA166" i="9"/>
  <c r="AY165" i="9"/>
  <c r="AY164" i="9"/>
  <c r="AY163" i="9"/>
  <c r="AY162" i="9"/>
  <c r="AX161" i="9"/>
  <c r="AZ160" i="9"/>
  <c r="AN160" i="9"/>
  <c r="BA159" i="9"/>
  <c r="AO159" i="9"/>
  <c r="BB158" i="9"/>
  <c r="AP158" i="9"/>
  <c r="BC157" i="9"/>
  <c r="AQ157" i="9"/>
  <c r="BD156" i="9"/>
  <c r="AR156" i="9"/>
  <c r="BE155" i="9"/>
  <c r="AS155" i="9"/>
  <c r="AN174" i="9"/>
  <c r="X173" i="9"/>
  <c r="BC172" i="9"/>
  <c r="BC171" i="9"/>
  <c r="BC170" i="9"/>
  <c r="BB169" i="9"/>
  <c r="BA168" i="9"/>
  <c r="AZ167" i="9"/>
  <c r="AX166" i="9"/>
  <c r="AX165" i="9"/>
  <c r="AX164" i="9"/>
  <c r="AX163" i="9"/>
  <c r="AW162" i="9"/>
  <c r="AV161" i="9"/>
  <c r="AY160" i="9"/>
  <c r="AM160" i="9"/>
  <c r="Z160" i="9"/>
  <c r="AZ159" i="9"/>
  <c r="AN159" i="9"/>
  <c r="BA158" i="9"/>
  <c r="AO158" i="9"/>
  <c r="BB157" i="9"/>
  <c r="AP157" i="9"/>
  <c r="AM174" i="9"/>
  <c r="BB172" i="9"/>
  <c r="BB171" i="9"/>
  <c r="BA170" i="9"/>
  <c r="AZ169" i="9"/>
  <c r="AY168" i="9"/>
  <c r="Z165" i="9"/>
  <c r="Z161" i="9"/>
  <c r="X159" i="9"/>
  <c r="AL158" i="9"/>
  <c r="AY157" i="9"/>
  <c r="AY156" i="9"/>
  <c r="BA155" i="9"/>
  <c r="U155" i="9"/>
  <c r="AT153" i="9"/>
  <c r="U153" i="9"/>
  <c r="I153" i="9"/>
  <c r="AU152" i="9"/>
  <c r="V152" i="9"/>
  <c r="J152" i="9"/>
  <c r="AU160" i="9"/>
  <c r="X158" i="9"/>
  <c r="AM157" i="9"/>
  <c r="AN156" i="9"/>
  <c r="AQ155" i="9"/>
  <c r="BD153" i="9"/>
  <c r="AP153" i="9"/>
  <c r="E153" i="9"/>
  <c r="BC152" i="9"/>
  <c r="AQ152" i="9"/>
  <c r="F152" i="9"/>
  <c r="AV159" i="9"/>
  <c r="BA153" i="9"/>
  <c r="AM153" i="9"/>
  <c r="Z153" i="9"/>
  <c r="N153" i="9"/>
  <c r="AZ152" i="9"/>
  <c r="AN152" i="9"/>
  <c r="O152" i="9"/>
  <c r="C152" i="9"/>
  <c r="V160" i="9"/>
  <c r="AW158" i="9"/>
  <c r="BB156" i="9"/>
  <c r="Z156" i="9"/>
  <c r="BD155" i="9"/>
  <c r="AW153" i="9"/>
  <c r="W153" i="9"/>
  <c r="AW152" i="9"/>
  <c r="AK152" i="9"/>
  <c r="X152" i="9"/>
  <c r="AV163" i="9"/>
  <c r="BA157" i="9"/>
  <c r="AO155" i="9"/>
  <c r="AO153" i="9"/>
  <c r="V153" i="9"/>
  <c r="D153" i="9"/>
  <c r="AX152" i="9"/>
  <c r="M152" i="9"/>
  <c r="Z163" i="9"/>
  <c r="AX157" i="9"/>
  <c r="AN155" i="9"/>
  <c r="AN153" i="9"/>
  <c r="C153" i="9"/>
  <c r="AV152" i="9"/>
  <c r="AU162" i="9"/>
  <c r="AZ158" i="9"/>
  <c r="AR157" i="9"/>
  <c r="BE156" i="9"/>
  <c r="AL153" i="9"/>
  <c r="AT152" i="9"/>
  <c r="I152" i="9"/>
  <c r="Z162" i="9"/>
  <c r="AX158" i="9"/>
  <c r="AO157" i="9"/>
  <c r="BC156" i="9"/>
  <c r="BE153" i="9"/>
  <c r="AK153" i="9"/>
  <c r="AS152" i="9"/>
  <c r="Z152" i="9"/>
  <c r="H152" i="9"/>
  <c r="AW167" i="9"/>
  <c r="AT161" i="9"/>
  <c r="AY159" i="9"/>
  <c r="AN158" i="9"/>
  <c r="AL157" i="9"/>
  <c r="AZ156" i="9"/>
  <c r="BC153" i="9"/>
  <c r="P153" i="9"/>
  <c r="AR152" i="9"/>
  <c r="Y152" i="9"/>
  <c r="G152" i="9"/>
  <c r="AW159" i="9"/>
  <c r="AK158" i="9"/>
  <c r="AS156" i="9"/>
  <c r="BB153" i="9"/>
  <c r="O153" i="9"/>
  <c r="AP152" i="9"/>
  <c r="W152" i="9"/>
  <c r="E152" i="9"/>
  <c r="AW166" i="9"/>
  <c r="AM159" i="9"/>
  <c r="Z157" i="9"/>
  <c r="AQ156" i="9"/>
  <c r="AZ153" i="9"/>
  <c r="M153" i="9"/>
  <c r="AO152" i="9"/>
  <c r="U152" i="9"/>
  <c r="D152" i="9"/>
  <c r="AX160" i="9"/>
  <c r="AK159" i="9"/>
  <c r="Y158" i="9"/>
  <c r="Y157" i="9"/>
  <c r="AP156" i="9"/>
  <c r="AY153" i="9"/>
  <c r="BE152" i="9"/>
  <c r="AM152" i="9"/>
  <c r="AW165" i="9"/>
  <c r="AL160" i="9"/>
  <c r="Z159" i="9"/>
  <c r="AM156" i="9"/>
  <c r="BC155" i="9"/>
  <c r="AU153" i="9"/>
  <c r="J153" i="9"/>
  <c r="BD152" i="9"/>
  <c r="AL152" i="9"/>
  <c r="B146" i="9"/>
  <c r="W159" i="9"/>
  <c r="AZ155" i="9"/>
  <c r="AS153" i="9"/>
  <c r="H153" i="9"/>
  <c r="BB152" i="9"/>
  <c r="AW164" i="9"/>
  <c r="Y160" i="9"/>
  <c r="AT155" i="9"/>
  <c r="AR153" i="9"/>
  <c r="Y153" i="9"/>
  <c r="G153" i="9"/>
  <c r="BA152" i="9"/>
  <c r="P152" i="9"/>
  <c r="Z164" i="9"/>
  <c r="W160" i="9"/>
  <c r="AR155" i="9"/>
  <c r="AQ153" i="9"/>
  <c r="X153" i="9"/>
  <c r="F153" i="9"/>
  <c r="AY152" i="9"/>
  <c r="N152" i="9"/>
  <c r="A178" i="9"/>
  <c r="M93" i="9"/>
  <c r="M98" i="9"/>
  <c r="M109" i="9"/>
  <c r="M96" i="9"/>
  <c r="M106" i="9"/>
  <c r="M94" i="9"/>
  <c r="M101" i="9"/>
  <c r="M99" i="9"/>
  <c r="M110" i="9"/>
  <c r="M97" i="9"/>
  <c r="M95" i="9"/>
  <c r="M92" i="9"/>
  <c r="M104" i="9"/>
  <c r="M102" i="9"/>
  <c r="M105" i="9"/>
  <c r="M108" i="9"/>
  <c r="M107" i="9"/>
  <c r="M100" i="9"/>
  <c r="M91" i="9"/>
  <c r="M103" i="9"/>
  <c r="AT112" i="9"/>
  <c r="AW112" i="9"/>
  <c r="O91" i="9"/>
  <c r="O92" i="9"/>
  <c r="O99" i="9"/>
  <c r="O96" i="9"/>
  <c r="O106" i="9"/>
  <c r="O94" i="9"/>
  <c r="O104" i="9"/>
  <c r="O95" i="9"/>
  <c r="O93" i="9"/>
  <c r="O105" i="9"/>
  <c r="O102" i="9"/>
  <c r="O100" i="9"/>
  <c r="O103" i="9"/>
  <c r="O108" i="9"/>
  <c r="O107" i="9"/>
  <c r="O110" i="9"/>
  <c r="O98" i="9"/>
  <c r="O101" i="9"/>
  <c r="O97" i="9"/>
  <c r="O109" i="9"/>
  <c r="AE35" i="9"/>
  <c r="BO100" i="9" s="1"/>
  <c r="K44" i="19"/>
  <c r="K29" i="19"/>
  <c r="C123" i="9"/>
  <c r="C138" i="9"/>
  <c r="C132" i="9"/>
  <c r="C129" i="9"/>
  <c r="C124" i="9"/>
  <c r="C137" i="9"/>
  <c r="C140" i="9"/>
  <c r="C126" i="9"/>
  <c r="C131" i="9"/>
  <c r="C142" i="9"/>
  <c r="C125" i="9"/>
  <c r="C141" i="9"/>
  <c r="C127" i="9"/>
  <c r="C139" i="9"/>
  <c r="C130" i="9"/>
  <c r="C133" i="9"/>
  <c r="C128" i="9"/>
  <c r="C135" i="9"/>
  <c r="C136" i="9"/>
  <c r="C134" i="9"/>
  <c r="AD39" i="9"/>
  <c r="E123" i="8"/>
  <c r="G120" i="8"/>
  <c r="E135" i="8"/>
  <c r="E134" i="8"/>
  <c r="E131" i="8"/>
  <c r="E130" i="8"/>
  <c r="E128" i="8"/>
  <c r="E127" i="8"/>
  <c r="E142" i="8"/>
  <c r="E133" i="8"/>
  <c r="E132" i="8"/>
  <c r="E140" i="8"/>
  <c r="E139" i="8"/>
  <c r="E138" i="8"/>
  <c r="E126" i="8"/>
  <c r="E137" i="8"/>
  <c r="E125" i="8"/>
  <c r="E136" i="8"/>
  <c r="E124" i="8"/>
  <c r="E141" i="8"/>
  <c r="E129" i="8"/>
  <c r="Q29" i="9"/>
  <c r="AA29" i="9" s="1"/>
  <c r="AB29" i="9" s="1"/>
  <c r="BO26" i="9" s="1"/>
  <c r="N103" i="7"/>
  <c r="N107" i="7"/>
  <c r="F138" i="7"/>
  <c r="F127" i="7"/>
  <c r="F132" i="7"/>
  <c r="F136" i="7"/>
  <c r="F129" i="7"/>
  <c r="F134" i="7"/>
  <c r="F141" i="7"/>
  <c r="F131" i="7"/>
  <c r="F124" i="7"/>
  <c r="F137" i="7"/>
  <c r="F139" i="7"/>
  <c r="F133" i="7"/>
  <c r="F126" i="7"/>
  <c r="F142" i="7"/>
  <c r="F123" i="7"/>
  <c r="F135" i="7"/>
  <c r="F128" i="7"/>
  <c r="F140" i="7"/>
  <c r="F125" i="7"/>
  <c r="F130" i="7"/>
  <c r="Z48" i="19"/>
  <c r="AD32" i="9"/>
  <c r="Q71" i="8"/>
  <c r="Y98" i="8" s="1"/>
  <c r="R73" i="16"/>
  <c r="W106" i="16" s="1"/>
  <c r="L73" i="16"/>
  <c r="AG43" i="9"/>
  <c r="Q76" i="8"/>
  <c r="Y103" i="8" s="1"/>
  <c r="Q62" i="8"/>
  <c r="Y89" i="8" s="1"/>
  <c r="K62" i="9"/>
  <c r="K75" i="9"/>
  <c r="Q69" i="16"/>
  <c r="W68" i="16" s="1"/>
  <c r="K69" i="16"/>
  <c r="S126" i="16"/>
  <c r="I137" i="16"/>
  <c r="I139" i="16"/>
  <c r="I140" i="16"/>
  <c r="I138" i="16"/>
  <c r="I131" i="16"/>
  <c r="I142" i="16"/>
  <c r="I135" i="16"/>
  <c r="I132" i="16"/>
  <c r="I134" i="16"/>
  <c r="I130" i="16"/>
  <c r="I133" i="16"/>
  <c r="I148" i="16"/>
  <c r="I145" i="16"/>
  <c r="I136" i="16"/>
  <c r="I146" i="16"/>
  <c r="I147" i="16"/>
  <c r="I144" i="16"/>
  <c r="I143" i="16"/>
  <c r="I129" i="16"/>
  <c r="I141" i="16"/>
  <c r="AJ33" i="9"/>
  <c r="BO268" i="9" s="1"/>
  <c r="M155" i="8"/>
  <c r="M165" i="8"/>
  <c r="M157" i="8"/>
  <c r="M156" i="8"/>
  <c r="M162" i="8"/>
  <c r="M174" i="8"/>
  <c r="M166" i="8"/>
  <c r="M164" i="8"/>
  <c r="M173" i="8"/>
  <c r="M170" i="8"/>
  <c r="M167" i="8"/>
  <c r="M158" i="8"/>
  <c r="M168" i="8"/>
  <c r="M163" i="8"/>
  <c r="M161" i="8"/>
  <c r="M169" i="8"/>
  <c r="M172" i="8"/>
  <c r="M171" i="8"/>
  <c r="M160" i="8"/>
  <c r="M159" i="8"/>
  <c r="M68" i="7"/>
  <c r="M63" i="7"/>
  <c r="Q34" i="9"/>
  <c r="AA34" i="9" s="1"/>
  <c r="AB34" i="9" s="1"/>
  <c r="BO31" i="9" s="1"/>
  <c r="Q101" i="8"/>
  <c r="Z96" i="8" s="1"/>
  <c r="Q105" i="8"/>
  <c r="Z100" i="8" s="1"/>
  <c r="AJ31" i="9"/>
  <c r="L74" i="9"/>
  <c r="L64" i="9"/>
  <c r="F101" i="9"/>
  <c r="F91" i="9"/>
  <c r="F105" i="9"/>
  <c r="F96" i="9"/>
  <c r="F93" i="9"/>
  <c r="F103" i="9"/>
  <c r="F107" i="9"/>
  <c r="F95" i="9"/>
  <c r="F98" i="9"/>
  <c r="F110" i="9"/>
  <c r="F94" i="9"/>
  <c r="F106" i="9"/>
  <c r="F92" i="9"/>
  <c r="F104" i="9"/>
  <c r="F108" i="9"/>
  <c r="F109" i="9"/>
  <c r="F102" i="9"/>
  <c r="F99" i="9"/>
  <c r="F97" i="9"/>
  <c r="F100" i="9"/>
  <c r="AR112" i="9"/>
  <c r="AU112" i="9"/>
  <c r="N92" i="9"/>
  <c r="N95" i="9"/>
  <c r="N105" i="9"/>
  <c r="N108" i="9"/>
  <c r="N93" i="9"/>
  <c r="N100" i="9"/>
  <c r="N97" i="9"/>
  <c r="N98" i="9"/>
  <c r="N107" i="9"/>
  <c r="N96" i="9"/>
  <c r="N109" i="9"/>
  <c r="N94" i="9"/>
  <c r="N106" i="9"/>
  <c r="N91" i="9"/>
  <c r="N103" i="9"/>
  <c r="N101" i="9"/>
  <c r="N104" i="9"/>
  <c r="N99" i="9"/>
  <c r="N102" i="9"/>
  <c r="N110" i="9"/>
  <c r="AD41" i="9"/>
  <c r="AJ35" i="9"/>
  <c r="BO270" i="9" s="1"/>
  <c r="K39" i="19"/>
  <c r="K34" i="19"/>
  <c r="AL144" i="9"/>
  <c r="G129" i="9"/>
  <c r="G124" i="9"/>
  <c r="G125" i="9"/>
  <c r="G130" i="9"/>
  <c r="G135" i="9"/>
  <c r="G138" i="9"/>
  <c r="G136" i="9"/>
  <c r="G139" i="9"/>
  <c r="G123" i="9"/>
  <c r="G126" i="9"/>
  <c r="G131" i="9"/>
  <c r="G134" i="9"/>
  <c r="G142" i="9"/>
  <c r="G133" i="9"/>
  <c r="G141" i="9"/>
  <c r="G140" i="9"/>
  <c r="G128" i="9"/>
  <c r="G132" i="9"/>
  <c r="G127" i="9"/>
  <c r="G137" i="9"/>
  <c r="AP144" i="9"/>
  <c r="AK144" i="9"/>
  <c r="R77" i="16"/>
  <c r="W110" i="16" s="1"/>
  <c r="L77" i="16"/>
  <c r="AI39" i="9"/>
  <c r="F140" i="8"/>
  <c r="F139" i="8"/>
  <c r="F138" i="8"/>
  <c r="F137" i="8"/>
  <c r="F136" i="8"/>
  <c r="F135" i="8"/>
  <c r="F133" i="8"/>
  <c r="F132" i="8"/>
  <c r="F128" i="8"/>
  <c r="F127" i="8"/>
  <c r="F126" i="8"/>
  <c r="F125" i="8"/>
  <c r="F123" i="8"/>
  <c r="F124" i="8"/>
  <c r="H120" i="8"/>
  <c r="F142" i="8"/>
  <c r="F134" i="8"/>
  <c r="F131" i="8"/>
  <c r="F130" i="8"/>
  <c r="F141" i="8"/>
  <c r="F129" i="8"/>
  <c r="AE29" i="9"/>
  <c r="N91" i="7"/>
  <c r="N95" i="7"/>
  <c r="S57" i="8"/>
  <c r="T57" i="8" s="1"/>
  <c r="N120" i="7"/>
  <c r="Z46" i="19"/>
  <c r="AF32" i="9"/>
  <c r="AH30" i="9"/>
  <c r="S70" i="9"/>
  <c r="S74" i="9"/>
  <c r="R68" i="16"/>
  <c r="W101" i="16" s="1"/>
  <c r="L68" i="16"/>
  <c r="AE43" i="9"/>
  <c r="M110" i="7"/>
  <c r="Q68" i="8"/>
  <c r="Y95" i="8" s="1"/>
  <c r="Q67" i="8"/>
  <c r="Y94" i="8" s="1"/>
  <c r="K59" i="9"/>
  <c r="Q59" i="9" s="1"/>
  <c r="K78" i="9"/>
  <c r="Q78" i="9" s="1"/>
  <c r="Q28" i="9"/>
  <c r="AA28" i="9" s="1"/>
  <c r="AB28" i="9" s="1"/>
  <c r="BO25" i="9" s="1"/>
  <c r="R127" i="16"/>
  <c r="AD33" i="9"/>
  <c r="F156" i="8"/>
  <c r="F155" i="8"/>
  <c r="H152" i="8"/>
  <c r="F162" i="8"/>
  <c r="F174" i="8"/>
  <c r="F161" i="8"/>
  <c r="F160" i="8"/>
  <c r="F168" i="8"/>
  <c r="F171" i="8"/>
  <c r="F159" i="8"/>
  <c r="F170" i="8"/>
  <c r="F164" i="8"/>
  <c r="F163" i="8"/>
  <c r="F169" i="8"/>
  <c r="F167" i="8"/>
  <c r="F165" i="8"/>
  <c r="F157" i="8"/>
  <c r="F158" i="8"/>
  <c r="F166" i="8"/>
  <c r="F173" i="8"/>
  <c r="F172" i="8"/>
  <c r="O155" i="8"/>
  <c r="O167" i="8"/>
  <c r="O159" i="8"/>
  <c r="O168" i="8"/>
  <c r="O171" i="8"/>
  <c r="O156" i="8"/>
  <c r="O174" i="8"/>
  <c r="O173" i="8"/>
  <c r="O165" i="8"/>
  <c r="O161" i="8"/>
  <c r="O160" i="8"/>
  <c r="O166" i="8"/>
  <c r="O170" i="8"/>
  <c r="O169" i="8"/>
  <c r="O162" i="8"/>
  <c r="O163" i="8"/>
  <c r="O158" i="8"/>
  <c r="O157" i="8"/>
  <c r="O164" i="8"/>
  <c r="O172" i="8"/>
  <c r="N170" i="8"/>
  <c r="N157" i="8"/>
  <c r="N159" i="8"/>
  <c r="N158" i="8"/>
  <c r="N162" i="8"/>
  <c r="N174" i="8"/>
  <c r="N171" i="8"/>
  <c r="N166" i="8"/>
  <c r="N167" i="8"/>
  <c r="N155" i="8"/>
  <c r="N165" i="8"/>
  <c r="N164" i="8"/>
  <c r="N173" i="8"/>
  <c r="N161" i="8"/>
  <c r="N163" i="8"/>
  <c r="N169" i="8"/>
  <c r="N160" i="8"/>
  <c r="N168" i="8"/>
  <c r="N172" i="8"/>
  <c r="N156" i="8"/>
  <c r="AI37" i="9"/>
  <c r="M60" i="7"/>
  <c r="AG34" i="9"/>
  <c r="T73" i="9"/>
  <c r="Q108" i="8"/>
  <c r="Z103" i="8" s="1"/>
  <c r="Q91" i="8"/>
  <c r="Z86" i="8" s="1"/>
  <c r="AH31" i="9"/>
  <c r="L61" i="9"/>
  <c r="R61" i="9" s="1"/>
  <c r="H107" i="9"/>
  <c r="H101" i="9"/>
  <c r="H91" i="9"/>
  <c r="H109" i="9"/>
  <c r="H99" i="9"/>
  <c r="H110" i="9"/>
  <c r="H108" i="9"/>
  <c r="H106" i="9"/>
  <c r="H103" i="9"/>
  <c r="H94" i="9"/>
  <c r="H93" i="9"/>
  <c r="H105" i="9"/>
  <c r="H96" i="9"/>
  <c r="H92" i="9"/>
  <c r="H104" i="9"/>
  <c r="H102" i="9"/>
  <c r="H100" i="9"/>
  <c r="H97" i="9"/>
  <c r="H95" i="9"/>
  <c r="H98" i="9"/>
  <c r="J101" i="9"/>
  <c r="J92" i="9"/>
  <c r="J99" i="9"/>
  <c r="J97" i="9"/>
  <c r="J104" i="9"/>
  <c r="J110" i="9"/>
  <c r="J108" i="9"/>
  <c r="J102" i="9"/>
  <c r="J107" i="9"/>
  <c r="J109" i="9"/>
  <c r="J100" i="9"/>
  <c r="J98" i="9"/>
  <c r="J95" i="9"/>
  <c r="J93" i="9"/>
  <c r="J105" i="9"/>
  <c r="J96" i="9"/>
  <c r="J91" i="9"/>
  <c r="J103" i="9"/>
  <c r="J94" i="9"/>
  <c r="J106" i="9"/>
  <c r="I98" i="9"/>
  <c r="I105" i="9"/>
  <c r="I102" i="9"/>
  <c r="I93" i="9"/>
  <c r="I100" i="9"/>
  <c r="I92" i="9"/>
  <c r="I104" i="9"/>
  <c r="I95" i="9"/>
  <c r="I110" i="9"/>
  <c r="I91" i="9"/>
  <c r="I103" i="9"/>
  <c r="I101" i="9"/>
  <c r="I99" i="9"/>
  <c r="I109" i="9"/>
  <c r="I96" i="9"/>
  <c r="I107" i="9"/>
  <c r="I94" i="9"/>
  <c r="I106" i="9"/>
  <c r="I97" i="9"/>
  <c r="I108" i="9"/>
  <c r="BD112" i="9"/>
  <c r="AH41" i="9"/>
  <c r="AH35" i="9"/>
  <c r="K40" i="19"/>
  <c r="K48" i="19"/>
  <c r="BB144" i="9"/>
  <c r="H132" i="9"/>
  <c r="H133" i="9"/>
  <c r="H136" i="9"/>
  <c r="H135" i="9"/>
  <c r="H134" i="9"/>
  <c r="H124" i="9"/>
  <c r="H140" i="9"/>
  <c r="H125" i="9"/>
  <c r="H142" i="9"/>
  <c r="H127" i="9"/>
  <c r="H123" i="9"/>
  <c r="H139" i="9"/>
  <c r="H128" i="9"/>
  <c r="H130" i="9"/>
  <c r="H138" i="9"/>
  <c r="H141" i="9"/>
  <c r="H131" i="9"/>
  <c r="H126" i="9"/>
  <c r="H129" i="9"/>
  <c r="H137" i="9"/>
  <c r="AQ144" i="9"/>
  <c r="AW144" i="9"/>
  <c r="AH39" i="9"/>
  <c r="L185" i="8"/>
  <c r="F184" i="8"/>
  <c r="J185" i="8"/>
  <c r="E184" i="8"/>
  <c r="I185" i="8"/>
  <c r="D184" i="8"/>
  <c r="O184" i="8"/>
  <c r="C184" i="8"/>
  <c r="N184" i="8"/>
  <c r="F185" i="8"/>
  <c r="M184" i="8"/>
  <c r="I180" i="8"/>
  <c r="E185" i="8"/>
  <c r="L184" i="8"/>
  <c r="B178" i="8"/>
  <c r="D185" i="8"/>
  <c r="O185" i="8"/>
  <c r="C185" i="8"/>
  <c r="J184" i="8"/>
  <c r="N185" i="8"/>
  <c r="I184" i="8"/>
  <c r="M185" i="8"/>
  <c r="Q121" i="8"/>
  <c r="P57" i="7"/>
  <c r="Q57" i="7" s="1"/>
  <c r="R57" i="7" s="1"/>
  <c r="AG29" i="9"/>
  <c r="N102" i="7"/>
  <c r="N106" i="7"/>
  <c r="Z35" i="19"/>
  <c r="Z34" i="19"/>
  <c r="AJ32" i="9"/>
  <c r="BO267" i="9" s="1"/>
  <c r="AF30" i="9"/>
  <c r="BH30" i="9" s="1"/>
  <c r="BO367" i="9" s="1"/>
  <c r="S75" i="9"/>
  <c r="S64" i="9"/>
  <c r="R70" i="16"/>
  <c r="W103" i="16" s="1"/>
  <c r="L70" i="16"/>
  <c r="AF43" i="9"/>
  <c r="M102" i="7"/>
  <c r="Q73" i="8"/>
  <c r="Y100" i="8" s="1"/>
  <c r="Q63" i="8"/>
  <c r="Y90" i="8" s="1"/>
  <c r="K67" i="9"/>
  <c r="Q67" i="9" s="1"/>
  <c r="K72" i="9"/>
  <c r="Q72" i="9" s="1"/>
  <c r="Q66" i="16"/>
  <c r="W65" i="16" s="1"/>
  <c r="K66" i="16"/>
  <c r="AG28" i="9"/>
  <c r="AG33" i="9"/>
  <c r="AD37" i="9"/>
  <c r="M75" i="7"/>
  <c r="AI36" i="9"/>
  <c r="T61" i="9"/>
  <c r="Q96" i="8"/>
  <c r="Z91" i="8" s="1"/>
  <c r="P96" i="8"/>
  <c r="Q92" i="8"/>
  <c r="Z87" i="8" s="1"/>
  <c r="AG31" i="9"/>
  <c r="L78" i="9"/>
  <c r="R78" i="9" s="1"/>
  <c r="L88" i="9"/>
  <c r="AM112" i="9"/>
  <c r="AF41" i="9"/>
  <c r="AD35" i="9"/>
  <c r="K47" i="19"/>
  <c r="K35" i="19"/>
  <c r="O123" i="9"/>
  <c r="S123" i="9" s="1"/>
  <c r="O134" i="9"/>
  <c r="S134" i="9" s="1"/>
  <c r="O132" i="9"/>
  <c r="O129" i="9"/>
  <c r="O133" i="9"/>
  <c r="O142" i="9"/>
  <c r="O140" i="9"/>
  <c r="O126" i="9"/>
  <c r="O141" i="9"/>
  <c r="S141" i="9" s="1"/>
  <c r="O138" i="9"/>
  <c r="S138" i="9" s="1"/>
  <c r="O139" i="9"/>
  <c r="O125" i="9"/>
  <c r="O127" i="9"/>
  <c r="O137" i="9"/>
  <c r="O128" i="9"/>
  <c r="O124" i="9"/>
  <c r="O130" i="9"/>
  <c r="O135" i="9"/>
  <c r="O136" i="9"/>
  <c r="O131" i="9"/>
  <c r="AU144" i="9"/>
  <c r="N123" i="9"/>
  <c r="N137" i="9"/>
  <c r="N135" i="9"/>
  <c r="N130" i="9"/>
  <c r="N139" i="9"/>
  <c r="N138" i="9"/>
  <c r="N142" i="9"/>
  <c r="N141" i="9"/>
  <c r="N132" i="9"/>
  <c r="N140" i="9"/>
  <c r="N127" i="9"/>
  <c r="N131" i="9"/>
  <c r="N129" i="9"/>
  <c r="N125" i="9"/>
  <c r="N126" i="9"/>
  <c r="N136" i="9"/>
  <c r="N128" i="9"/>
  <c r="N134" i="9"/>
  <c r="N124" i="9"/>
  <c r="N133" i="9"/>
  <c r="AE39" i="9"/>
  <c r="AJ29" i="9"/>
  <c r="BO264" i="9" s="1"/>
  <c r="N101" i="7"/>
  <c r="N94" i="7"/>
  <c r="I126" i="7"/>
  <c r="I134" i="7"/>
  <c r="I127" i="7"/>
  <c r="I136" i="7"/>
  <c r="I142" i="7"/>
  <c r="I128" i="7"/>
  <c r="I138" i="7"/>
  <c r="I129" i="7"/>
  <c r="I135" i="7"/>
  <c r="I130" i="7"/>
  <c r="I123" i="7"/>
  <c r="I131" i="7"/>
  <c r="I137" i="7"/>
  <c r="I139" i="7"/>
  <c r="I124" i="7"/>
  <c r="I132" i="7"/>
  <c r="I140" i="7"/>
  <c r="I125" i="7"/>
  <c r="I133" i="7"/>
  <c r="I141" i="7"/>
  <c r="K130" i="7"/>
  <c r="K123" i="7"/>
  <c r="K141" i="7"/>
  <c r="K132" i="7"/>
  <c r="K125" i="7"/>
  <c r="K139" i="7"/>
  <c r="K134" i="7"/>
  <c r="K135" i="7"/>
  <c r="K127" i="7"/>
  <c r="K136" i="7"/>
  <c r="K137" i="7"/>
  <c r="K124" i="7"/>
  <c r="K129" i="7"/>
  <c r="K140" i="7"/>
  <c r="K126" i="7"/>
  <c r="K138" i="7"/>
  <c r="K131" i="7"/>
  <c r="K142" i="7"/>
  <c r="K133" i="7"/>
  <c r="K128" i="7"/>
  <c r="Z44" i="19"/>
  <c r="Z37" i="19"/>
  <c r="AG30" i="9"/>
  <c r="Q30" i="9"/>
  <c r="AA30" i="9" s="1"/>
  <c r="AB30" i="9" s="1"/>
  <c r="BO27" i="9" s="1"/>
  <c r="S67" i="9"/>
  <c r="AH43" i="9"/>
  <c r="M94" i="7"/>
  <c r="Q77" i="8"/>
  <c r="Y104" i="8" s="1"/>
  <c r="P77" i="8"/>
  <c r="Q64" i="8"/>
  <c r="Y91" i="8" s="1"/>
  <c r="K68" i="9"/>
  <c r="Q68" i="16"/>
  <c r="W67" i="16" s="1"/>
  <c r="K68" i="16"/>
  <c r="AF28" i="9"/>
  <c r="L81" i="16"/>
  <c r="Q127" i="16"/>
  <c r="AE37" i="9"/>
  <c r="M67" i="7"/>
  <c r="Q36" i="9"/>
  <c r="AA36" i="9" s="1"/>
  <c r="AB36" i="9" s="1"/>
  <c r="BO33" i="9" s="1"/>
  <c r="T66" i="9"/>
  <c r="T71" i="9"/>
  <c r="Q109" i="8"/>
  <c r="Z104" i="8" s="1"/>
  <c r="Q93" i="8"/>
  <c r="Z88" i="8" s="1"/>
  <c r="Q31" i="9"/>
  <c r="AA31" i="9" s="1"/>
  <c r="AB31" i="9" s="1"/>
  <c r="BO28" i="9" s="1"/>
  <c r="L66" i="9"/>
  <c r="R66" i="9" s="1"/>
  <c r="S89" i="9"/>
  <c r="AY112" i="9"/>
  <c r="AE41" i="9"/>
  <c r="AG35" i="9"/>
  <c r="H152" i="7"/>
  <c r="G152" i="7"/>
  <c r="L153" i="7"/>
  <c r="F152" i="7"/>
  <c r="K153" i="7"/>
  <c r="E152" i="7"/>
  <c r="J153" i="7"/>
  <c r="D152" i="7"/>
  <c r="H153" i="7"/>
  <c r="O153" i="7" s="1"/>
  <c r="K153" i="8" s="1"/>
  <c r="R153" i="8" s="1"/>
  <c r="G153" i="7"/>
  <c r="O148" i="7"/>
  <c r="F153" i="7"/>
  <c r="L152" i="7"/>
  <c r="G148" i="7"/>
  <c r="D153" i="7"/>
  <c r="C153" i="7"/>
  <c r="K152" i="7"/>
  <c r="J152" i="7"/>
  <c r="I152" i="7"/>
  <c r="C152" i="7"/>
  <c r="B146" i="7"/>
  <c r="E153" i="7"/>
  <c r="I153" i="7"/>
  <c r="O10" i="7"/>
  <c r="K41" i="19"/>
  <c r="K36" i="19"/>
  <c r="AZ144" i="9"/>
  <c r="AD38" i="9"/>
  <c r="J136" i="8"/>
  <c r="J135" i="8"/>
  <c r="J134" i="8"/>
  <c r="J133" i="8"/>
  <c r="J132" i="8"/>
  <c r="J131" i="8"/>
  <c r="J129" i="8"/>
  <c r="J128" i="8"/>
  <c r="J124" i="8"/>
  <c r="J123" i="8"/>
  <c r="J141" i="8"/>
  <c r="J140" i="8"/>
  <c r="J139" i="8"/>
  <c r="J127" i="8"/>
  <c r="J138" i="8"/>
  <c r="J126" i="8"/>
  <c r="J137" i="8"/>
  <c r="J125" i="8"/>
  <c r="J142" i="8"/>
  <c r="J130" i="8"/>
  <c r="AI42" i="9"/>
  <c r="AF29" i="9"/>
  <c r="N100" i="7"/>
  <c r="C127" i="7"/>
  <c r="C135" i="7"/>
  <c r="C128" i="7"/>
  <c r="C137" i="7"/>
  <c r="C129" i="7"/>
  <c r="C138" i="7"/>
  <c r="C130" i="7"/>
  <c r="C142" i="7"/>
  <c r="C123" i="7"/>
  <c r="C131" i="7"/>
  <c r="C140" i="7"/>
  <c r="C124" i="7"/>
  <c r="C132" i="7"/>
  <c r="C139" i="7"/>
  <c r="C125" i="7"/>
  <c r="C133" i="7"/>
  <c r="C136" i="7"/>
  <c r="C134" i="7"/>
  <c r="C141" i="7"/>
  <c r="C126" i="7"/>
  <c r="O120" i="7"/>
  <c r="H125" i="7"/>
  <c r="H142" i="7"/>
  <c r="H126" i="7"/>
  <c r="H127" i="7"/>
  <c r="H140" i="7"/>
  <c r="H129" i="7"/>
  <c r="H138" i="7"/>
  <c r="H131" i="7"/>
  <c r="H136" i="7"/>
  <c r="H134" i="7"/>
  <c r="H124" i="7"/>
  <c r="H133" i="7"/>
  <c r="H130" i="7"/>
  <c r="H141" i="7"/>
  <c r="H128" i="7"/>
  <c r="H139" i="7"/>
  <c r="H137" i="7"/>
  <c r="H135" i="7"/>
  <c r="H132" i="7"/>
  <c r="H123" i="7"/>
  <c r="Z33" i="19"/>
  <c r="Z47" i="19"/>
  <c r="M69" i="16"/>
  <c r="R126" i="16"/>
  <c r="G136" i="16"/>
  <c r="G139" i="16"/>
  <c r="G134" i="16"/>
  <c r="G135" i="16"/>
  <c r="G137" i="16"/>
  <c r="G133" i="16"/>
  <c r="G143" i="16"/>
  <c r="G131" i="16"/>
  <c r="G144" i="16"/>
  <c r="G141" i="16"/>
  <c r="G147" i="16"/>
  <c r="G130" i="16"/>
  <c r="G140" i="16"/>
  <c r="G129" i="16"/>
  <c r="G132" i="16"/>
  <c r="G146" i="16"/>
  <c r="G145" i="16"/>
  <c r="G138" i="16"/>
  <c r="G148" i="16"/>
  <c r="G142" i="16"/>
  <c r="C162" i="8"/>
  <c r="C163" i="8"/>
  <c r="Q152" i="8"/>
  <c r="C174" i="8"/>
  <c r="C164" i="8"/>
  <c r="C172" i="8"/>
  <c r="C156" i="8"/>
  <c r="C173" i="8"/>
  <c r="C171" i="8"/>
  <c r="C161" i="8"/>
  <c r="C166" i="8"/>
  <c r="C165" i="8"/>
  <c r="C159" i="8"/>
  <c r="C167" i="8"/>
  <c r="C155" i="8"/>
  <c r="C160" i="8"/>
  <c r="C170" i="8"/>
  <c r="C169" i="8"/>
  <c r="C158" i="8"/>
  <c r="C157" i="8"/>
  <c r="C168" i="8"/>
  <c r="AJ37" i="9"/>
  <c r="BO272" i="9" s="1"/>
  <c r="AJ36" i="9"/>
  <c r="BO271" i="9" s="1"/>
  <c r="Q103" i="8"/>
  <c r="Z98" i="8" s="1"/>
  <c r="AJ40" i="9"/>
  <c r="BO275" i="9" s="1"/>
  <c r="L67" i="9"/>
  <c r="R67" i="9" s="1"/>
  <c r="G104" i="9"/>
  <c r="G95" i="9"/>
  <c r="G92" i="9"/>
  <c r="G102" i="9"/>
  <c r="G100" i="9"/>
  <c r="G94" i="9"/>
  <c r="G106" i="9"/>
  <c r="G97" i="9"/>
  <c r="G108" i="9"/>
  <c r="G93" i="9"/>
  <c r="G105" i="9"/>
  <c r="G109" i="9"/>
  <c r="G91" i="9"/>
  <c r="G103" i="9"/>
  <c r="G110" i="9"/>
  <c r="G101" i="9"/>
  <c r="G98" i="9"/>
  <c r="G107" i="9"/>
  <c r="G96" i="9"/>
  <c r="G99" i="9"/>
  <c r="AP112" i="9"/>
  <c r="K37" i="19"/>
  <c r="K31" i="19"/>
  <c r="AV144" i="9"/>
  <c r="AR144" i="9"/>
  <c r="L120" i="9"/>
  <c r="R120" i="9" s="1"/>
  <c r="AI38" i="9"/>
  <c r="C125" i="8"/>
  <c r="C124" i="8"/>
  <c r="C142" i="8"/>
  <c r="C123" i="8"/>
  <c r="C137" i="8"/>
  <c r="C136" i="8"/>
  <c r="C133" i="8"/>
  <c r="C132" i="8"/>
  <c r="Q120" i="8"/>
  <c r="C130" i="8"/>
  <c r="C129" i="8"/>
  <c r="C134" i="8"/>
  <c r="C141" i="8"/>
  <c r="C135" i="8"/>
  <c r="C140" i="8"/>
  <c r="C128" i="8"/>
  <c r="C139" i="8"/>
  <c r="C127" i="8"/>
  <c r="C138" i="8"/>
  <c r="C126" i="8"/>
  <c r="C131" i="8"/>
  <c r="AH42" i="9"/>
  <c r="AD29" i="9"/>
  <c r="N99" i="7"/>
  <c r="G125" i="7"/>
  <c r="G132" i="7"/>
  <c r="G139" i="7"/>
  <c r="G138" i="7"/>
  <c r="G127" i="7"/>
  <c r="G134" i="7"/>
  <c r="G129" i="7"/>
  <c r="G124" i="7"/>
  <c r="G142" i="7"/>
  <c r="G131" i="7"/>
  <c r="G136" i="7"/>
  <c r="G126" i="7"/>
  <c r="G137" i="7"/>
  <c r="G140" i="7"/>
  <c r="G133" i="7"/>
  <c r="G128" i="7"/>
  <c r="G123" i="7"/>
  <c r="G135" i="7"/>
  <c r="G130" i="7"/>
  <c r="G141" i="7"/>
  <c r="J130" i="7"/>
  <c r="J135" i="7"/>
  <c r="J131" i="7"/>
  <c r="J137" i="7"/>
  <c r="J132" i="7"/>
  <c r="J133" i="7"/>
  <c r="J134" i="7"/>
  <c r="J136" i="7"/>
  <c r="J139" i="7"/>
  <c r="J123" i="7"/>
  <c r="J141" i="7"/>
  <c r="J124" i="7"/>
  <c r="J140" i="7"/>
  <c r="J125" i="7"/>
  <c r="J142" i="7"/>
  <c r="J126" i="7"/>
  <c r="J138" i="7"/>
  <c r="J127" i="7"/>
  <c r="J128" i="7"/>
  <c r="J129" i="7"/>
  <c r="Z30" i="19"/>
  <c r="Z42" i="19"/>
  <c r="M78" i="16"/>
  <c r="AJ30" i="9"/>
  <c r="S66" i="9"/>
  <c r="M101" i="7"/>
  <c r="Q59" i="8"/>
  <c r="Y86" i="8" s="1"/>
  <c r="Q69" i="8"/>
  <c r="Y96" i="8" s="1"/>
  <c r="K61" i="9"/>
  <c r="AJ28" i="9"/>
  <c r="BO263" i="9" s="1"/>
  <c r="N66" i="7"/>
  <c r="AI27" i="9"/>
  <c r="X80" i="16"/>
  <c r="X71" i="16"/>
  <c r="X83" i="16"/>
  <c r="X81" i="16"/>
  <c r="D159" i="16"/>
  <c r="J158" i="16" a="1"/>
  <c r="J158" i="16" s="1"/>
  <c r="C158" i="16"/>
  <c r="I158" i="16" a="1"/>
  <c r="I158" i="16" s="1"/>
  <c r="B152" i="16"/>
  <c r="I159" i="16" a="1"/>
  <c r="I159" i="16" s="1"/>
  <c r="E158" i="16" a="1"/>
  <c r="E158" i="16" s="1"/>
  <c r="H159" i="16" a="1"/>
  <c r="H159" i="16" s="1"/>
  <c r="G159" i="16" a="1"/>
  <c r="G159" i="16" s="1"/>
  <c r="H158" i="16" a="1"/>
  <c r="H158" i="16" s="1"/>
  <c r="F159" i="16" a="1"/>
  <c r="F159" i="16" s="1"/>
  <c r="G158" i="16" a="1"/>
  <c r="G158" i="16" s="1"/>
  <c r="F158" i="16" a="1"/>
  <c r="F158" i="16" s="1"/>
  <c r="E159" i="16" a="1"/>
  <c r="E159" i="16" s="1"/>
  <c r="C159" i="16"/>
  <c r="D158" i="16"/>
  <c r="J159" i="16" a="1"/>
  <c r="J159" i="16" s="1"/>
  <c r="J147" i="16"/>
  <c r="J140" i="16"/>
  <c r="J135" i="16"/>
  <c r="J138" i="16"/>
  <c r="J132" i="16"/>
  <c r="J134" i="16"/>
  <c r="J139" i="16"/>
  <c r="J131" i="16"/>
  <c r="J141" i="16"/>
  <c r="J129" i="16"/>
  <c r="J137" i="16"/>
  <c r="J133" i="16"/>
  <c r="J144" i="16"/>
  <c r="J146" i="16"/>
  <c r="J148" i="16"/>
  <c r="J142" i="16"/>
  <c r="J130" i="16"/>
  <c r="J145" i="16"/>
  <c r="J143" i="16"/>
  <c r="J136" i="16"/>
  <c r="R42" i="9"/>
  <c r="AA42" i="9" s="1"/>
  <c r="AB42" i="9" s="1"/>
  <c r="BO39" i="9" s="1"/>
  <c r="D168" i="8"/>
  <c r="D159" i="8"/>
  <c r="D158" i="8"/>
  <c r="D157" i="8"/>
  <c r="D156" i="8"/>
  <c r="D155" i="8"/>
  <c r="D169" i="8"/>
  <c r="D174" i="8"/>
  <c r="D167" i="8"/>
  <c r="D170" i="8"/>
  <c r="D163" i="8"/>
  <c r="D162" i="8"/>
  <c r="D164" i="8"/>
  <c r="D172" i="8"/>
  <c r="D165" i="8"/>
  <c r="D173" i="8"/>
  <c r="D161" i="8"/>
  <c r="D166" i="8"/>
  <c r="D160" i="8"/>
  <c r="D171" i="8"/>
  <c r="AG37" i="9"/>
  <c r="M78" i="7"/>
  <c r="M74" i="7"/>
  <c r="AH36" i="9"/>
  <c r="Q97" i="8"/>
  <c r="Z92" i="8" s="1"/>
  <c r="AI40" i="9"/>
  <c r="BO241" i="9" s="1"/>
  <c r="L77" i="9"/>
  <c r="R77" i="9" s="1"/>
  <c r="L75" i="9"/>
  <c r="R75" i="9" s="1"/>
  <c r="BC112" i="9"/>
  <c r="BE112" i="9"/>
  <c r="AZ112" i="9"/>
  <c r="S88" i="9"/>
  <c r="BB112" i="9"/>
  <c r="D98" i="9"/>
  <c r="D91" i="9"/>
  <c r="D95" i="9"/>
  <c r="D105" i="9"/>
  <c r="D108" i="9"/>
  <c r="D93" i="9"/>
  <c r="D103" i="9"/>
  <c r="D99" i="9"/>
  <c r="D102" i="9"/>
  <c r="D107" i="9"/>
  <c r="D97" i="9"/>
  <c r="D100" i="9"/>
  <c r="D110" i="9"/>
  <c r="D109" i="9"/>
  <c r="D96" i="9"/>
  <c r="D94" i="9"/>
  <c r="D106" i="9"/>
  <c r="D92" i="9"/>
  <c r="D104" i="9"/>
  <c r="D101" i="9"/>
  <c r="N210" i="19"/>
  <c r="AJ26" i="19"/>
  <c r="AJ47" i="19" s="1"/>
  <c r="AI41" i="9"/>
  <c r="K42" i="19"/>
  <c r="AT144" i="9"/>
  <c r="K120" i="9"/>
  <c r="I131" i="9"/>
  <c r="I127" i="9"/>
  <c r="I125" i="9"/>
  <c r="I134" i="9"/>
  <c r="I124" i="9"/>
  <c r="I135" i="9"/>
  <c r="I136" i="9"/>
  <c r="I142" i="9"/>
  <c r="I133" i="9"/>
  <c r="I137" i="9"/>
  <c r="I140" i="9"/>
  <c r="I130" i="9"/>
  <c r="I141" i="9"/>
  <c r="I126" i="9"/>
  <c r="I123" i="9"/>
  <c r="I139" i="9"/>
  <c r="I132" i="9"/>
  <c r="I138" i="9"/>
  <c r="I129" i="9"/>
  <c r="I128" i="9"/>
  <c r="BD144" i="9"/>
  <c r="AH38" i="9"/>
  <c r="L134" i="8"/>
  <c r="L133" i="8"/>
  <c r="L132" i="8"/>
  <c r="L131" i="8"/>
  <c r="L130" i="8"/>
  <c r="L129" i="8"/>
  <c r="L127" i="8"/>
  <c r="L126" i="8"/>
  <c r="L142" i="8"/>
  <c r="L141" i="8"/>
  <c r="L139" i="8"/>
  <c r="L138" i="8"/>
  <c r="L137" i="8"/>
  <c r="L125" i="8"/>
  <c r="L136" i="8"/>
  <c r="L124" i="8"/>
  <c r="L135" i="8"/>
  <c r="L123" i="8"/>
  <c r="L140" i="8"/>
  <c r="L128" i="8"/>
  <c r="M127" i="8"/>
  <c r="M126" i="8"/>
  <c r="M123" i="8"/>
  <c r="M139" i="8"/>
  <c r="M138" i="8"/>
  <c r="M137" i="8"/>
  <c r="M136" i="8"/>
  <c r="M125" i="8"/>
  <c r="M132" i="8"/>
  <c r="M135" i="8"/>
  <c r="M124" i="8"/>
  <c r="M131" i="8"/>
  <c r="M134" i="8"/>
  <c r="M133" i="8"/>
  <c r="M142" i="8"/>
  <c r="M130" i="8"/>
  <c r="M141" i="8"/>
  <c r="M129" i="8"/>
  <c r="M140" i="8"/>
  <c r="M128" i="8"/>
  <c r="AD42" i="9"/>
  <c r="N110" i="7"/>
  <c r="L126" i="7"/>
  <c r="L131" i="7"/>
  <c r="L136" i="7"/>
  <c r="L135" i="7"/>
  <c r="L128" i="7"/>
  <c r="L133" i="7"/>
  <c r="L142" i="7"/>
  <c r="L130" i="7"/>
  <c r="L123" i="7"/>
  <c r="L140" i="7"/>
  <c r="L132" i="7"/>
  <c r="L125" i="7"/>
  <c r="L138" i="7"/>
  <c r="L137" i="7"/>
  <c r="L134" i="7"/>
  <c r="L127" i="7"/>
  <c r="L141" i="7"/>
  <c r="L124" i="7"/>
  <c r="L129" i="7"/>
  <c r="L139" i="7"/>
  <c r="Z32" i="19"/>
  <c r="Z29" i="19"/>
  <c r="K66" i="9"/>
  <c r="F129" i="16"/>
  <c r="F148" i="16"/>
  <c r="F131" i="16"/>
  <c r="F134" i="16"/>
  <c r="F137" i="16"/>
  <c r="F138" i="16"/>
  <c r="F147" i="16"/>
  <c r="F139" i="16"/>
  <c r="F130" i="16"/>
  <c r="F146" i="16"/>
  <c r="F136" i="16"/>
  <c r="F144" i="16"/>
  <c r="F143" i="16"/>
  <c r="F140" i="16"/>
  <c r="F142" i="16"/>
  <c r="F133" i="16"/>
  <c r="F145" i="16"/>
  <c r="F141" i="16"/>
  <c r="F132" i="16"/>
  <c r="F135" i="16"/>
  <c r="S61" i="9"/>
  <c r="Q78" i="8"/>
  <c r="Y105" i="8" s="1"/>
  <c r="Q70" i="8"/>
  <c r="Y97" i="8" s="1"/>
  <c r="AA56" i="9"/>
  <c r="AB56" i="9" s="1"/>
  <c r="K73" i="9"/>
  <c r="Q81" i="16"/>
  <c r="W80" i="16" s="1"/>
  <c r="K81" i="16"/>
  <c r="AI28" i="9"/>
  <c r="AE27" i="9"/>
  <c r="L126" i="16"/>
  <c r="C140" i="16"/>
  <c r="C147" i="16"/>
  <c r="C132" i="16"/>
  <c r="C135" i="16"/>
  <c r="C134" i="16"/>
  <c r="C144" i="16"/>
  <c r="C131" i="16"/>
  <c r="C133" i="16"/>
  <c r="C129" i="16"/>
  <c r="C136" i="16"/>
  <c r="C148" i="16"/>
  <c r="C138" i="16"/>
  <c r="C143" i="16"/>
  <c r="C145" i="16"/>
  <c r="C146" i="16"/>
  <c r="C137" i="16"/>
  <c r="C139" i="16"/>
  <c r="C130" i="16"/>
  <c r="C142" i="16"/>
  <c r="C141" i="16"/>
  <c r="G152" i="8"/>
  <c r="E163" i="8"/>
  <c r="E160" i="8"/>
  <c r="E174" i="8"/>
  <c r="E169" i="8"/>
  <c r="E159" i="8"/>
  <c r="E170" i="8"/>
  <c r="E161" i="8"/>
  <c r="E157" i="8"/>
  <c r="E173" i="8"/>
  <c r="E158" i="8"/>
  <c r="E162" i="8"/>
  <c r="E168" i="8"/>
  <c r="E167" i="8"/>
  <c r="E164" i="8"/>
  <c r="E156" i="8"/>
  <c r="E155" i="8"/>
  <c r="E165" i="8"/>
  <c r="E166" i="8"/>
  <c r="E172" i="8"/>
  <c r="E171" i="8"/>
  <c r="Q37" i="9"/>
  <c r="AA37" i="9" s="1"/>
  <c r="AB37" i="9" s="1"/>
  <c r="BO34" i="9" s="1"/>
  <c r="M70" i="7"/>
  <c r="M66" i="7"/>
  <c r="AF34" i="9"/>
  <c r="BO133" i="9" s="1"/>
  <c r="AF36" i="9"/>
  <c r="Q102" i="8"/>
  <c r="Z97" i="8" s="1"/>
  <c r="Q40" i="9"/>
  <c r="AA40" i="9" s="1"/>
  <c r="AB40" i="9" s="1"/>
  <c r="BO37" i="9" s="1"/>
  <c r="L59" i="9"/>
  <c r="L76" i="9"/>
  <c r="R76" i="9" s="1"/>
  <c r="P95" i="9"/>
  <c r="P105" i="9"/>
  <c r="P109" i="9"/>
  <c r="P108" i="9"/>
  <c r="P93" i="9"/>
  <c r="P103" i="9"/>
  <c r="P98" i="9"/>
  <c r="P91" i="9"/>
  <c r="P92" i="9"/>
  <c r="T92" i="9" s="1"/>
  <c r="P104" i="9"/>
  <c r="P101" i="9"/>
  <c r="P99" i="9"/>
  <c r="P102" i="9"/>
  <c r="P110" i="9"/>
  <c r="P97" i="9"/>
  <c r="P100" i="9"/>
  <c r="P107" i="9"/>
  <c r="P96" i="9"/>
  <c r="P94" i="9"/>
  <c r="T94" i="9" s="1"/>
  <c r="P106" i="9"/>
  <c r="T106" i="9" s="1"/>
  <c r="AG41" i="9"/>
  <c r="K38" i="19"/>
  <c r="AM144" i="9"/>
  <c r="Q38" i="9"/>
  <c r="AA38" i="9" s="1"/>
  <c r="AB38" i="9" s="1"/>
  <c r="BO35" i="9" s="1"/>
  <c r="O125" i="8"/>
  <c r="O124" i="8"/>
  <c r="O142" i="8"/>
  <c r="O141" i="8"/>
  <c r="O137" i="8"/>
  <c r="O136" i="8"/>
  <c r="O135" i="8"/>
  <c r="O134" i="8"/>
  <c r="O133" i="8"/>
  <c r="O129" i="8"/>
  <c r="O132" i="8"/>
  <c r="O130" i="8"/>
  <c r="O123" i="8"/>
  <c r="O140" i="8"/>
  <c r="O128" i="8"/>
  <c r="O139" i="8"/>
  <c r="O127" i="8"/>
  <c r="O138" i="8"/>
  <c r="O126" i="8"/>
  <c r="O131" i="8"/>
  <c r="R76" i="16"/>
  <c r="W109" i="16" s="1"/>
  <c r="L76" i="16"/>
  <c r="AG42" i="9"/>
  <c r="N98" i="7"/>
  <c r="O121" i="7"/>
  <c r="K121" i="8" s="1"/>
  <c r="R121" i="8" s="1"/>
  <c r="M121" i="7"/>
  <c r="Z45" i="19"/>
  <c r="Z43" i="19"/>
  <c r="AG32" i="9"/>
  <c r="T57" i="7"/>
  <c r="Q65" i="8"/>
  <c r="Y92" i="8" s="1"/>
  <c r="S63" i="9"/>
  <c r="S65" i="9"/>
  <c r="M105" i="7"/>
  <c r="M108" i="7"/>
  <c r="Q60" i="8"/>
  <c r="Y87" i="8" s="1"/>
  <c r="K60" i="9"/>
  <c r="Q60" i="9" s="1"/>
  <c r="K76" i="9"/>
  <c r="N62" i="16"/>
  <c r="O62" i="16" s="1"/>
  <c r="R67" i="16"/>
  <c r="W100" i="16" s="1"/>
  <c r="L67" i="16"/>
  <c r="AE28" i="9"/>
  <c r="AD27" i="9"/>
  <c r="Q153" i="8"/>
  <c r="AH37" i="9"/>
  <c r="M62" i="7"/>
  <c r="M73" i="7"/>
  <c r="AE34" i="9"/>
  <c r="AE36" i="9"/>
  <c r="Q100" i="8"/>
  <c r="Z95" i="8" s="1"/>
  <c r="AG40" i="9"/>
  <c r="L70" i="9"/>
  <c r="R70" i="9" s="1"/>
  <c r="L73" i="9"/>
  <c r="E94" i="9"/>
  <c r="E107" i="9"/>
  <c r="E104" i="9"/>
  <c r="E92" i="9"/>
  <c r="E102" i="9"/>
  <c r="E106" i="9"/>
  <c r="E97" i="9"/>
  <c r="E101" i="9"/>
  <c r="E96" i="9"/>
  <c r="E99" i="9"/>
  <c r="E95" i="9"/>
  <c r="E109" i="9"/>
  <c r="E108" i="9"/>
  <c r="E93" i="9"/>
  <c r="E105" i="9"/>
  <c r="E110" i="9"/>
  <c r="E91" i="9"/>
  <c r="E103" i="9"/>
  <c r="E100" i="9"/>
  <c r="E98" i="9"/>
  <c r="AL112" i="9"/>
  <c r="Q41" i="9"/>
  <c r="AA41" i="9" s="1"/>
  <c r="AB41" i="9" s="1"/>
  <c r="BO38" i="9" s="1"/>
  <c r="K43" i="19"/>
  <c r="A178" i="7"/>
  <c r="Q39" i="9"/>
  <c r="AA39" i="9" s="1"/>
  <c r="AB39" i="9" s="1"/>
  <c r="BO36" i="9" s="1"/>
  <c r="AG38" i="9"/>
  <c r="N132" i="8"/>
  <c r="N131" i="8"/>
  <c r="N130" i="8"/>
  <c r="N129" i="8"/>
  <c r="N128" i="8"/>
  <c r="N127" i="8"/>
  <c r="N125" i="8"/>
  <c r="N140" i="8"/>
  <c r="N139" i="8"/>
  <c r="N137" i="8"/>
  <c r="N136" i="8"/>
  <c r="N142" i="8"/>
  <c r="N141" i="8"/>
  <c r="N124" i="8"/>
  <c r="N123" i="8"/>
  <c r="N134" i="8"/>
  <c r="N133" i="8"/>
  <c r="N138" i="8"/>
  <c r="N126" i="8"/>
  <c r="N135" i="8"/>
  <c r="AJ42" i="9"/>
  <c r="BO277" i="9" s="1"/>
  <c r="N105" i="7"/>
  <c r="N109" i="7"/>
  <c r="Z41" i="19"/>
  <c r="Z38" i="19"/>
  <c r="AI32" i="9"/>
  <c r="BK32" i="9" s="1"/>
  <c r="BO471" i="9" s="1"/>
  <c r="A184" i="16"/>
  <c r="S69" i="9"/>
  <c r="S71" i="9"/>
  <c r="M97" i="7"/>
  <c r="M100" i="7"/>
  <c r="Q66" i="8"/>
  <c r="Y93" i="8" s="1"/>
  <c r="K70" i="9"/>
  <c r="Q70" i="9" s="1"/>
  <c r="K77" i="9"/>
  <c r="R110" i="16"/>
  <c r="L110" i="16"/>
  <c r="D134" i="16"/>
  <c r="D139" i="16"/>
  <c r="D130" i="16"/>
  <c r="D141" i="16"/>
  <c r="D132" i="16"/>
  <c r="D131" i="16"/>
  <c r="D133" i="16"/>
  <c r="D147" i="16"/>
  <c r="D146" i="16"/>
  <c r="D142" i="16"/>
  <c r="D144" i="16"/>
  <c r="D135" i="16"/>
  <c r="D145" i="16"/>
  <c r="D143" i="16"/>
  <c r="D129" i="16"/>
  <c r="D136" i="16"/>
  <c r="D148" i="16"/>
  <c r="D138" i="16"/>
  <c r="D140" i="16"/>
  <c r="D137" i="16"/>
  <c r="Q126" i="16"/>
  <c r="E136" i="16"/>
  <c r="E146" i="16"/>
  <c r="E137" i="16"/>
  <c r="E133" i="16"/>
  <c r="E135" i="16"/>
  <c r="E143" i="16"/>
  <c r="E148" i="16"/>
  <c r="E130" i="16"/>
  <c r="E129" i="16"/>
  <c r="E145" i="16"/>
  <c r="E147" i="16"/>
  <c r="E132" i="16"/>
  <c r="E134" i="16"/>
  <c r="E141" i="16"/>
  <c r="E131" i="16"/>
  <c r="E142" i="16"/>
  <c r="E139" i="16"/>
  <c r="E140" i="16"/>
  <c r="E138" i="16"/>
  <c r="E144" i="16"/>
  <c r="I158" i="8"/>
  <c r="I169" i="8"/>
  <c r="I160" i="8"/>
  <c r="I165" i="8"/>
  <c r="I159" i="8"/>
  <c r="I173" i="8"/>
  <c r="I166" i="8"/>
  <c r="I164" i="8"/>
  <c r="I163" i="8"/>
  <c r="I174" i="8"/>
  <c r="I156" i="8"/>
  <c r="I162" i="8"/>
  <c r="I157" i="8"/>
  <c r="I170" i="8"/>
  <c r="I172" i="8"/>
  <c r="I168" i="8"/>
  <c r="I167" i="8"/>
  <c r="I161" i="8"/>
  <c r="I155" i="8"/>
  <c r="I171" i="8"/>
  <c r="L161" i="8"/>
  <c r="L172" i="8"/>
  <c r="L173" i="8"/>
  <c r="L168" i="8"/>
  <c r="L171" i="8"/>
  <c r="L160" i="8"/>
  <c r="L169" i="8"/>
  <c r="L163" i="8"/>
  <c r="L156" i="8"/>
  <c r="L157" i="8"/>
  <c r="L162" i="8"/>
  <c r="L159" i="8"/>
  <c r="L167" i="8"/>
  <c r="L166" i="8"/>
  <c r="L155" i="8"/>
  <c r="L165" i="8"/>
  <c r="L174" i="8"/>
  <c r="L164" i="8"/>
  <c r="L170" i="8"/>
  <c r="L158" i="8"/>
  <c r="M77" i="7"/>
  <c r="M65" i="7"/>
  <c r="R84" i="16"/>
  <c r="W117" i="16" s="1"/>
  <c r="L84" i="16"/>
  <c r="Q99" i="8"/>
  <c r="Z94" i="8" s="1"/>
  <c r="Q95" i="8"/>
  <c r="Z90" i="8" s="1"/>
  <c r="L72" i="9"/>
  <c r="R72" i="9" s="1"/>
  <c r="L65" i="9"/>
  <c r="R65" i="9" s="1"/>
  <c r="AX112" i="9"/>
  <c r="K32" i="19"/>
  <c r="AS144" i="9"/>
  <c r="AN144" i="9"/>
  <c r="J123" i="9"/>
  <c r="J124" i="9"/>
  <c r="J131" i="9"/>
  <c r="J134" i="9"/>
  <c r="J139" i="9"/>
  <c r="J132" i="9"/>
  <c r="J138" i="9"/>
  <c r="J125" i="9"/>
  <c r="J141" i="9"/>
  <c r="J136" i="9"/>
  <c r="J129" i="9"/>
  <c r="J126" i="9"/>
  <c r="J142" i="9"/>
  <c r="J140" i="9"/>
  <c r="J127" i="9"/>
  <c r="J137" i="9"/>
  <c r="J128" i="9"/>
  <c r="J130" i="9"/>
  <c r="J135" i="9"/>
  <c r="J133" i="9"/>
  <c r="Q79" i="16"/>
  <c r="W78" i="16" s="1"/>
  <c r="K79" i="16"/>
  <c r="D142" i="8"/>
  <c r="D141" i="8"/>
  <c r="D140" i="8"/>
  <c r="D139" i="8"/>
  <c r="D138" i="8"/>
  <c r="D137" i="8"/>
  <c r="D135" i="8"/>
  <c r="D134" i="8"/>
  <c r="D130" i="8"/>
  <c r="D129" i="8"/>
  <c r="D128" i="8"/>
  <c r="D127" i="8"/>
  <c r="D126" i="8"/>
  <c r="D123" i="8"/>
  <c r="D125" i="8"/>
  <c r="D131" i="8"/>
  <c r="D136" i="8"/>
  <c r="D124" i="8"/>
  <c r="D133" i="8"/>
  <c r="D132" i="8"/>
  <c r="R78" i="16"/>
  <c r="W111" i="16" s="1"/>
  <c r="L78" i="16"/>
  <c r="N93" i="7"/>
  <c r="N97" i="7"/>
  <c r="E129" i="7"/>
  <c r="E134" i="7"/>
  <c r="E142" i="7"/>
  <c r="E131" i="7"/>
  <c r="E124" i="7"/>
  <c r="E140" i="7"/>
  <c r="E137" i="7"/>
  <c r="E133" i="7"/>
  <c r="E126" i="7"/>
  <c r="E123" i="7"/>
  <c r="E135" i="7"/>
  <c r="E136" i="7"/>
  <c r="E128" i="7"/>
  <c r="E139" i="7"/>
  <c r="E138" i="7"/>
  <c r="E125" i="7"/>
  <c r="E130" i="7"/>
  <c r="E141" i="7"/>
  <c r="E127" i="7"/>
  <c r="E132" i="7"/>
  <c r="Z40" i="19"/>
  <c r="Z31" i="19"/>
  <c r="S37" i="16"/>
  <c r="V136" i="16" s="1"/>
  <c r="M36" i="16"/>
  <c r="L37" i="16"/>
  <c r="L49" i="16"/>
  <c r="M41" i="16"/>
  <c r="N41" i="16" s="1"/>
  <c r="O41" i="16" s="1"/>
  <c r="V38" i="16" s="1"/>
  <c r="M37" i="16"/>
  <c r="L40" i="16"/>
  <c r="M52" i="16"/>
  <c r="M45" i="16"/>
  <c r="M42" i="16"/>
  <c r="N42" i="16" s="1"/>
  <c r="O42" i="16" s="1"/>
  <c r="V39" i="16" s="1"/>
  <c r="M44" i="16"/>
  <c r="M50" i="16"/>
  <c r="M35" i="16"/>
  <c r="M51" i="16"/>
  <c r="N51" i="16" s="1"/>
  <c r="O51" i="16" s="1"/>
  <c r="V48" i="16" s="1"/>
  <c r="M49" i="16"/>
  <c r="L44" i="16"/>
  <c r="L50" i="16"/>
  <c r="L47" i="16"/>
  <c r="L39" i="16"/>
  <c r="M47" i="16"/>
  <c r="L46" i="16"/>
  <c r="M43" i="16"/>
  <c r="M38" i="16"/>
  <c r="M34" i="16"/>
  <c r="M40" i="16"/>
  <c r="L52" i="16"/>
  <c r="M48" i="16"/>
  <c r="L45" i="16"/>
  <c r="Q58" i="18"/>
  <c r="AA35" i="9"/>
  <c r="AB35" i="9" s="1"/>
  <c r="BO32" i="9" s="1"/>
  <c r="BO265" i="9"/>
  <c r="BO266" i="9"/>
  <c r="Q123" i="18"/>
  <c r="Q50" i="16"/>
  <c r="V81" i="16" s="1"/>
  <c r="O25" i="7"/>
  <c r="Q36" i="16"/>
  <c r="V67" i="16" s="1"/>
  <c r="Q43" i="16"/>
  <c r="V74" i="16" s="1"/>
  <c r="Q39" i="16"/>
  <c r="V70" i="16" s="1"/>
  <c r="Q46" i="16"/>
  <c r="V77" i="16" s="1"/>
  <c r="Q91" i="18"/>
  <c r="R91" i="18" s="1"/>
  <c r="S91" i="18" s="1"/>
  <c r="T91" i="18" s="1"/>
  <c r="Q124" i="18"/>
  <c r="R124" i="18" s="1"/>
  <c r="S124" i="18" s="1"/>
  <c r="T124" i="18" s="1"/>
  <c r="Q52" i="16"/>
  <c r="V83" i="16" s="1"/>
  <c r="S38" i="16"/>
  <c r="V137" i="16" s="1"/>
  <c r="Q47" i="16"/>
  <c r="V78" i="16" s="1"/>
  <c r="O24" i="7"/>
  <c r="Q35" i="16"/>
  <c r="V66" i="16" s="1"/>
  <c r="Q90" i="18"/>
  <c r="BB28" i="10"/>
  <c r="BB29" i="10" s="1"/>
  <c r="BB30" i="10" s="1"/>
  <c r="BB31" i="10" s="1"/>
  <c r="BB32" i="10" s="1"/>
  <c r="BB33" i="10" s="1"/>
  <c r="BB34" i="10" s="1"/>
  <c r="BB35" i="10" s="1"/>
  <c r="BB36" i="10" s="1"/>
  <c r="BB37" i="10" s="1"/>
  <c r="BB38" i="10" s="1"/>
  <c r="BB39" i="10" s="1"/>
  <c r="BB40" i="10" s="1"/>
  <c r="BB41" i="10" s="1"/>
  <c r="BB42" i="10" s="1"/>
  <c r="BB43" i="10" s="1"/>
  <c r="BB44" i="10" s="1"/>
  <c r="BB45" i="10" s="1"/>
  <c r="BB46" i="10" s="1"/>
  <c r="BB47" i="10" s="1"/>
  <c r="BB48" i="10" s="1"/>
  <c r="BB49" i="10" s="1"/>
  <c r="BB50" i="10" s="1"/>
  <c r="BB51" i="10" s="1"/>
  <c r="S40" i="16"/>
  <c r="V139" i="16" s="1"/>
  <c r="Q40" i="16"/>
  <c r="V71" i="16" s="1"/>
  <c r="R41" i="16"/>
  <c r="V106" i="16" s="1"/>
  <c r="M95" i="18"/>
  <c r="S45" i="16"/>
  <c r="V144" i="16" s="1"/>
  <c r="S35" i="16"/>
  <c r="V134" i="16" s="1"/>
  <c r="S43" i="16"/>
  <c r="V142" i="16" s="1"/>
  <c r="R35" i="16"/>
  <c r="V100" i="16" s="1"/>
  <c r="AA27" i="19"/>
  <c r="N36" i="7"/>
  <c r="AA26" i="19"/>
  <c r="M27" i="19"/>
  <c r="M26" i="19"/>
  <c r="Q51" i="16"/>
  <c r="V82" i="16" s="1"/>
  <c r="Q45" i="16"/>
  <c r="V76" i="16" s="1"/>
  <c r="R33" i="16"/>
  <c r="V98" i="16" s="1"/>
  <c r="Q42" i="16"/>
  <c r="V73" i="16" s="1"/>
  <c r="R42" i="16"/>
  <c r="V107" i="16" s="1"/>
  <c r="N129" i="18"/>
  <c r="N32" i="18"/>
  <c r="R34" i="16"/>
  <c r="V99" i="16" s="1"/>
  <c r="Q49" i="16"/>
  <c r="V80" i="16" s="1"/>
  <c r="Q48" i="16"/>
  <c r="V79" i="16" s="1"/>
  <c r="B38" i="7"/>
  <c r="E37" i="7"/>
  <c r="K37" i="7"/>
  <c r="F37" i="7"/>
  <c r="H37" i="7"/>
  <c r="I37" i="7"/>
  <c r="C37" i="7"/>
  <c r="D37" i="7"/>
  <c r="L37" i="7"/>
  <c r="G37" i="7"/>
  <c r="J37" i="7"/>
  <c r="Q34" i="16"/>
  <c r="V65" i="16" s="1"/>
  <c r="Q25" i="18"/>
  <c r="R25" i="18" s="1"/>
  <c r="S25" i="18" s="1"/>
  <c r="T25" i="18" s="1"/>
  <c r="K161" i="18"/>
  <c r="Q37" i="16"/>
  <c r="V68" i="16" s="1"/>
  <c r="Q33" i="16"/>
  <c r="V64" i="16" s="1"/>
  <c r="Q44" i="16"/>
  <c r="V75" i="16" s="1"/>
  <c r="Q38" i="16"/>
  <c r="V69" i="16" s="1"/>
  <c r="N31" i="16"/>
  <c r="O31" i="16" s="1"/>
  <c r="S51" i="16"/>
  <c r="V150" i="16" s="1"/>
  <c r="Q41" i="16"/>
  <c r="V72" i="16" s="1"/>
  <c r="B46" i="9"/>
  <c r="J45" i="9"/>
  <c r="C45" i="9"/>
  <c r="M45" i="9"/>
  <c r="O45" i="9"/>
  <c r="I45" i="9"/>
  <c r="N45" i="9"/>
  <c r="G45" i="9"/>
  <c r="E45" i="9"/>
  <c r="F45" i="9"/>
  <c r="P45" i="9"/>
  <c r="H45" i="9"/>
  <c r="D45" i="9"/>
  <c r="R36" i="16"/>
  <c r="V101" i="16" s="1"/>
  <c r="S33" i="16"/>
  <c r="S49" i="16"/>
  <c r="V148" i="16" s="1"/>
  <c r="Z19" i="4"/>
  <c r="AD19" i="4" s="1"/>
  <c r="V20" i="4"/>
  <c r="R43" i="16"/>
  <c r="V108" i="16" s="1"/>
  <c r="M129" i="18"/>
  <c r="I33" i="8"/>
  <c r="J33" i="8"/>
  <c r="F33" i="8"/>
  <c r="D33" i="8"/>
  <c r="N33" i="8"/>
  <c r="M33" i="8"/>
  <c r="L33" i="8"/>
  <c r="O33" i="8"/>
  <c r="B34" i="8"/>
  <c r="E33" i="8"/>
  <c r="C33" i="8"/>
  <c r="S46" i="16"/>
  <c r="V145" i="16" s="1"/>
  <c r="S52" i="16"/>
  <c r="V151" i="16" s="1"/>
  <c r="S34" i="16"/>
  <c r="V133" i="16" s="1"/>
  <c r="N95" i="18"/>
  <c r="S44" i="16"/>
  <c r="V143" i="16" s="1"/>
  <c r="S41" i="16"/>
  <c r="V140" i="16" s="1"/>
  <c r="S39" i="16"/>
  <c r="V138" i="16" s="1"/>
  <c r="K130" i="18"/>
  <c r="C130" i="18"/>
  <c r="D130" i="18"/>
  <c r="G130" i="18"/>
  <c r="L130" i="18"/>
  <c r="B131" i="18"/>
  <c r="P130" i="18"/>
  <c r="E130" i="18"/>
  <c r="J130" i="18"/>
  <c r="F130" i="18"/>
  <c r="O130" i="18"/>
  <c r="H130" i="18"/>
  <c r="I130" i="18"/>
  <c r="H96" i="18"/>
  <c r="L96" i="18"/>
  <c r="B97" i="18"/>
  <c r="O96" i="18"/>
  <c r="P96" i="18"/>
  <c r="D96" i="18"/>
  <c r="G96" i="18"/>
  <c r="C96" i="18"/>
  <c r="K96" i="18"/>
  <c r="S47" i="16"/>
  <c r="V146" i="16" s="1"/>
  <c r="AD18" i="4"/>
  <c r="N63" i="18"/>
  <c r="R51" i="16"/>
  <c r="V116" i="16" s="1"/>
  <c r="S48" i="16"/>
  <c r="V147" i="16" s="1"/>
  <c r="H33" i="18"/>
  <c r="P33" i="18"/>
  <c r="B34" i="18"/>
  <c r="O33" i="18"/>
  <c r="C33" i="18"/>
  <c r="G33" i="18"/>
  <c r="L33" i="18"/>
  <c r="K33" i="18"/>
  <c r="D33" i="18"/>
  <c r="AY25" i="10"/>
  <c r="R48" i="16"/>
  <c r="V113" i="16" s="1"/>
  <c r="S42" i="16"/>
  <c r="V141" i="16" s="1"/>
  <c r="V29" i="4"/>
  <c r="AE28" i="4"/>
  <c r="X38" i="10" s="1"/>
  <c r="M63" i="18"/>
  <c r="S36" i="16"/>
  <c r="V135" i="16" s="1"/>
  <c r="X25" i="10"/>
  <c r="C64" i="18"/>
  <c r="G64" i="18"/>
  <c r="B65" i="18"/>
  <c r="P64" i="18"/>
  <c r="D64" i="18"/>
  <c r="H64" i="18"/>
  <c r="O64" i="18"/>
  <c r="L64" i="18"/>
  <c r="K64" i="18"/>
  <c r="M32" i="18"/>
  <c r="Q32" i="8"/>
  <c r="X91" i="8" s="1"/>
  <c r="X59" i="8"/>
  <c r="P98" i="8" l="1"/>
  <c r="P92" i="8"/>
  <c r="P89" i="7"/>
  <c r="Q89" i="7" s="1"/>
  <c r="R89" i="7" s="1"/>
  <c r="T89" i="7"/>
  <c r="P61" i="8"/>
  <c r="M42" i="19"/>
  <c r="N42" i="19" s="1"/>
  <c r="AE39" i="19" s="1"/>
  <c r="P94" i="8"/>
  <c r="N102" i="16"/>
  <c r="O102" i="16" s="1"/>
  <c r="X35" i="16" s="1"/>
  <c r="T103" i="9"/>
  <c r="T105" i="9"/>
  <c r="P99" i="8"/>
  <c r="Z63" i="8" s="1"/>
  <c r="AH120" i="9"/>
  <c r="BJ120" i="9" s="1"/>
  <c r="P108" i="8"/>
  <c r="Z72" i="8" s="1"/>
  <c r="G157" i="8"/>
  <c r="G170" i="8"/>
  <c r="G174" i="8"/>
  <c r="G167" i="8"/>
  <c r="P103" i="8"/>
  <c r="Z67" i="8" s="1"/>
  <c r="AD61" i="9"/>
  <c r="BF61" i="9" s="1"/>
  <c r="BP298" i="9" s="1"/>
  <c r="P107" i="8"/>
  <c r="P97" i="8"/>
  <c r="P153" i="8"/>
  <c r="S153" i="8" s="1"/>
  <c r="T153" i="8" s="1"/>
  <c r="P60" i="8"/>
  <c r="Y56" i="8" s="1"/>
  <c r="P105" i="8"/>
  <c r="Z69" i="8" s="1"/>
  <c r="P93" i="8"/>
  <c r="Z57" i="8" s="1"/>
  <c r="P73" i="8"/>
  <c r="Y69" i="8" s="1"/>
  <c r="P100" i="8"/>
  <c r="Z64" i="8" s="1"/>
  <c r="P75" i="8"/>
  <c r="Y71" i="8" s="1"/>
  <c r="G163" i="8"/>
  <c r="T91" i="9"/>
  <c r="P91" i="8"/>
  <c r="Z55" i="8" s="1"/>
  <c r="P70" i="8"/>
  <c r="G161" i="18"/>
  <c r="P67" i="8"/>
  <c r="Y63" i="8" s="1"/>
  <c r="T95" i="9"/>
  <c r="P102" i="8"/>
  <c r="Z66" i="8" s="1"/>
  <c r="P63" i="8"/>
  <c r="Y59" i="8" s="1"/>
  <c r="P59" i="8"/>
  <c r="Y55" i="8" s="1"/>
  <c r="P78" i="8"/>
  <c r="Y74" i="8" s="1"/>
  <c r="G166" i="8"/>
  <c r="G159" i="8"/>
  <c r="P95" i="8"/>
  <c r="Z59" i="8" s="1"/>
  <c r="P121" i="8"/>
  <c r="G165" i="8"/>
  <c r="P109" i="8"/>
  <c r="S124" i="9"/>
  <c r="P32" i="8"/>
  <c r="X60" i="8" s="1"/>
  <c r="BG35" i="9"/>
  <c r="BO338" i="9" s="1"/>
  <c r="S135" i="9"/>
  <c r="BH38" i="9"/>
  <c r="BO375" i="9" s="1"/>
  <c r="AD64" i="9"/>
  <c r="BF64" i="9" s="1"/>
  <c r="BP301" i="9" s="1"/>
  <c r="G185" i="8"/>
  <c r="G169" i="8"/>
  <c r="G162" i="8"/>
  <c r="G173" i="8"/>
  <c r="P62" i="8"/>
  <c r="Y58" i="8" s="1"/>
  <c r="P106" i="8"/>
  <c r="H185" i="8"/>
  <c r="P185" i="8" s="1"/>
  <c r="P152" i="8"/>
  <c r="AA37" i="19"/>
  <c r="AB37" i="19" s="1"/>
  <c r="AE64" i="19" s="1"/>
  <c r="P66" i="8"/>
  <c r="Y62" i="8" s="1"/>
  <c r="P68" i="8"/>
  <c r="Y64" i="8" s="1"/>
  <c r="P76" i="8"/>
  <c r="Y72" i="8" s="1"/>
  <c r="P101" i="8"/>
  <c r="P74" i="8"/>
  <c r="Y70" i="8" s="1"/>
  <c r="M40" i="19"/>
  <c r="N40" i="19" s="1"/>
  <c r="AE37" i="19" s="1"/>
  <c r="M46" i="19"/>
  <c r="N46" i="19" s="1"/>
  <c r="AE43" i="19" s="1"/>
  <c r="M48" i="19"/>
  <c r="N48" i="19" s="1"/>
  <c r="AE45" i="19" s="1"/>
  <c r="M45" i="19"/>
  <c r="N45" i="19" s="1"/>
  <c r="AE42" i="19" s="1"/>
  <c r="M37" i="19"/>
  <c r="N37" i="19" s="1"/>
  <c r="AE34" i="19" s="1"/>
  <c r="M41" i="19"/>
  <c r="N41" i="19" s="1"/>
  <c r="AE38" i="19" s="1"/>
  <c r="M39" i="19"/>
  <c r="N39" i="19" s="1"/>
  <c r="AE36" i="19" s="1"/>
  <c r="M47" i="19"/>
  <c r="N47" i="19" s="1"/>
  <c r="AE44" i="19" s="1"/>
  <c r="M44" i="19"/>
  <c r="N44" i="19" s="1"/>
  <c r="AE41" i="19" s="1"/>
  <c r="AA34" i="19"/>
  <c r="AB34" i="19" s="1"/>
  <c r="AE61" i="19" s="1"/>
  <c r="N107" i="16"/>
  <c r="O107" i="16" s="1"/>
  <c r="X40" i="16" s="1"/>
  <c r="N100" i="16"/>
  <c r="O100" i="16" s="1"/>
  <c r="X33" i="16" s="1"/>
  <c r="N108" i="16"/>
  <c r="O108" i="16" s="1"/>
  <c r="X41" i="16" s="1"/>
  <c r="N115" i="16"/>
  <c r="O115" i="16" s="1"/>
  <c r="X48" i="16" s="1"/>
  <c r="N77" i="16"/>
  <c r="O77" i="16" s="1"/>
  <c r="W42" i="16" s="1"/>
  <c r="N116" i="16"/>
  <c r="O116" i="16" s="1"/>
  <c r="X49" i="16" s="1"/>
  <c r="N126" i="16"/>
  <c r="O126" i="16" s="1"/>
  <c r="N82" i="16"/>
  <c r="O82" i="16" s="1"/>
  <c r="W47" i="16" s="1"/>
  <c r="N109" i="16"/>
  <c r="O109" i="16" s="1"/>
  <c r="X42" i="16" s="1"/>
  <c r="N103" i="16"/>
  <c r="O103" i="16" s="1"/>
  <c r="X36" i="16" s="1"/>
  <c r="N127" i="16"/>
  <c r="O127" i="16" s="1"/>
  <c r="Q118" i="16"/>
  <c r="N79" i="16"/>
  <c r="O79" i="16" s="1"/>
  <c r="W44" i="16" s="1"/>
  <c r="N105" i="16"/>
  <c r="O105" i="16" s="1"/>
  <c r="X38" i="16" s="1"/>
  <c r="N84" i="16"/>
  <c r="O84" i="16" s="1"/>
  <c r="W49" i="16" s="1"/>
  <c r="N113" i="16"/>
  <c r="O113" i="16" s="1"/>
  <c r="X46" i="16" s="1"/>
  <c r="N110" i="16"/>
  <c r="O110" i="16" s="1"/>
  <c r="X43" i="16" s="1"/>
  <c r="L159" i="16"/>
  <c r="N104" i="16"/>
  <c r="O104" i="16" s="1"/>
  <c r="X37" i="16" s="1"/>
  <c r="N78" i="16"/>
  <c r="O78" i="16" s="1"/>
  <c r="W43" i="16" s="1"/>
  <c r="G156" i="8"/>
  <c r="P69" i="8"/>
  <c r="Y65" i="8" s="1"/>
  <c r="N98" i="16"/>
  <c r="O98" i="16" s="1"/>
  <c r="X31" i="16" s="1"/>
  <c r="G158" i="8"/>
  <c r="N97" i="16"/>
  <c r="O97" i="16" s="1"/>
  <c r="X30" i="16" s="1"/>
  <c r="G172" i="8"/>
  <c r="G168" i="8"/>
  <c r="N114" i="16"/>
  <c r="O114" i="16" s="1"/>
  <c r="X47" i="16" s="1"/>
  <c r="G171" i="8"/>
  <c r="G161" i="8"/>
  <c r="P65" i="8"/>
  <c r="Y61" i="8" s="1"/>
  <c r="P64" i="8"/>
  <c r="Y60" i="8" s="1"/>
  <c r="P110" i="8"/>
  <c r="Z74" i="8" s="1"/>
  <c r="N72" i="16"/>
  <c r="O72" i="16" s="1"/>
  <c r="W37" i="16" s="1"/>
  <c r="N73" i="16"/>
  <c r="O73" i="16" s="1"/>
  <c r="W38" i="16" s="1"/>
  <c r="N112" i="16"/>
  <c r="O112" i="16" s="1"/>
  <c r="X45" i="16" s="1"/>
  <c r="N74" i="16"/>
  <c r="O74" i="16" s="1"/>
  <c r="W39" i="16" s="1"/>
  <c r="N71" i="16"/>
  <c r="O71" i="16" s="1"/>
  <c r="W36" i="16" s="1"/>
  <c r="N80" i="16"/>
  <c r="O80" i="16" s="1"/>
  <c r="W45" i="16" s="1"/>
  <c r="N70" i="16"/>
  <c r="O70" i="16" s="1"/>
  <c r="W35" i="16" s="1"/>
  <c r="N101" i="16"/>
  <c r="O101" i="16" s="1"/>
  <c r="X34" i="16" s="1"/>
  <c r="N99" i="16"/>
  <c r="O99" i="16" s="1"/>
  <c r="X32" i="16" s="1"/>
  <c r="R118" i="16"/>
  <c r="N83" i="16"/>
  <c r="O83" i="16" s="1"/>
  <c r="W48" i="16" s="1"/>
  <c r="S86" i="16"/>
  <c r="N68" i="16"/>
  <c r="O68" i="16" s="1"/>
  <c r="W33" i="16" s="1"/>
  <c r="N106" i="16"/>
  <c r="O106" i="16" s="1"/>
  <c r="X39" i="16" s="1"/>
  <c r="N65" i="16"/>
  <c r="O65" i="16" s="1"/>
  <c r="W30" i="16" s="1"/>
  <c r="N111" i="16"/>
  <c r="O111" i="16" s="1"/>
  <c r="X44" i="16" s="1"/>
  <c r="S118" i="16"/>
  <c r="W133" i="16"/>
  <c r="W153" i="16" s="1"/>
  <c r="N66" i="16"/>
  <c r="O66" i="16" s="1"/>
  <c r="W31" i="16" s="1"/>
  <c r="N76" i="16"/>
  <c r="O76" i="16" s="1"/>
  <c r="W41" i="16" s="1"/>
  <c r="N75" i="16"/>
  <c r="O75" i="16" s="1"/>
  <c r="W40" i="16" s="1"/>
  <c r="K158" i="16"/>
  <c r="L158" i="16"/>
  <c r="N81" i="16"/>
  <c r="O81" i="16" s="1"/>
  <c r="W46" i="16" s="1"/>
  <c r="M158" i="16"/>
  <c r="Q86" i="16"/>
  <c r="H140" i="8"/>
  <c r="H169" i="8"/>
  <c r="H170" i="8"/>
  <c r="H141" i="8"/>
  <c r="H172" i="8"/>
  <c r="H171" i="8"/>
  <c r="H130" i="8"/>
  <c r="H133" i="8"/>
  <c r="H173" i="8"/>
  <c r="H142" i="8"/>
  <c r="H137" i="8"/>
  <c r="H174" i="8"/>
  <c r="H138" i="8"/>
  <c r="H139" i="8"/>
  <c r="G160" i="8"/>
  <c r="G133" i="8"/>
  <c r="G142" i="8"/>
  <c r="G141" i="8"/>
  <c r="G33" i="8"/>
  <c r="G137" i="8"/>
  <c r="G138" i="8"/>
  <c r="G139" i="8"/>
  <c r="G140" i="8"/>
  <c r="H159" i="8"/>
  <c r="H132" i="8"/>
  <c r="H168" i="8"/>
  <c r="H131" i="8"/>
  <c r="H135" i="8"/>
  <c r="H166" i="8"/>
  <c r="H160" i="8"/>
  <c r="H134" i="8"/>
  <c r="H136" i="8"/>
  <c r="H158" i="8"/>
  <c r="H161" i="8"/>
  <c r="AG62" i="9"/>
  <c r="BI62" i="9" s="1"/>
  <c r="BP401" i="9" s="1"/>
  <c r="H157" i="8"/>
  <c r="H165" i="8"/>
  <c r="P165" i="8" s="1"/>
  <c r="H162" i="8"/>
  <c r="H124" i="8"/>
  <c r="H33" i="8"/>
  <c r="T96" i="9"/>
  <c r="H167" i="8"/>
  <c r="H123" i="8"/>
  <c r="H155" i="8"/>
  <c r="H125" i="8"/>
  <c r="H163" i="8"/>
  <c r="H156" i="8"/>
  <c r="H126" i="8"/>
  <c r="H164" i="8"/>
  <c r="H127" i="8"/>
  <c r="H129" i="8"/>
  <c r="H128" i="8"/>
  <c r="P72" i="8"/>
  <c r="Y68" i="8" s="1"/>
  <c r="G155" i="8"/>
  <c r="G123" i="8"/>
  <c r="BO138" i="9"/>
  <c r="G164" i="8"/>
  <c r="G132" i="8"/>
  <c r="G129" i="8"/>
  <c r="P129" i="8" s="1"/>
  <c r="G127" i="8"/>
  <c r="S136" i="9"/>
  <c r="G124" i="8"/>
  <c r="G128" i="8"/>
  <c r="Q120" i="9"/>
  <c r="AA120" i="9" s="1"/>
  <c r="AB120" i="9" s="1"/>
  <c r="G136" i="8"/>
  <c r="G130" i="8"/>
  <c r="G125" i="8"/>
  <c r="G131" i="8"/>
  <c r="BG44" i="9"/>
  <c r="BO347" i="9" s="1"/>
  <c r="G134" i="8"/>
  <c r="S132" i="9"/>
  <c r="G126" i="8"/>
  <c r="P126" i="8" s="1"/>
  <c r="G135" i="8"/>
  <c r="BH34" i="9"/>
  <c r="BO371" i="9" s="1"/>
  <c r="S137" i="9"/>
  <c r="AH88" i="9"/>
  <c r="BJ88" i="9" s="1"/>
  <c r="P120" i="8"/>
  <c r="S140" i="9"/>
  <c r="S126" i="9"/>
  <c r="T99" i="9"/>
  <c r="BO130" i="9"/>
  <c r="T100" i="9"/>
  <c r="T120" i="7"/>
  <c r="AF73" i="9"/>
  <c r="BH73" i="9" s="1"/>
  <c r="BP378" i="9" s="1"/>
  <c r="AG89" i="9"/>
  <c r="BI89" i="9" s="1"/>
  <c r="BK43" i="9"/>
  <c r="BO482" i="9" s="1"/>
  <c r="AD63" i="9"/>
  <c r="BF63" i="9" s="1"/>
  <c r="BP300" i="9" s="1"/>
  <c r="AH89" i="9"/>
  <c r="BJ89" i="9" s="1"/>
  <c r="S130" i="9"/>
  <c r="S133" i="9"/>
  <c r="T98" i="9"/>
  <c r="AF68" i="9"/>
  <c r="BH68" i="9" s="1"/>
  <c r="BP373" i="9" s="1"/>
  <c r="T110" i="9"/>
  <c r="AE88" i="9"/>
  <c r="BG88" i="9" s="1"/>
  <c r="AJ88" i="9"/>
  <c r="AI66" i="9"/>
  <c r="BK66" i="9" s="1"/>
  <c r="BP473" i="9" s="1"/>
  <c r="AG69" i="9"/>
  <c r="BI69" i="9" s="1"/>
  <c r="BP408" i="9" s="1"/>
  <c r="Q89" i="9"/>
  <c r="AA89" i="9" s="1"/>
  <c r="AB89" i="9" s="1"/>
  <c r="T97" i="9"/>
  <c r="S128" i="9"/>
  <c r="T102" i="9"/>
  <c r="AF88" i="9"/>
  <c r="BH88" i="9" s="1"/>
  <c r="AG88" i="9"/>
  <c r="BI88" i="9" s="1"/>
  <c r="AH121" i="9"/>
  <c r="BJ121" i="9" s="1"/>
  <c r="AG121" i="9"/>
  <c r="BI121" i="9" s="1"/>
  <c r="P56" i="7"/>
  <c r="Q56" i="7" s="1"/>
  <c r="R56" i="7" s="1"/>
  <c r="S131" i="9"/>
  <c r="AJ121" i="9"/>
  <c r="AH76" i="9"/>
  <c r="BJ76" i="9" s="1"/>
  <c r="BP449" i="9" s="1"/>
  <c r="Q128" i="18"/>
  <c r="R128" i="18" s="1"/>
  <c r="S128" i="18" s="1"/>
  <c r="T128" i="18" s="1"/>
  <c r="AI26" i="18" s="1"/>
  <c r="AI89" i="9"/>
  <c r="BK89" i="9" s="1"/>
  <c r="S127" i="9"/>
  <c r="AF74" i="9"/>
  <c r="BH74" i="9" s="1"/>
  <c r="BP379" i="9" s="1"/>
  <c r="S153" i="9"/>
  <c r="AJ89" i="9"/>
  <c r="AF121" i="9"/>
  <c r="BH121" i="9" s="1"/>
  <c r="AE121" i="9"/>
  <c r="BG121" i="9" s="1"/>
  <c r="AH78" i="9"/>
  <c r="BJ78" i="9" s="1"/>
  <c r="BP451" i="9" s="1"/>
  <c r="AF89" i="9"/>
  <c r="BH89" i="9" s="1"/>
  <c r="S94" i="9"/>
  <c r="BK40" i="9"/>
  <c r="BO479" i="9" s="1"/>
  <c r="AD89" i="9"/>
  <c r="BF89" i="9" s="1"/>
  <c r="AD77" i="9"/>
  <c r="BP76" i="9" s="1"/>
  <c r="T107" i="9"/>
  <c r="S106" i="9"/>
  <c r="AI121" i="9"/>
  <c r="BK121" i="9" s="1"/>
  <c r="AD121" i="9"/>
  <c r="BF121" i="9" s="1"/>
  <c r="BO233" i="9"/>
  <c r="AD70" i="9"/>
  <c r="BF70" i="9" s="1"/>
  <c r="BP307" i="9" s="1"/>
  <c r="S129" i="9"/>
  <c r="T153" i="9"/>
  <c r="S100" i="9"/>
  <c r="K152" i="9"/>
  <c r="Q152" i="9" s="1"/>
  <c r="K153" i="9"/>
  <c r="Q153" i="9" s="1"/>
  <c r="R123" i="18"/>
  <c r="S123" i="18" s="1"/>
  <c r="T123" i="18" s="1"/>
  <c r="S139" i="9"/>
  <c r="AE89" i="9"/>
  <c r="BG89" i="9" s="1"/>
  <c r="AH59" i="9"/>
  <c r="BJ59" i="9" s="1"/>
  <c r="AF66" i="9"/>
  <c r="BH66" i="9" s="1"/>
  <c r="BP371" i="9" s="1"/>
  <c r="AD68" i="9"/>
  <c r="BF68" i="9" s="1"/>
  <c r="BP305" i="9" s="1"/>
  <c r="Q76" i="9"/>
  <c r="AA76" i="9" s="1"/>
  <c r="AB76" i="9" s="1"/>
  <c r="BP41" i="9" s="1"/>
  <c r="M152" i="7"/>
  <c r="N152" i="7"/>
  <c r="S125" i="9"/>
  <c r="AF72" i="9"/>
  <c r="BH72" i="9" s="1"/>
  <c r="BP377" i="9" s="1"/>
  <c r="AH70" i="9"/>
  <c r="BJ70" i="9" s="1"/>
  <c r="BP443" i="9" s="1"/>
  <c r="AE76" i="9"/>
  <c r="BG76" i="9" s="1"/>
  <c r="BP347" i="9" s="1"/>
  <c r="T93" i="9"/>
  <c r="T108" i="9"/>
  <c r="R74" i="9"/>
  <c r="AA74" i="9" s="1"/>
  <c r="AB74" i="9" s="1"/>
  <c r="BP39" i="9" s="1"/>
  <c r="S102" i="9"/>
  <c r="S105" i="9"/>
  <c r="AH71" i="9"/>
  <c r="BO136" i="9"/>
  <c r="AF71" i="9"/>
  <c r="S109" i="9"/>
  <c r="T101" i="9"/>
  <c r="T104" i="9"/>
  <c r="Q63" i="9"/>
  <c r="AA63" i="9" s="1"/>
  <c r="AB63" i="9" s="1"/>
  <c r="BP28" i="9" s="1"/>
  <c r="AD67" i="9"/>
  <c r="BP66" i="9" s="1"/>
  <c r="AG68" i="9"/>
  <c r="BI68" i="9" s="1"/>
  <c r="BP407" i="9" s="1"/>
  <c r="S98" i="9"/>
  <c r="AD66" i="9"/>
  <c r="BF66" i="9" s="1"/>
  <c r="BP303" i="9" s="1"/>
  <c r="Q68" i="9"/>
  <c r="AA68" i="9" s="1"/>
  <c r="AB68" i="9" s="1"/>
  <c r="BP33" i="9" s="1"/>
  <c r="AA78" i="9"/>
  <c r="AB78" i="9" s="1"/>
  <c r="BP43" i="9" s="1"/>
  <c r="AG63" i="9"/>
  <c r="AD76" i="9"/>
  <c r="BF76" i="9" s="1"/>
  <c r="BP313" i="9" s="1"/>
  <c r="AH66" i="9"/>
  <c r="BJ66" i="9" s="1"/>
  <c r="BP439" i="9" s="1"/>
  <c r="AT176" i="9"/>
  <c r="AI63" i="9"/>
  <c r="AA121" i="9"/>
  <c r="AB121" i="9" s="1"/>
  <c r="AA60" i="9"/>
  <c r="AB60" i="9" s="1"/>
  <c r="BP25" i="9" s="1"/>
  <c r="T109" i="9"/>
  <c r="AE66" i="9"/>
  <c r="BG66" i="9" s="1"/>
  <c r="BP337" i="9" s="1"/>
  <c r="AJ61" i="9"/>
  <c r="BP264" i="9" s="1"/>
  <c r="AI68" i="9"/>
  <c r="BK68" i="9" s="1"/>
  <c r="BP475" i="9" s="1"/>
  <c r="AI74" i="9"/>
  <c r="BK74" i="9" s="1"/>
  <c r="BP481" i="9" s="1"/>
  <c r="AJ63" i="9"/>
  <c r="BP266" i="9" s="1"/>
  <c r="AI70" i="9"/>
  <c r="BK70" i="9" s="1"/>
  <c r="BP477" i="9" s="1"/>
  <c r="AJ66" i="9"/>
  <c r="BP269" i="9" s="1"/>
  <c r="AH61" i="9"/>
  <c r="BJ61" i="9" s="1"/>
  <c r="BP434" i="9" s="1"/>
  <c r="N153" i="7"/>
  <c r="S95" i="9"/>
  <c r="BA176" i="9"/>
  <c r="AH63" i="9"/>
  <c r="AG64" i="9"/>
  <c r="BI64" i="9" s="1"/>
  <c r="BP403" i="9" s="1"/>
  <c r="AA70" i="9"/>
  <c r="AB70" i="9" s="1"/>
  <c r="BP35" i="9" s="1"/>
  <c r="AG61" i="9"/>
  <c r="BP162" i="9" s="1"/>
  <c r="AF62" i="9"/>
  <c r="BH62" i="9" s="1"/>
  <c r="BP367" i="9" s="1"/>
  <c r="BE176" i="9"/>
  <c r="AI71" i="9"/>
  <c r="AF63" i="9"/>
  <c r="Q64" i="9"/>
  <c r="AE70" i="9"/>
  <c r="BG70" i="9" s="1"/>
  <c r="BP341" i="9" s="1"/>
  <c r="Q61" i="9"/>
  <c r="AA61" i="9" s="1"/>
  <c r="AB61" i="9" s="1"/>
  <c r="BP26" i="9" s="1"/>
  <c r="AI62" i="9"/>
  <c r="BK62" i="9" s="1"/>
  <c r="BP469" i="9" s="1"/>
  <c r="AE71" i="9"/>
  <c r="AE61" i="9"/>
  <c r="BG61" i="9" s="1"/>
  <c r="BP332" i="9" s="1"/>
  <c r="AV176" i="9"/>
  <c r="AG76" i="9"/>
  <c r="BI76" i="9" s="1"/>
  <c r="BP415" i="9" s="1"/>
  <c r="AD73" i="9"/>
  <c r="BF73" i="9" s="1"/>
  <c r="BP310" i="9" s="1"/>
  <c r="R64" i="9"/>
  <c r="S45" i="9"/>
  <c r="AG70" i="9"/>
  <c r="BI70" i="9" s="1"/>
  <c r="BP409" i="9" s="1"/>
  <c r="AJ76" i="9"/>
  <c r="BP279" i="9" s="1"/>
  <c r="M153" i="7"/>
  <c r="AD78" i="9"/>
  <c r="BF78" i="9" s="1"/>
  <c r="BP315" i="9" s="1"/>
  <c r="AI76" i="9"/>
  <c r="BK76" i="9" s="1"/>
  <c r="BP483" i="9" s="1"/>
  <c r="R59" i="9"/>
  <c r="AA59" i="9" s="1"/>
  <c r="AB59" i="9" s="1"/>
  <c r="AH68" i="9"/>
  <c r="BJ68" i="9" s="1"/>
  <c r="BP441" i="9" s="1"/>
  <c r="S142" i="9"/>
  <c r="AJ78" i="9"/>
  <c r="BP281" i="9" s="1"/>
  <c r="S108" i="9"/>
  <c r="S92" i="9"/>
  <c r="L152" i="9"/>
  <c r="AG71" i="9"/>
  <c r="BI71" i="9" s="1"/>
  <c r="BP410" i="9" s="1"/>
  <c r="Q141" i="16"/>
  <c r="Y76" i="16" s="1"/>
  <c r="K141" i="16"/>
  <c r="Q146" i="16"/>
  <c r="Y81" i="16" s="1"/>
  <c r="K146" i="16"/>
  <c r="AF70" i="9"/>
  <c r="AJ73" i="9"/>
  <c r="BP276" i="9" s="1"/>
  <c r="L96" i="9"/>
  <c r="R96" i="9" s="1"/>
  <c r="L95" i="9"/>
  <c r="R95" i="9" s="1"/>
  <c r="Q158" i="16"/>
  <c r="E177" i="16"/>
  <c r="E165" i="16"/>
  <c r="E170" i="16"/>
  <c r="E173" i="16"/>
  <c r="E164" i="16"/>
  <c r="E169" i="16"/>
  <c r="E167" i="16"/>
  <c r="E179" i="16"/>
  <c r="E178" i="16"/>
  <c r="E163" i="16"/>
  <c r="E172" i="16"/>
  <c r="E166" i="16"/>
  <c r="E180" i="16"/>
  <c r="E161" i="16"/>
  <c r="E162" i="16"/>
  <c r="E175" i="16"/>
  <c r="E171" i="16"/>
  <c r="E168" i="16"/>
  <c r="E176" i="16"/>
  <c r="E174" i="16"/>
  <c r="J173" i="16"/>
  <c r="J163" i="16"/>
  <c r="J176" i="16"/>
  <c r="J168" i="16"/>
  <c r="J172" i="16"/>
  <c r="J170" i="16"/>
  <c r="J166" i="16"/>
  <c r="J167" i="16"/>
  <c r="J169" i="16"/>
  <c r="J175" i="16"/>
  <c r="J165" i="16"/>
  <c r="J178" i="16"/>
  <c r="J177" i="16"/>
  <c r="J180" i="16"/>
  <c r="J162" i="16"/>
  <c r="J171" i="16"/>
  <c r="J179" i="16"/>
  <c r="J161" i="16"/>
  <c r="J164" i="16"/>
  <c r="J174" i="16"/>
  <c r="AF61" i="9"/>
  <c r="Q138" i="8"/>
  <c r="AA101" i="8" s="1"/>
  <c r="Q133" i="8"/>
  <c r="AA96" i="8" s="1"/>
  <c r="Q169" i="8"/>
  <c r="AB100" i="8" s="1"/>
  <c r="Q172" i="8"/>
  <c r="AB103" i="8" s="1"/>
  <c r="R132" i="16"/>
  <c r="Y101" i="16" s="1"/>
  <c r="L132" i="16"/>
  <c r="R134" i="16"/>
  <c r="Y103" i="16" s="1"/>
  <c r="L134" i="16"/>
  <c r="M139" i="7"/>
  <c r="M135" i="7"/>
  <c r="L156" i="7"/>
  <c r="L155" i="7"/>
  <c r="L165" i="7"/>
  <c r="L168" i="7"/>
  <c r="L167" i="7"/>
  <c r="L158" i="7"/>
  <c r="L170" i="7"/>
  <c r="L157" i="7"/>
  <c r="L169" i="7"/>
  <c r="L160" i="7"/>
  <c r="L172" i="7"/>
  <c r="L159" i="7"/>
  <c r="L171" i="7"/>
  <c r="L162" i="7"/>
  <c r="L174" i="7"/>
  <c r="L161" i="7"/>
  <c r="L173" i="7"/>
  <c r="L164" i="7"/>
  <c r="L166" i="7"/>
  <c r="L163" i="7"/>
  <c r="AJ68" i="9"/>
  <c r="BP271" i="9" s="1"/>
  <c r="AI67" i="9"/>
  <c r="Q134" i="16"/>
  <c r="Y69" i="16" s="1"/>
  <c r="K134" i="16"/>
  <c r="Q136" i="16"/>
  <c r="Y71" i="16" s="1"/>
  <c r="K136" i="16"/>
  <c r="I185" i="7"/>
  <c r="C184" i="7"/>
  <c r="H185" i="7"/>
  <c r="O185" i="7" s="1"/>
  <c r="K185" i="8" s="1"/>
  <c r="R185" i="8" s="1"/>
  <c r="G185" i="7"/>
  <c r="O180" i="7"/>
  <c r="F185" i="7"/>
  <c r="L184" i="7"/>
  <c r="G180" i="7"/>
  <c r="E185" i="7"/>
  <c r="K184" i="7"/>
  <c r="B178" i="7"/>
  <c r="D185" i="7"/>
  <c r="J184" i="7"/>
  <c r="H184" i="7"/>
  <c r="G184" i="7"/>
  <c r="L185" i="7"/>
  <c r="F184" i="7"/>
  <c r="C185" i="7"/>
  <c r="J185" i="7"/>
  <c r="I184" i="7"/>
  <c r="E184" i="7"/>
  <c r="D184" i="7"/>
  <c r="K185" i="7"/>
  <c r="AI60" i="9"/>
  <c r="AI73" i="9"/>
  <c r="AJ120" i="9"/>
  <c r="AF120" i="9"/>
  <c r="BH120" i="9" s="1"/>
  <c r="AD120" i="9"/>
  <c r="BF120" i="9" s="1"/>
  <c r="AI120" i="9"/>
  <c r="BK120" i="9" s="1"/>
  <c r="AE120" i="9"/>
  <c r="BG120" i="9" s="1"/>
  <c r="L109" i="9"/>
  <c r="R109" i="9" s="1"/>
  <c r="L91" i="9"/>
  <c r="R91" i="9" s="1"/>
  <c r="Z61" i="8"/>
  <c r="H180" i="16"/>
  <c r="H177" i="16"/>
  <c r="H172" i="16"/>
  <c r="H164" i="16"/>
  <c r="H171" i="16"/>
  <c r="H176" i="16"/>
  <c r="H170" i="16"/>
  <c r="H165" i="16"/>
  <c r="H162" i="16"/>
  <c r="H163" i="16"/>
  <c r="H179" i="16"/>
  <c r="H173" i="16"/>
  <c r="H174" i="16"/>
  <c r="H175" i="16"/>
  <c r="H167" i="16"/>
  <c r="H178" i="16"/>
  <c r="H168" i="16"/>
  <c r="H166" i="16"/>
  <c r="H169" i="16"/>
  <c r="H161" i="16"/>
  <c r="W119" i="16"/>
  <c r="Q127" i="8"/>
  <c r="AA90" i="8" s="1"/>
  <c r="Q136" i="8"/>
  <c r="AA99" i="8" s="1"/>
  <c r="Q170" i="8"/>
  <c r="AB101" i="8" s="1"/>
  <c r="Q164" i="8"/>
  <c r="AB95" i="8" s="1"/>
  <c r="R129" i="16"/>
  <c r="L129" i="16"/>
  <c r="R139" i="16"/>
  <c r="Y108" i="16" s="1"/>
  <c r="L139" i="16"/>
  <c r="M132" i="7"/>
  <c r="M127" i="7"/>
  <c r="E157" i="7"/>
  <c r="E155" i="7"/>
  <c r="E174" i="7"/>
  <c r="E166" i="7"/>
  <c r="E158" i="7"/>
  <c r="E168" i="7"/>
  <c r="E160" i="7"/>
  <c r="E170" i="7"/>
  <c r="E162" i="7"/>
  <c r="E172" i="7"/>
  <c r="E164" i="7"/>
  <c r="E156" i="7"/>
  <c r="E159" i="7"/>
  <c r="E171" i="7"/>
  <c r="E161" i="7"/>
  <c r="E173" i="7"/>
  <c r="E163" i="7"/>
  <c r="E165" i="7"/>
  <c r="E167" i="7"/>
  <c r="E169" i="7"/>
  <c r="R88" i="9"/>
  <c r="AA88" i="9" s="1"/>
  <c r="AB88" i="9" s="1"/>
  <c r="AI88" i="9"/>
  <c r="BK88" i="9" s="1"/>
  <c r="AD88" i="9"/>
  <c r="BF88" i="9" s="1"/>
  <c r="AG67" i="9"/>
  <c r="Q63" i="18"/>
  <c r="R63" i="18" s="1"/>
  <c r="S63" i="18" s="1"/>
  <c r="T63" i="18" s="1"/>
  <c r="AG27" i="18" s="1"/>
  <c r="Q132" i="16"/>
  <c r="Y67" i="16" s="1"/>
  <c r="K132" i="16"/>
  <c r="AJ70" i="9"/>
  <c r="BP273" i="9" s="1"/>
  <c r="AD60" i="9"/>
  <c r="AG73" i="9"/>
  <c r="Q66" i="9"/>
  <c r="AA66" i="9" s="1"/>
  <c r="AB66" i="9" s="1"/>
  <c r="BP31" i="9" s="1"/>
  <c r="L110" i="9"/>
  <c r="R110" i="9" s="1"/>
  <c r="L98" i="9"/>
  <c r="R98" i="9" s="1"/>
  <c r="D180" i="16"/>
  <c r="D176" i="16"/>
  <c r="D167" i="16"/>
  <c r="D177" i="16"/>
  <c r="D168" i="16"/>
  <c r="D165" i="16"/>
  <c r="D174" i="16"/>
  <c r="D164" i="16"/>
  <c r="D161" i="16"/>
  <c r="D162" i="16"/>
  <c r="D163" i="16"/>
  <c r="D166" i="16"/>
  <c r="D173" i="16"/>
  <c r="D178" i="16"/>
  <c r="D169" i="16"/>
  <c r="D175" i="16"/>
  <c r="D172" i="16"/>
  <c r="D171" i="16"/>
  <c r="D179" i="16"/>
  <c r="D170" i="16"/>
  <c r="R159" i="16"/>
  <c r="X153" i="16"/>
  <c r="AI61" i="9"/>
  <c r="Q139" i="8"/>
  <c r="AA102" i="8" s="1"/>
  <c r="Q137" i="8"/>
  <c r="AA100" i="8" s="1"/>
  <c r="Q160" i="8"/>
  <c r="AB91" i="8" s="1"/>
  <c r="Q174" i="8"/>
  <c r="AB105" i="8" s="1"/>
  <c r="R140" i="16"/>
  <c r="Y109" i="16" s="1"/>
  <c r="L140" i="16"/>
  <c r="R136" i="16"/>
  <c r="Y105" i="16" s="1"/>
  <c r="L136" i="16"/>
  <c r="M124" i="7"/>
  <c r="AG120" i="9"/>
  <c r="BI120" i="9" s="1"/>
  <c r="G157" i="7"/>
  <c r="G155" i="7"/>
  <c r="G156" i="7"/>
  <c r="G160" i="7"/>
  <c r="G172" i="7"/>
  <c r="G163" i="7"/>
  <c r="G162" i="7"/>
  <c r="G174" i="7"/>
  <c r="G165" i="7"/>
  <c r="G164" i="7"/>
  <c r="G167" i="7"/>
  <c r="G166" i="7"/>
  <c r="G169" i="7"/>
  <c r="G168" i="7"/>
  <c r="G159" i="7"/>
  <c r="G171" i="7"/>
  <c r="G161" i="7"/>
  <c r="G173" i="7"/>
  <c r="G158" i="7"/>
  <c r="G170" i="7"/>
  <c r="AJ67" i="9"/>
  <c r="BP270" i="9" s="1"/>
  <c r="L189" i="8"/>
  <c r="L190" i="8"/>
  <c r="L193" i="8"/>
  <c r="L195" i="8"/>
  <c r="L199" i="8"/>
  <c r="L202" i="8"/>
  <c r="L206" i="8"/>
  <c r="L198" i="8"/>
  <c r="L188" i="8"/>
  <c r="L192" i="8"/>
  <c r="L201" i="8"/>
  <c r="L187" i="8"/>
  <c r="L191" i="8"/>
  <c r="L203" i="8"/>
  <c r="L200" i="8"/>
  <c r="L204" i="8"/>
  <c r="L196" i="8"/>
  <c r="L197" i="8"/>
  <c r="L205" i="8"/>
  <c r="L194" i="8"/>
  <c r="F195" i="8"/>
  <c r="F188" i="8"/>
  <c r="F196" i="8"/>
  <c r="F187" i="8"/>
  <c r="H184" i="8"/>
  <c r="F200" i="8"/>
  <c r="F197" i="8"/>
  <c r="F206" i="8"/>
  <c r="F199" i="8"/>
  <c r="F205" i="8"/>
  <c r="F202" i="8"/>
  <c r="F203" i="8"/>
  <c r="F190" i="8"/>
  <c r="F204" i="8"/>
  <c r="F191" i="8"/>
  <c r="F189" i="8"/>
  <c r="F194" i="8"/>
  <c r="F192" i="8"/>
  <c r="F198" i="8"/>
  <c r="F201" i="8"/>
  <c r="F193" i="8"/>
  <c r="Q147" i="16"/>
  <c r="Y82" i="16" s="1"/>
  <c r="K147" i="16"/>
  <c r="AH77" i="9"/>
  <c r="AG60" i="9"/>
  <c r="AE73" i="9"/>
  <c r="L100" i="9"/>
  <c r="R100" i="9" s="1"/>
  <c r="Q128" i="8"/>
  <c r="AA91" i="8" s="1"/>
  <c r="Q123" i="8"/>
  <c r="AA86" i="8" s="1"/>
  <c r="Q155" i="8"/>
  <c r="AB86" i="8" s="1"/>
  <c r="R130" i="16"/>
  <c r="Y99" i="16" s="1"/>
  <c r="L130" i="16"/>
  <c r="M140" i="7"/>
  <c r="I161" i="7"/>
  <c r="I159" i="7"/>
  <c r="I157" i="7"/>
  <c r="I168" i="7"/>
  <c r="I160" i="7"/>
  <c r="I158" i="7"/>
  <c r="I174" i="7"/>
  <c r="I155" i="7"/>
  <c r="I166" i="7"/>
  <c r="I170" i="7"/>
  <c r="I162" i="7"/>
  <c r="I172" i="7"/>
  <c r="I164" i="7"/>
  <c r="I156" i="7"/>
  <c r="I165" i="7"/>
  <c r="I173" i="7"/>
  <c r="I167" i="7"/>
  <c r="I169" i="7"/>
  <c r="I163" i="7"/>
  <c r="I171" i="7"/>
  <c r="Y73" i="8"/>
  <c r="AA67" i="9"/>
  <c r="AB67" i="9" s="1"/>
  <c r="BP32" i="9" s="1"/>
  <c r="Q145" i="16"/>
  <c r="Y80" i="16" s="1"/>
  <c r="K145" i="16"/>
  <c r="P121" i="7"/>
  <c r="Q121" i="7" s="1"/>
  <c r="R121" i="7" s="1"/>
  <c r="T121" i="7"/>
  <c r="AH73" i="9"/>
  <c r="L97" i="9"/>
  <c r="R97" i="9" s="1"/>
  <c r="Q140" i="8"/>
  <c r="AA103" i="8" s="1"/>
  <c r="Q142" i="8"/>
  <c r="AA105" i="8" s="1"/>
  <c r="Q167" i="8"/>
  <c r="AB98" i="8" s="1"/>
  <c r="Q163" i="8"/>
  <c r="AB94" i="8" s="1"/>
  <c r="R147" i="16"/>
  <c r="Y116" i="16" s="1"/>
  <c r="L147" i="16"/>
  <c r="M131" i="7"/>
  <c r="Q129" i="16"/>
  <c r="K129" i="16"/>
  <c r="AI77" i="9"/>
  <c r="AH60" i="9"/>
  <c r="Q73" i="9"/>
  <c r="AG66" i="9"/>
  <c r="L107" i="9"/>
  <c r="R107" i="9" s="1"/>
  <c r="Q159" i="16"/>
  <c r="S159" i="16"/>
  <c r="Q135" i="8"/>
  <c r="AA98" i="8" s="1"/>
  <c r="Q124" i="8"/>
  <c r="AA87" i="8" s="1"/>
  <c r="Q159" i="8"/>
  <c r="AB90" i="8" s="1"/>
  <c r="Q162" i="8"/>
  <c r="AB93" i="8" s="1"/>
  <c r="P162" i="8"/>
  <c r="R141" i="16"/>
  <c r="Y110" i="16" s="1"/>
  <c r="L141" i="16"/>
  <c r="K120" i="8"/>
  <c r="O141" i="7"/>
  <c r="O137" i="7"/>
  <c r="O126" i="7"/>
  <c r="O134" i="7"/>
  <c r="O127" i="7"/>
  <c r="O128" i="7"/>
  <c r="O135" i="7"/>
  <c r="O129" i="7"/>
  <c r="O136" i="7"/>
  <c r="O130" i="7"/>
  <c r="O123" i="7"/>
  <c r="O131" i="7"/>
  <c r="O124" i="7"/>
  <c r="O132" i="7"/>
  <c r="O140" i="7"/>
  <c r="O139" i="7"/>
  <c r="O142" i="7"/>
  <c r="O138" i="7"/>
  <c r="O125" i="7"/>
  <c r="O133" i="7"/>
  <c r="P120" i="7"/>
  <c r="Q120" i="7" s="1"/>
  <c r="R120" i="7" s="1"/>
  <c r="M123" i="7"/>
  <c r="O152" i="7"/>
  <c r="H170" i="7"/>
  <c r="H155" i="7"/>
  <c r="H172" i="7"/>
  <c r="H157" i="7"/>
  <c r="H174" i="7"/>
  <c r="H159" i="7"/>
  <c r="H161" i="7"/>
  <c r="H163" i="7"/>
  <c r="H156" i="7"/>
  <c r="H165" i="7"/>
  <c r="H158" i="7"/>
  <c r="H167" i="7"/>
  <c r="H160" i="7"/>
  <c r="H169" i="7"/>
  <c r="H162" i="7"/>
  <c r="H171" i="7"/>
  <c r="H164" i="7"/>
  <c r="H173" i="7"/>
  <c r="H166" i="7"/>
  <c r="H168" i="7"/>
  <c r="AE68" i="9"/>
  <c r="M194" i="8"/>
  <c r="M187" i="8"/>
  <c r="M195" i="8"/>
  <c r="M201" i="8"/>
  <c r="M204" i="8"/>
  <c r="M205" i="8"/>
  <c r="M203" i="8"/>
  <c r="M199" i="8"/>
  <c r="M189" i="8"/>
  <c r="M190" i="8"/>
  <c r="M202" i="8"/>
  <c r="M188" i="8"/>
  <c r="M193" i="8"/>
  <c r="M191" i="8"/>
  <c r="M197" i="8"/>
  <c r="M192" i="8"/>
  <c r="M198" i="8"/>
  <c r="M206" i="8"/>
  <c r="M200" i="8"/>
  <c r="M196" i="8"/>
  <c r="Q144" i="16"/>
  <c r="Y79" i="16" s="1"/>
  <c r="K144" i="16"/>
  <c r="Q130" i="16"/>
  <c r="Y65" i="16" s="1"/>
  <c r="K130" i="16"/>
  <c r="AF77" i="9"/>
  <c r="R73" i="9"/>
  <c r="AF76" i="9"/>
  <c r="AJ60" i="9"/>
  <c r="BP263" i="9" s="1"/>
  <c r="L102" i="9"/>
  <c r="Q141" i="8"/>
  <c r="AA104" i="8" s="1"/>
  <c r="Q125" i="8"/>
  <c r="AA88" i="8" s="1"/>
  <c r="Q165" i="8"/>
  <c r="AB96" i="8" s="1"/>
  <c r="R144" i="16"/>
  <c r="Y113" i="16" s="1"/>
  <c r="L144" i="16"/>
  <c r="M126" i="7"/>
  <c r="M142" i="7"/>
  <c r="J158" i="7"/>
  <c r="J156" i="7"/>
  <c r="J171" i="7"/>
  <c r="J163" i="7"/>
  <c r="J155" i="7"/>
  <c r="J173" i="7"/>
  <c r="J165" i="7"/>
  <c r="J157" i="7"/>
  <c r="J167" i="7"/>
  <c r="J159" i="7"/>
  <c r="J169" i="7"/>
  <c r="J161" i="7"/>
  <c r="J164" i="7"/>
  <c r="J166" i="7"/>
  <c r="J168" i="7"/>
  <c r="J170" i="7"/>
  <c r="J160" i="7"/>
  <c r="J172" i="7"/>
  <c r="J162" i="7"/>
  <c r="J174" i="7"/>
  <c r="Q138" i="16"/>
  <c r="Y73" i="16" s="1"/>
  <c r="K138" i="16"/>
  <c r="Q148" i="16"/>
  <c r="Y83" i="16" s="1"/>
  <c r="K148" i="16"/>
  <c r="AJ77" i="9"/>
  <c r="BP280" i="9" s="1"/>
  <c r="AF60" i="9"/>
  <c r="L101" i="9"/>
  <c r="R101" i="9" s="1"/>
  <c r="L99" i="9"/>
  <c r="R99" i="9" s="1"/>
  <c r="S158" i="16"/>
  <c r="I171" i="16"/>
  <c r="I179" i="16"/>
  <c r="I168" i="16"/>
  <c r="I167" i="16"/>
  <c r="I163" i="16"/>
  <c r="I161" i="16"/>
  <c r="I164" i="16"/>
  <c r="I175" i="16"/>
  <c r="I170" i="16"/>
  <c r="I176" i="16"/>
  <c r="I165" i="16"/>
  <c r="I172" i="16"/>
  <c r="I177" i="16"/>
  <c r="I166" i="16"/>
  <c r="I180" i="16"/>
  <c r="I174" i="16"/>
  <c r="I169" i="16"/>
  <c r="I162" i="16"/>
  <c r="I178" i="16"/>
  <c r="I173" i="16"/>
  <c r="W85" i="16"/>
  <c r="Q134" i="8"/>
  <c r="AA97" i="8" s="1"/>
  <c r="Q166" i="8"/>
  <c r="AB97" i="8" s="1"/>
  <c r="R142" i="16"/>
  <c r="Y111" i="16" s="1"/>
  <c r="L142" i="16"/>
  <c r="R131" i="16"/>
  <c r="Y100" i="16" s="1"/>
  <c r="L131" i="16"/>
  <c r="M141" i="7"/>
  <c r="M130" i="7"/>
  <c r="F155" i="7"/>
  <c r="F156" i="7"/>
  <c r="F164" i="7"/>
  <c r="F167" i="7"/>
  <c r="F166" i="7"/>
  <c r="F157" i="7"/>
  <c r="F169" i="7"/>
  <c r="F168" i="7"/>
  <c r="F159" i="7"/>
  <c r="F171" i="7"/>
  <c r="F158" i="7"/>
  <c r="F170" i="7"/>
  <c r="F161" i="7"/>
  <c r="F173" i="7"/>
  <c r="F160" i="7"/>
  <c r="F172" i="7"/>
  <c r="F163" i="7"/>
  <c r="F162" i="7"/>
  <c r="F174" i="7"/>
  <c r="F165" i="7"/>
  <c r="Z60" i="8"/>
  <c r="AG72" i="9"/>
  <c r="AE72" i="9"/>
  <c r="AH72" i="9"/>
  <c r="AJ72" i="9"/>
  <c r="BP275" i="9" s="1"/>
  <c r="AD72" i="9"/>
  <c r="Q140" i="16"/>
  <c r="Y75" i="16" s="1"/>
  <c r="K140" i="16"/>
  <c r="Q143" i="16"/>
  <c r="Y78" i="16" s="1"/>
  <c r="K143" i="16"/>
  <c r="AE77" i="9"/>
  <c r="D191" i="16"/>
  <c r="J190" i="16" a="1"/>
  <c r="J190" i="16" s="1"/>
  <c r="C190" i="16"/>
  <c r="J191" i="16" a="1"/>
  <c r="J191" i="16" s="1"/>
  <c r="C191" i="16"/>
  <c r="I190" i="16" a="1"/>
  <c r="I190" i="16" s="1"/>
  <c r="B184" i="16"/>
  <c r="I191" i="16" a="1"/>
  <c r="I191" i="16" s="1"/>
  <c r="H190" i="16" a="1"/>
  <c r="H190" i="16" s="1"/>
  <c r="H191" i="16" a="1"/>
  <c r="H191" i="16" s="1"/>
  <c r="G190" i="16" a="1"/>
  <c r="G190" i="16" s="1"/>
  <c r="G191" i="16" a="1"/>
  <c r="G191" i="16" s="1"/>
  <c r="F190" i="16" a="1"/>
  <c r="F190" i="16" s="1"/>
  <c r="F191" i="16" a="1"/>
  <c r="F191" i="16" s="1"/>
  <c r="E190" i="16" a="1"/>
  <c r="E190" i="16" s="1"/>
  <c r="E191" i="16" a="1"/>
  <c r="E191" i="16" s="1"/>
  <c r="D190" i="16"/>
  <c r="AE60" i="9"/>
  <c r="L104" i="9"/>
  <c r="R104" i="9" s="1"/>
  <c r="L103" i="9"/>
  <c r="R103" i="9" s="1"/>
  <c r="F175" i="16"/>
  <c r="F178" i="16"/>
  <c r="F162" i="16"/>
  <c r="F172" i="16"/>
  <c r="F169" i="16"/>
  <c r="F179" i="16"/>
  <c r="F170" i="16"/>
  <c r="F164" i="16"/>
  <c r="F166" i="16"/>
  <c r="F168" i="16"/>
  <c r="F180" i="16"/>
  <c r="F177" i="16"/>
  <c r="F176" i="16"/>
  <c r="F161" i="16"/>
  <c r="F167" i="16"/>
  <c r="F174" i="16"/>
  <c r="F173" i="16"/>
  <c r="F171" i="16"/>
  <c r="F165" i="16"/>
  <c r="F163" i="16"/>
  <c r="X85" i="16"/>
  <c r="Y107" i="8"/>
  <c r="Q129" i="8"/>
  <c r="AA92" i="8" s="1"/>
  <c r="Q161" i="8"/>
  <c r="AB92" i="8" s="1"/>
  <c r="R148" i="16"/>
  <c r="Y117" i="16" s="1"/>
  <c r="L148" i="16"/>
  <c r="R143" i="16"/>
  <c r="Y112" i="16" s="1"/>
  <c r="L143" i="16"/>
  <c r="M134" i="7"/>
  <c r="M138" i="7"/>
  <c r="Q184" i="8"/>
  <c r="C192" i="8"/>
  <c r="C193" i="8"/>
  <c r="C196" i="8"/>
  <c r="C201" i="8"/>
  <c r="C205" i="8"/>
  <c r="C204" i="8"/>
  <c r="C197" i="8"/>
  <c r="C187" i="8"/>
  <c r="C188" i="8"/>
  <c r="C198" i="8"/>
  <c r="C200" i="8"/>
  <c r="C206" i="8"/>
  <c r="C203" i="8"/>
  <c r="C191" i="8"/>
  <c r="C189" i="8"/>
  <c r="C195" i="8"/>
  <c r="C190" i="8"/>
  <c r="C194" i="8"/>
  <c r="C202" i="8"/>
  <c r="C199" i="8"/>
  <c r="AI65" i="9"/>
  <c r="T45" i="9"/>
  <c r="Q139" i="16"/>
  <c r="Y74" i="16" s="1"/>
  <c r="K139" i="16"/>
  <c r="Q135" i="16"/>
  <c r="Y70" i="16" s="1"/>
  <c r="K135" i="16"/>
  <c r="AG77" i="9"/>
  <c r="L92" i="9"/>
  <c r="R92" i="9" s="1"/>
  <c r="L93" i="9"/>
  <c r="R93" i="9" s="1"/>
  <c r="M159" i="16"/>
  <c r="K159" i="16"/>
  <c r="Q130" i="8"/>
  <c r="AA93" i="8" s="1"/>
  <c r="Q168" i="8"/>
  <c r="AB99" i="8" s="1"/>
  <c r="P168" i="8"/>
  <c r="Q171" i="8"/>
  <c r="AB102" i="8" s="1"/>
  <c r="R138" i="16"/>
  <c r="Y107" i="16" s="1"/>
  <c r="L138" i="16"/>
  <c r="R133" i="16"/>
  <c r="Y102" i="16" s="1"/>
  <c r="L133" i="16"/>
  <c r="M136" i="7"/>
  <c r="M129" i="7"/>
  <c r="C162" i="7"/>
  <c r="C160" i="7"/>
  <c r="C158" i="7"/>
  <c r="C156" i="7"/>
  <c r="C169" i="7"/>
  <c r="C171" i="7"/>
  <c r="C163" i="7"/>
  <c r="C161" i="7"/>
  <c r="C173" i="7"/>
  <c r="C165" i="7"/>
  <c r="C157" i="7"/>
  <c r="C155" i="7"/>
  <c r="C167" i="7"/>
  <c r="C159" i="7"/>
  <c r="C166" i="7"/>
  <c r="C174" i="7"/>
  <c r="C168" i="7"/>
  <c r="C170" i="7"/>
  <c r="C164" i="7"/>
  <c r="C172" i="7"/>
  <c r="D157" i="7"/>
  <c r="D155" i="7"/>
  <c r="D174" i="7"/>
  <c r="D166" i="7"/>
  <c r="D158" i="7"/>
  <c r="D168" i="7"/>
  <c r="D160" i="7"/>
  <c r="D170" i="7"/>
  <c r="D162" i="7"/>
  <c r="D172" i="7"/>
  <c r="D164" i="7"/>
  <c r="D156" i="7"/>
  <c r="D163" i="7"/>
  <c r="D165" i="7"/>
  <c r="D167" i="7"/>
  <c r="D169" i="7"/>
  <c r="D159" i="7"/>
  <c r="D171" i="7"/>
  <c r="D161" i="7"/>
  <c r="D173" i="7"/>
  <c r="AI72" i="9"/>
  <c r="AF75" i="9"/>
  <c r="Q142" i="16"/>
  <c r="Y77" i="16" s="1"/>
  <c r="K142" i="16"/>
  <c r="Q133" i="16"/>
  <c r="Y68" i="16" s="1"/>
  <c r="K133" i="16"/>
  <c r="Q77" i="9"/>
  <c r="AA77" i="9" s="1"/>
  <c r="AB77" i="9" s="1"/>
  <c r="BP42" i="9" s="1"/>
  <c r="Y66" i="8"/>
  <c r="L106" i="9"/>
  <c r="R106" i="9" s="1"/>
  <c r="L108" i="9"/>
  <c r="R158" i="16"/>
  <c r="G175" i="16"/>
  <c r="G169" i="16"/>
  <c r="G174" i="16"/>
  <c r="G180" i="16"/>
  <c r="G177" i="16"/>
  <c r="G166" i="16"/>
  <c r="G168" i="16"/>
  <c r="G165" i="16"/>
  <c r="G171" i="16"/>
  <c r="G163" i="16"/>
  <c r="G176" i="16"/>
  <c r="G170" i="16"/>
  <c r="G162" i="16"/>
  <c r="G178" i="16"/>
  <c r="G172" i="16"/>
  <c r="G173" i="16"/>
  <c r="G179" i="16"/>
  <c r="G161" i="16"/>
  <c r="G167" i="16"/>
  <c r="G164" i="16"/>
  <c r="X111" i="16"/>
  <c r="X119" i="16" s="1"/>
  <c r="Q131" i="8"/>
  <c r="AA94" i="8" s="1"/>
  <c r="Q157" i="8"/>
  <c r="AB88" i="8" s="1"/>
  <c r="Q173" i="8"/>
  <c r="AB104" i="8" s="1"/>
  <c r="R145" i="16"/>
  <c r="Y114" i="16" s="1"/>
  <c r="L145" i="16"/>
  <c r="R137" i="16"/>
  <c r="Y106" i="16" s="1"/>
  <c r="L137" i="16"/>
  <c r="M133" i="7"/>
  <c r="M137" i="7"/>
  <c r="K156" i="7"/>
  <c r="K171" i="7"/>
  <c r="K163" i="7"/>
  <c r="K155" i="7"/>
  <c r="K173" i="7"/>
  <c r="K165" i="7"/>
  <c r="K157" i="7"/>
  <c r="K167" i="7"/>
  <c r="K159" i="7"/>
  <c r="K169" i="7"/>
  <c r="K161" i="7"/>
  <c r="K160" i="7"/>
  <c r="K172" i="7"/>
  <c r="K162" i="7"/>
  <c r="K174" i="7"/>
  <c r="K164" i="7"/>
  <c r="K166" i="7"/>
  <c r="K168" i="7"/>
  <c r="K158" i="7"/>
  <c r="K170" i="7"/>
  <c r="AA72" i="9"/>
  <c r="AB72" i="9" s="1"/>
  <c r="BP37" i="9" s="1"/>
  <c r="AF65" i="9"/>
  <c r="AH65" i="9"/>
  <c r="Q131" i="16"/>
  <c r="Y66" i="16" s="1"/>
  <c r="K131" i="16"/>
  <c r="Q137" i="16"/>
  <c r="Y72" i="16" s="1"/>
  <c r="K137" i="16"/>
  <c r="AE59" i="9"/>
  <c r="AI59" i="9"/>
  <c r="L94" i="9"/>
  <c r="R94" i="9" s="1"/>
  <c r="L105" i="9"/>
  <c r="C173" i="16"/>
  <c r="C175" i="16"/>
  <c r="C163" i="16"/>
  <c r="C172" i="16"/>
  <c r="C169" i="16"/>
  <c r="C165" i="16"/>
  <c r="C171" i="16"/>
  <c r="C180" i="16"/>
  <c r="C174" i="16"/>
  <c r="C162" i="16"/>
  <c r="C168" i="16"/>
  <c r="C179" i="16"/>
  <c r="C177" i="16"/>
  <c r="C161" i="16"/>
  <c r="C170" i="16"/>
  <c r="C164" i="16"/>
  <c r="C167" i="16"/>
  <c r="C178" i="16"/>
  <c r="C176" i="16"/>
  <c r="C166" i="16"/>
  <c r="Q126" i="8"/>
  <c r="AA89" i="8" s="1"/>
  <c r="Q132" i="8"/>
  <c r="AA95" i="8" s="1"/>
  <c r="Q158" i="8"/>
  <c r="AB89" i="8" s="1"/>
  <c r="Q156" i="8"/>
  <c r="AB87" i="8" s="1"/>
  <c r="R146" i="16"/>
  <c r="Y115" i="16" s="1"/>
  <c r="L146" i="16"/>
  <c r="R135" i="16"/>
  <c r="Y104" i="16" s="1"/>
  <c r="L135" i="16"/>
  <c r="M125" i="7"/>
  <c r="M128" i="7"/>
  <c r="AH67" i="9"/>
  <c r="T78" i="7"/>
  <c r="X77" i="7" s="1"/>
  <c r="T65" i="7"/>
  <c r="X64" i="7" s="1"/>
  <c r="T77" i="7"/>
  <c r="X76" i="7" s="1"/>
  <c r="T70" i="7"/>
  <c r="X69" i="7" s="1"/>
  <c r="T67" i="7"/>
  <c r="X66" i="7" s="1"/>
  <c r="T60" i="7"/>
  <c r="X59" i="7" s="1"/>
  <c r="T72" i="7"/>
  <c r="X71" i="7" s="1"/>
  <c r="T69" i="7"/>
  <c r="X68" i="7" s="1"/>
  <c r="T62" i="7"/>
  <c r="X61" i="7" s="1"/>
  <c r="T74" i="7"/>
  <c r="X73" i="7" s="1"/>
  <c r="T59" i="7"/>
  <c r="T71" i="7"/>
  <c r="X70" i="7" s="1"/>
  <c r="T64" i="7"/>
  <c r="X63" i="7" s="1"/>
  <c r="T76" i="7"/>
  <c r="X75" i="7" s="1"/>
  <c r="T61" i="7"/>
  <c r="X60" i="7" s="1"/>
  <c r="T73" i="7"/>
  <c r="X72" i="7" s="1"/>
  <c r="T66" i="7"/>
  <c r="X65" i="7" s="1"/>
  <c r="T68" i="7"/>
  <c r="X67" i="7" s="1"/>
  <c r="T63" i="7"/>
  <c r="X62" i="7" s="1"/>
  <c r="T75" i="7"/>
  <c r="X74" i="7" s="1"/>
  <c r="Z56" i="8"/>
  <c r="AD59" i="9"/>
  <c r="S144" i="16"/>
  <c r="Y147" i="16" s="1"/>
  <c r="M144" i="16"/>
  <c r="S131" i="16"/>
  <c r="Y134" i="16" s="1"/>
  <c r="M131" i="16"/>
  <c r="AI75" i="9"/>
  <c r="AE62" i="9"/>
  <c r="K133" i="9"/>
  <c r="Q133" i="9" s="1"/>
  <c r="K129" i="9"/>
  <c r="Q129" i="9" s="1"/>
  <c r="S107" i="9"/>
  <c r="S99" i="9"/>
  <c r="L153" i="9"/>
  <c r="R153" i="9" s="1"/>
  <c r="Z62" i="8"/>
  <c r="AH74" i="9"/>
  <c r="AJ69" i="9"/>
  <c r="BP272" i="9" s="1"/>
  <c r="T142" i="9"/>
  <c r="T139" i="9"/>
  <c r="K98" i="9"/>
  <c r="K99" i="9"/>
  <c r="N129" i="7"/>
  <c r="N141" i="7"/>
  <c r="L124" i="9"/>
  <c r="R124" i="9" s="1"/>
  <c r="AE64" i="9"/>
  <c r="S147" i="16"/>
  <c r="Y150" i="16" s="1"/>
  <c r="M147" i="16"/>
  <c r="S138" i="16"/>
  <c r="Y141" i="16" s="1"/>
  <c r="M138" i="16"/>
  <c r="Q75" i="9"/>
  <c r="AA75" i="9" s="1"/>
  <c r="AB75" i="9" s="1"/>
  <c r="BP40" i="9" s="1"/>
  <c r="K130" i="9"/>
  <c r="K132" i="9"/>
  <c r="P165" i="9"/>
  <c r="P166" i="9"/>
  <c r="P168" i="9"/>
  <c r="P155" i="9"/>
  <c r="P164" i="9"/>
  <c r="P172" i="9"/>
  <c r="P170" i="9"/>
  <c r="P173" i="9"/>
  <c r="P163" i="9"/>
  <c r="P161" i="9"/>
  <c r="P174" i="9"/>
  <c r="P162" i="9"/>
  <c r="P158" i="9"/>
  <c r="P171" i="9"/>
  <c r="P160" i="9"/>
  <c r="P156" i="9"/>
  <c r="P169" i="9"/>
  <c r="P167" i="9"/>
  <c r="P159" i="9"/>
  <c r="P157" i="9"/>
  <c r="AF69" i="9"/>
  <c r="T133" i="9"/>
  <c r="T125" i="9"/>
  <c r="K103" i="9"/>
  <c r="K92" i="9"/>
  <c r="N128" i="7"/>
  <c r="N142" i="7"/>
  <c r="L133" i="9"/>
  <c r="L131" i="9"/>
  <c r="R131" i="9" s="1"/>
  <c r="Z70" i="8"/>
  <c r="AH64" i="9"/>
  <c r="Z73" i="8"/>
  <c r="AE67" i="9"/>
  <c r="AG59" i="9"/>
  <c r="S146" i="16"/>
  <c r="Y149" i="16" s="1"/>
  <c r="M146" i="16"/>
  <c r="S140" i="16"/>
  <c r="Y143" i="16" s="1"/>
  <c r="M140" i="16"/>
  <c r="AD75" i="9"/>
  <c r="AH62" i="9"/>
  <c r="K139" i="9"/>
  <c r="Q139" i="9" s="1"/>
  <c r="K138" i="9"/>
  <c r="S103" i="9"/>
  <c r="S91" i="9"/>
  <c r="AZ206" i="9"/>
  <c r="AN206" i="9"/>
  <c r="BA205" i="9"/>
  <c r="AO205" i="9"/>
  <c r="BB204" i="9"/>
  <c r="AP204" i="9"/>
  <c r="BC203" i="9"/>
  <c r="AQ203" i="9"/>
  <c r="BD202" i="9"/>
  <c r="AR202" i="9"/>
  <c r="BE201" i="9"/>
  <c r="AS201" i="9"/>
  <c r="AT200" i="9"/>
  <c r="AY206" i="9"/>
  <c r="AM206" i="9"/>
  <c r="Z206" i="9"/>
  <c r="AZ205" i="9"/>
  <c r="AN205" i="9"/>
  <c r="BA204" i="9"/>
  <c r="AO204" i="9"/>
  <c r="BB203" i="9"/>
  <c r="AP203" i="9"/>
  <c r="BC202" i="9"/>
  <c r="AQ202" i="9"/>
  <c r="BD201" i="9"/>
  <c r="AR201" i="9"/>
  <c r="BE200" i="9"/>
  <c r="AS200" i="9"/>
  <c r="AX206" i="9"/>
  <c r="AL206" i="9"/>
  <c r="Y206" i="9"/>
  <c r="AY205" i="9"/>
  <c r="AM205" i="9"/>
  <c r="Z205" i="9"/>
  <c r="AZ204" i="9"/>
  <c r="AN204" i="9"/>
  <c r="BA203" i="9"/>
  <c r="AO203" i="9"/>
  <c r="BB202" i="9"/>
  <c r="AP202" i="9"/>
  <c r="BC201" i="9"/>
  <c r="AQ201" i="9"/>
  <c r="BD200" i="9"/>
  <c r="AR200" i="9"/>
  <c r="AV206" i="9"/>
  <c r="W206" i="9"/>
  <c r="AW205" i="9"/>
  <c r="AK205" i="9"/>
  <c r="X205" i="9"/>
  <c r="AX204" i="9"/>
  <c r="AL204" i="9"/>
  <c r="Y204" i="9"/>
  <c r="AY203" i="9"/>
  <c r="AM203" i="9"/>
  <c r="Z203" i="9"/>
  <c r="AZ202" i="9"/>
  <c r="AN202" i="9"/>
  <c r="BA201" i="9"/>
  <c r="AO201" i="9"/>
  <c r="BB200" i="9"/>
  <c r="AP200" i="9"/>
  <c r="AU206" i="9"/>
  <c r="V206" i="9"/>
  <c r="AV205" i="9"/>
  <c r="W205" i="9"/>
  <c r="AW204" i="9"/>
  <c r="AK204" i="9"/>
  <c r="X204" i="9"/>
  <c r="BE206" i="9"/>
  <c r="AS206" i="9"/>
  <c r="AT205" i="9"/>
  <c r="U205" i="9"/>
  <c r="AU204" i="9"/>
  <c r="V204" i="9"/>
  <c r="AV203" i="9"/>
  <c r="W203" i="9"/>
  <c r="AW202" i="9"/>
  <c r="AK202" i="9"/>
  <c r="X202" i="9"/>
  <c r="AX201" i="9"/>
  <c r="AL201" i="9"/>
  <c r="Y201" i="9"/>
  <c r="AY200" i="9"/>
  <c r="AM200" i="9"/>
  <c r="AT206" i="9"/>
  <c r="U206" i="9"/>
  <c r="AV204" i="9"/>
  <c r="W204" i="9"/>
  <c r="AN203" i="9"/>
  <c r="AM202" i="9"/>
  <c r="AM201" i="9"/>
  <c r="AL200" i="9"/>
  <c r="V200" i="9"/>
  <c r="AV199" i="9"/>
  <c r="W199" i="9"/>
  <c r="AW198" i="9"/>
  <c r="AK198" i="9"/>
  <c r="X198" i="9"/>
  <c r="AX197" i="9"/>
  <c r="AL197" i="9"/>
  <c r="Y197" i="9"/>
  <c r="AY196" i="9"/>
  <c r="AM196" i="9"/>
  <c r="Z196" i="9"/>
  <c r="AZ195" i="9"/>
  <c r="AN195" i="9"/>
  <c r="BA194" i="9"/>
  <c r="AO194" i="9"/>
  <c r="BB193" i="9"/>
  <c r="AP193" i="9"/>
  <c r="BC192" i="9"/>
  <c r="AQ192" i="9"/>
  <c r="AR206" i="9"/>
  <c r="BE205" i="9"/>
  <c r="AT204" i="9"/>
  <c r="U204" i="9"/>
  <c r="AL203" i="9"/>
  <c r="AL202" i="9"/>
  <c r="AK201" i="9"/>
  <c r="AK200" i="9"/>
  <c r="U200" i="9"/>
  <c r="AU199" i="9"/>
  <c r="V199" i="9"/>
  <c r="AV198" i="9"/>
  <c r="W198" i="9"/>
  <c r="AW197" i="9"/>
  <c r="AK197" i="9"/>
  <c r="X197" i="9"/>
  <c r="AX196" i="9"/>
  <c r="AL196" i="9"/>
  <c r="Y196" i="9"/>
  <c r="AY195" i="9"/>
  <c r="AM195" i="9"/>
  <c r="AP206" i="9"/>
  <c r="BC205" i="9"/>
  <c r="AR204" i="9"/>
  <c r="BE203" i="9"/>
  <c r="BE202" i="9"/>
  <c r="BB201" i="9"/>
  <c r="BA200" i="9"/>
  <c r="BE199" i="9"/>
  <c r="AS199" i="9"/>
  <c r="AT198" i="9"/>
  <c r="U198" i="9"/>
  <c r="AU197" i="9"/>
  <c r="V197" i="9"/>
  <c r="AV196" i="9"/>
  <c r="W196" i="9"/>
  <c r="AW195" i="9"/>
  <c r="AK195" i="9"/>
  <c r="X195" i="9"/>
  <c r="AX194" i="9"/>
  <c r="AL194" i="9"/>
  <c r="AK206" i="9"/>
  <c r="AX205" i="9"/>
  <c r="Y205" i="9"/>
  <c r="AM204" i="9"/>
  <c r="AZ203" i="9"/>
  <c r="AY202" i="9"/>
  <c r="AY201" i="9"/>
  <c r="AX200" i="9"/>
  <c r="BC199" i="9"/>
  <c r="AQ199" i="9"/>
  <c r="BD198" i="9"/>
  <c r="AR198" i="9"/>
  <c r="BE197" i="9"/>
  <c r="AS197" i="9"/>
  <c r="AT196" i="9"/>
  <c r="U196" i="9"/>
  <c r="AU195" i="9"/>
  <c r="V195" i="9"/>
  <c r="AU205" i="9"/>
  <c r="V205" i="9"/>
  <c r="AX203" i="9"/>
  <c r="AX202" i="9"/>
  <c r="AW201" i="9"/>
  <c r="AW200" i="9"/>
  <c r="BB199" i="9"/>
  <c r="AP199" i="9"/>
  <c r="BC198" i="9"/>
  <c r="AQ198" i="9"/>
  <c r="BD197" i="9"/>
  <c r="AR197" i="9"/>
  <c r="BE196" i="9"/>
  <c r="AS196" i="9"/>
  <c r="AT195" i="9"/>
  <c r="U195" i="9"/>
  <c r="AU194" i="9"/>
  <c r="V194" i="9"/>
  <c r="AV193" i="9"/>
  <c r="W193" i="9"/>
  <c r="AW192" i="9"/>
  <c r="AK192" i="9"/>
  <c r="BD206" i="9"/>
  <c r="AS205" i="9"/>
  <c r="AW203" i="9"/>
  <c r="AV202" i="9"/>
  <c r="Z202" i="9"/>
  <c r="AV201" i="9"/>
  <c r="Z201" i="9"/>
  <c r="AV200" i="9"/>
  <c r="BA199" i="9"/>
  <c r="AO199" i="9"/>
  <c r="BB198" i="9"/>
  <c r="AP198" i="9"/>
  <c r="BC197" i="9"/>
  <c r="AQ197" i="9"/>
  <c r="BD196" i="9"/>
  <c r="AR196" i="9"/>
  <c r="BE195" i="9"/>
  <c r="BB206" i="9"/>
  <c r="AQ205" i="9"/>
  <c r="BD204" i="9"/>
  <c r="AT203" i="9"/>
  <c r="X203" i="9"/>
  <c r="AT202" i="9"/>
  <c r="W202" i="9"/>
  <c r="AT201" i="9"/>
  <c r="W201" i="9"/>
  <c r="AQ200" i="9"/>
  <c r="Y200" i="9"/>
  <c r="AY199" i="9"/>
  <c r="AM199" i="9"/>
  <c r="Z199" i="9"/>
  <c r="AZ198" i="9"/>
  <c r="AN198" i="9"/>
  <c r="BA197" i="9"/>
  <c r="AO197" i="9"/>
  <c r="BB196" i="9"/>
  <c r="AP196" i="9"/>
  <c r="BC195" i="9"/>
  <c r="AQ195" i="9"/>
  <c r="BA206" i="9"/>
  <c r="AP205" i="9"/>
  <c r="BC204" i="9"/>
  <c r="AS203" i="9"/>
  <c r="V203" i="9"/>
  <c r="AS202" i="9"/>
  <c r="V202" i="9"/>
  <c r="AP201" i="9"/>
  <c r="V201" i="9"/>
  <c r="AO200" i="9"/>
  <c r="X200" i="9"/>
  <c r="AX199" i="9"/>
  <c r="AL199" i="9"/>
  <c r="Y199" i="9"/>
  <c r="AY198" i="9"/>
  <c r="AM198" i="9"/>
  <c r="Z198" i="9"/>
  <c r="AZ197" i="9"/>
  <c r="AN197" i="9"/>
  <c r="BA196" i="9"/>
  <c r="AO196" i="9"/>
  <c r="BB195" i="9"/>
  <c r="AP195" i="9"/>
  <c r="X206" i="9"/>
  <c r="AK199" i="9"/>
  <c r="Y198" i="9"/>
  <c r="AY197" i="9"/>
  <c r="AN196" i="9"/>
  <c r="BD194" i="9"/>
  <c r="AN194" i="9"/>
  <c r="X194" i="9"/>
  <c r="BE193" i="9"/>
  <c r="AQ193" i="9"/>
  <c r="AT192" i="9"/>
  <c r="BE191" i="9"/>
  <c r="AS191" i="9"/>
  <c r="AT190" i="9"/>
  <c r="U190" i="9"/>
  <c r="AU189" i="9"/>
  <c r="V189" i="9"/>
  <c r="AV188" i="9"/>
  <c r="W188" i="9"/>
  <c r="AW187" i="9"/>
  <c r="AK187" i="9"/>
  <c r="X187" i="9"/>
  <c r="AX185" i="9"/>
  <c r="AL185" i="9"/>
  <c r="Y185" i="9"/>
  <c r="M185" i="9"/>
  <c r="AY184" i="9"/>
  <c r="AM184" i="9"/>
  <c r="Z184" i="9"/>
  <c r="N184" i="9"/>
  <c r="BC200" i="9"/>
  <c r="V198" i="9"/>
  <c r="AV197" i="9"/>
  <c r="AK196" i="9"/>
  <c r="BC194" i="9"/>
  <c r="AM194" i="9"/>
  <c r="W194" i="9"/>
  <c r="BD193" i="9"/>
  <c r="AO193" i="9"/>
  <c r="Z193" i="9"/>
  <c r="AS192" i="9"/>
  <c r="BD191" i="9"/>
  <c r="AR191" i="9"/>
  <c r="BE190" i="9"/>
  <c r="AS190" i="9"/>
  <c r="AT189" i="9"/>
  <c r="U189" i="9"/>
  <c r="AU188" i="9"/>
  <c r="V188" i="9"/>
  <c r="AV187" i="9"/>
  <c r="W187" i="9"/>
  <c r="BD203" i="9"/>
  <c r="BA202" i="9"/>
  <c r="AZ201" i="9"/>
  <c r="AZ200" i="9"/>
  <c r="BE198" i="9"/>
  <c r="AT197" i="9"/>
  <c r="BB194" i="9"/>
  <c r="AK194" i="9"/>
  <c r="U194" i="9"/>
  <c r="BC193" i="9"/>
  <c r="AN193" i="9"/>
  <c r="Y193" i="9"/>
  <c r="AR192" i="9"/>
  <c r="BE204" i="9"/>
  <c r="AU203" i="9"/>
  <c r="AU202" i="9"/>
  <c r="AU201" i="9"/>
  <c r="AU200" i="9"/>
  <c r="BA198" i="9"/>
  <c r="AP197" i="9"/>
  <c r="BD195" i="9"/>
  <c r="Z195" i="9"/>
  <c r="AZ194" i="9"/>
  <c r="AY204" i="9"/>
  <c r="AR203" i="9"/>
  <c r="AO202" i="9"/>
  <c r="AN201" i="9"/>
  <c r="AN200" i="9"/>
  <c r="X199" i="9"/>
  <c r="AX198" i="9"/>
  <c r="AM197" i="9"/>
  <c r="BA195" i="9"/>
  <c r="Y195" i="9"/>
  <c r="AY194" i="9"/>
  <c r="AZ193" i="9"/>
  <c r="AL193" i="9"/>
  <c r="V193" i="9"/>
  <c r="BD192" i="9"/>
  <c r="AO192" i="9"/>
  <c r="BA191" i="9"/>
  <c r="AO191" i="9"/>
  <c r="BB190" i="9"/>
  <c r="AP190" i="9"/>
  <c r="BC189" i="9"/>
  <c r="AQ189" i="9"/>
  <c r="BD188" i="9"/>
  <c r="AR188" i="9"/>
  <c r="BE187" i="9"/>
  <c r="AS187" i="9"/>
  <c r="AT185" i="9"/>
  <c r="U185" i="9"/>
  <c r="I185" i="9"/>
  <c r="AU184" i="9"/>
  <c r="V184" i="9"/>
  <c r="J184" i="9"/>
  <c r="BD205" i="9"/>
  <c r="AS204" i="9"/>
  <c r="AK203" i="9"/>
  <c r="U199" i="9"/>
  <c r="AU198" i="9"/>
  <c r="X196" i="9"/>
  <c r="AX195" i="9"/>
  <c r="W195" i="9"/>
  <c r="AW194" i="9"/>
  <c r="AY193" i="9"/>
  <c r="AK193" i="9"/>
  <c r="U193" i="9"/>
  <c r="BB192" i="9"/>
  <c r="AN192" i="9"/>
  <c r="Z192" i="9"/>
  <c r="AZ191" i="9"/>
  <c r="AN191" i="9"/>
  <c r="BA190" i="9"/>
  <c r="AO190" i="9"/>
  <c r="BB189" i="9"/>
  <c r="AP189" i="9"/>
  <c r="BC188" i="9"/>
  <c r="AQ188" i="9"/>
  <c r="BD187" i="9"/>
  <c r="AR187" i="9"/>
  <c r="BB205" i="9"/>
  <c r="AQ204" i="9"/>
  <c r="BD199" i="9"/>
  <c r="AS198" i="9"/>
  <c r="V196" i="9"/>
  <c r="AV195" i="9"/>
  <c r="AV194" i="9"/>
  <c r="AX193" i="9"/>
  <c r="BA192" i="9"/>
  <c r="AM192" i="9"/>
  <c r="Y192" i="9"/>
  <c r="AY191" i="9"/>
  <c r="AM191" i="9"/>
  <c r="Z191" i="9"/>
  <c r="AZ190" i="9"/>
  <c r="AN190" i="9"/>
  <c r="BA189" i="9"/>
  <c r="AO189" i="9"/>
  <c r="BB188" i="9"/>
  <c r="AP188" i="9"/>
  <c r="BC187" i="9"/>
  <c r="AQ187" i="9"/>
  <c r="BD185" i="9"/>
  <c r="AR185" i="9"/>
  <c r="G185" i="9"/>
  <c r="BE184" i="9"/>
  <c r="AS184" i="9"/>
  <c r="H184" i="9"/>
  <c r="BC206" i="9"/>
  <c r="AR205" i="9"/>
  <c r="Y203" i="9"/>
  <c r="Y202" i="9"/>
  <c r="X201" i="9"/>
  <c r="Z200" i="9"/>
  <c r="AZ199" i="9"/>
  <c r="AO198" i="9"/>
  <c r="BC196" i="9"/>
  <c r="AS195" i="9"/>
  <c r="AT194" i="9"/>
  <c r="AW193" i="9"/>
  <c r="AZ192" i="9"/>
  <c r="AL192" i="9"/>
  <c r="X192" i="9"/>
  <c r="AX191" i="9"/>
  <c r="AL191" i="9"/>
  <c r="Y191" i="9"/>
  <c r="AY190" i="9"/>
  <c r="AM190" i="9"/>
  <c r="Z190" i="9"/>
  <c r="AZ189" i="9"/>
  <c r="AN189" i="9"/>
  <c r="BA188" i="9"/>
  <c r="AO188" i="9"/>
  <c r="BB187" i="9"/>
  <c r="AP187" i="9"/>
  <c r="BC185" i="9"/>
  <c r="AQ185" i="9"/>
  <c r="F185" i="9"/>
  <c r="BD184" i="9"/>
  <c r="AR184" i="9"/>
  <c r="G184" i="9"/>
  <c r="AW206" i="9"/>
  <c r="AL205" i="9"/>
  <c r="Z204" i="9"/>
  <c r="U203" i="9"/>
  <c r="U202" i="9"/>
  <c r="U201" i="9"/>
  <c r="W200" i="9"/>
  <c r="AW199" i="9"/>
  <c r="AL198" i="9"/>
  <c r="Z197" i="9"/>
  <c r="AZ196" i="9"/>
  <c r="AR195" i="9"/>
  <c r="AQ206" i="9"/>
  <c r="AT199" i="9"/>
  <c r="W197" i="9"/>
  <c r="AW196" i="9"/>
  <c r="AO195" i="9"/>
  <c r="AR194" i="9"/>
  <c r="AT193" i="9"/>
  <c r="AX192" i="9"/>
  <c r="V192" i="9"/>
  <c r="AV191" i="9"/>
  <c r="W191" i="9"/>
  <c r="AW190" i="9"/>
  <c r="AK190" i="9"/>
  <c r="X190" i="9"/>
  <c r="AX189" i="9"/>
  <c r="AL189" i="9"/>
  <c r="Y189" i="9"/>
  <c r="AY188" i="9"/>
  <c r="AM188" i="9"/>
  <c r="Z188" i="9"/>
  <c r="AZ187" i="9"/>
  <c r="AN187" i="9"/>
  <c r="BA185" i="9"/>
  <c r="AO185" i="9"/>
  <c r="P185" i="9"/>
  <c r="D185" i="9"/>
  <c r="BB184" i="9"/>
  <c r="AP184" i="9"/>
  <c r="E184" i="9"/>
  <c r="AO206" i="9"/>
  <c r="AR199" i="9"/>
  <c r="U197" i="9"/>
  <c r="AU196" i="9"/>
  <c r="AL195" i="9"/>
  <c r="AQ194" i="9"/>
  <c r="Z194" i="9"/>
  <c r="AS193" i="9"/>
  <c r="AV192" i="9"/>
  <c r="U192" i="9"/>
  <c r="AU191" i="9"/>
  <c r="V191" i="9"/>
  <c r="AV190" i="9"/>
  <c r="W190" i="9"/>
  <c r="AW189" i="9"/>
  <c r="AK189" i="9"/>
  <c r="X189" i="9"/>
  <c r="AX188" i="9"/>
  <c r="AL188" i="9"/>
  <c r="Y188" i="9"/>
  <c r="AY187" i="9"/>
  <c r="AM187" i="9"/>
  <c r="Z187" i="9"/>
  <c r="AZ185" i="9"/>
  <c r="AN185" i="9"/>
  <c r="O185" i="9"/>
  <c r="C185" i="9"/>
  <c r="BA184" i="9"/>
  <c r="AO184" i="9"/>
  <c r="P184" i="9"/>
  <c r="D184" i="9"/>
  <c r="AQ191" i="9"/>
  <c r="BE189" i="9"/>
  <c r="AT188" i="9"/>
  <c r="AM185" i="9"/>
  <c r="N185" i="9"/>
  <c r="AZ184" i="9"/>
  <c r="C184" i="9"/>
  <c r="AK191" i="9"/>
  <c r="Y190" i="9"/>
  <c r="AY189" i="9"/>
  <c r="AN188" i="9"/>
  <c r="AW184" i="9"/>
  <c r="X184" i="9"/>
  <c r="B178" i="9"/>
  <c r="BE194" i="9"/>
  <c r="AU193" i="9"/>
  <c r="AY192" i="9"/>
  <c r="BD190" i="9"/>
  <c r="AS189" i="9"/>
  <c r="V187" i="9"/>
  <c r="BE185" i="9"/>
  <c r="H185" i="9"/>
  <c r="AT184" i="9"/>
  <c r="U184" i="9"/>
  <c r="AP194" i="9"/>
  <c r="AM193" i="9"/>
  <c r="AP192" i="9"/>
  <c r="X191" i="9"/>
  <c r="AX190" i="9"/>
  <c r="AM189" i="9"/>
  <c r="BA187" i="9"/>
  <c r="AY185" i="9"/>
  <c r="Z185" i="9"/>
  <c r="AN184" i="9"/>
  <c r="O184" i="9"/>
  <c r="U191" i="9"/>
  <c r="AU190" i="9"/>
  <c r="X188" i="9"/>
  <c r="AX187" i="9"/>
  <c r="AW185" i="9"/>
  <c r="X185" i="9"/>
  <c r="AL184" i="9"/>
  <c r="M184" i="9"/>
  <c r="AN199" i="9"/>
  <c r="W192" i="9"/>
  <c r="V190" i="9"/>
  <c r="W189" i="9"/>
  <c r="U187" i="9"/>
  <c r="AK185" i="9"/>
  <c r="BB197" i="9"/>
  <c r="BA193" i="9"/>
  <c r="AR193" i="9"/>
  <c r="BC184" i="9"/>
  <c r="AQ196" i="9"/>
  <c r="W185" i="9"/>
  <c r="AX184" i="9"/>
  <c r="I184" i="9"/>
  <c r="X193" i="9"/>
  <c r="V185" i="9"/>
  <c r="AV184" i="9"/>
  <c r="F184" i="9"/>
  <c r="BC191" i="9"/>
  <c r="BE188" i="9"/>
  <c r="AQ184" i="9"/>
  <c r="BB191" i="9"/>
  <c r="BC190" i="9"/>
  <c r="BD189" i="9"/>
  <c r="AZ188" i="9"/>
  <c r="AU187" i="9"/>
  <c r="AK184" i="9"/>
  <c r="AS194" i="9"/>
  <c r="AW191" i="9"/>
  <c r="AR190" i="9"/>
  <c r="AV189" i="9"/>
  <c r="AW188" i="9"/>
  <c r="AT187" i="9"/>
  <c r="BB185" i="9"/>
  <c r="Y194" i="9"/>
  <c r="BE192" i="9"/>
  <c r="AT191" i="9"/>
  <c r="AQ190" i="9"/>
  <c r="AR189" i="9"/>
  <c r="AS188" i="9"/>
  <c r="AO187" i="9"/>
  <c r="AV185" i="9"/>
  <c r="J185" i="9"/>
  <c r="AU192" i="9"/>
  <c r="AP191" i="9"/>
  <c r="AL190" i="9"/>
  <c r="AK188" i="9"/>
  <c r="AL187" i="9"/>
  <c r="AU185" i="9"/>
  <c r="E185" i="9"/>
  <c r="AS185" i="9"/>
  <c r="Y184" i="9"/>
  <c r="Z189" i="9"/>
  <c r="U188" i="9"/>
  <c r="Y187" i="9"/>
  <c r="AP185" i="9"/>
  <c r="W184" i="9"/>
  <c r="M158" i="9"/>
  <c r="M157" i="9"/>
  <c r="M155" i="9"/>
  <c r="M156" i="9"/>
  <c r="M166" i="9"/>
  <c r="M165" i="9"/>
  <c r="M161" i="9"/>
  <c r="M162" i="9"/>
  <c r="M164" i="9"/>
  <c r="M169" i="9"/>
  <c r="M159" i="9"/>
  <c r="M163" i="9"/>
  <c r="M172" i="9"/>
  <c r="M171" i="9"/>
  <c r="M170" i="9"/>
  <c r="M160" i="9"/>
  <c r="M168" i="9"/>
  <c r="M167" i="9"/>
  <c r="M173" i="9"/>
  <c r="M174" i="9"/>
  <c r="AQ176" i="9"/>
  <c r="T127" i="9"/>
  <c r="T131" i="9"/>
  <c r="K100" i="9"/>
  <c r="K104" i="9"/>
  <c r="Z68" i="8"/>
  <c r="AD71" i="9"/>
  <c r="AE63" i="9"/>
  <c r="N127" i="7"/>
  <c r="N134" i="7"/>
  <c r="L123" i="9"/>
  <c r="R123" i="9" s="1"/>
  <c r="L139" i="9"/>
  <c r="AF64" i="9"/>
  <c r="S121" i="8"/>
  <c r="T121" i="8" s="1"/>
  <c r="AF78" i="9"/>
  <c r="AF59" i="9"/>
  <c r="S136" i="16"/>
  <c r="Y139" i="16" s="1"/>
  <c r="M136" i="16"/>
  <c r="S139" i="16"/>
  <c r="Y142" i="16" s="1"/>
  <c r="M139" i="16"/>
  <c r="AH75" i="9"/>
  <c r="AJ62" i="9"/>
  <c r="BP265" i="9" s="1"/>
  <c r="K127" i="9"/>
  <c r="K123" i="9"/>
  <c r="N156" i="9"/>
  <c r="N157" i="9"/>
  <c r="N159" i="9"/>
  <c r="N173" i="9"/>
  <c r="N165" i="9"/>
  <c r="N155" i="9"/>
  <c r="N164" i="9"/>
  <c r="N163" i="9"/>
  <c r="N170" i="9"/>
  <c r="N162" i="9"/>
  <c r="N168" i="9"/>
  <c r="N160" i="9"/>
  <c r="N172" i="9"/>
  <c r="N158" i="9"/>
  <c r="N171" i="9"/>
  <c r="N169" i="9"/>
  <c r="N161" i="9"/>
  <c r="N167" i="9"/>
  <c r="N166" i="9"/>
  <c r="N174" i="9"/>
  <c r="BC176" i="9"/>
  <c r="C158" i="9"/>
  <c r="C165" i="9"/>
  <c r="C164" i="9"/>
  <c r="C173" i="9"/>
  <c r="C163" i="9"/>
  <c r="C167" i="9"/>
  <c r="C162" i="9"/>
  <c r="C174" i="9"/>
  <c r="C171" i="9"/>
  <c r="C159" i="9"/>
  <c r="C172" i="9"/>
  <c r="C161" i="9"/>
  <c r="C156" i="9"/>
  <c r="C157" i="9"/>
  <c r="C170" i="9"/>
  <c r="C169" i="9"/>
  <c r="C168" i="9"/>
  <c r="C160" i="9"/>
  <c r="C166" i="9"/>
  <c r="C155" i="9"/>
  <c r="AM176" i="9"/>
  <c r="AD74" i="9"/>
  <c r="T138" i="9"/>
  <c r="T136" i="9"/>
  <c r="K102" i="9"/>
  <c r="K107" i="9"/>
  <c r="AJ71" i="9"/>
  <c r="BP274" i="9" s="1"/>
  <c r="N126" i="7"/>
  <c r="N133" i="7"/>
  <c r="L138" i="9"/>
  <c r="L141" i="9"/>
  <c r="R141" i="9" s="1"/>
  <c r="Z58" i="8"/>
  <c r="S145" i="16"/>
  <c r="Y148" i="16" s="1"/>
  <c r="M145" i="16"/>
  <c r="S137" i="16"/>
  <c r="Y140" i="16" s="1"/>
  <c r="M137" i="16"/>
  <c r="AE75" i="9"/>
  <c r="Y67" i="8"/>
  <c r="K141" i="9"/>
  <c r="AZ176" i="9"/>
  <c r="O158" i="9"/>
  <c r="O174" i="9"/>
  <c r="O167" i="9"/>
  <c r="O171" i="9"/>
  <c r="O164" i="9"/>
  <c r="O169" i="9"/>
  <c r="O163" i="9"/>
  <c r="O155" i="9"/>
  <c r="O162" i="9"/>
  <c r="O159" i="9"/>
  <c r="O172" i="9"/>
  <c r="O173" i="9"/>
  <c r="O161" i="9"/>
  <c r="O157" i="9"/>
  <c r="O156" i="9"/>
  <c r="O170" i="9"/>
  <c r="O168" i="9"/>
  <c r="O160" i="9"/>
  <c r="O166" i="9"/>
  <c r="O165" i="9"/>
  <c r="F156" i="9"/>
  <c r="F155" i="9"/>
  <c r="F166" i="9"/>
  <c r="F170" i="9"/>
  <c r="F167" i="9"/>
  <c r="F164" i="9"/>
  <c r="F165" i="9"/>
  <c r="F157" i="9"/>
  <c r="F163" i="9"/>
  <c r="F174" i="9"/>
  <c r="F162" i="9"/>
  <c r="F168" i="9"/>
  <c r="F173" i="9"/>
  <c r="F161" i="9"/>
  <c r="F160" i="9"/>
  <c r="F159" i="9"/>
  <c r="F172" i="9"/>
  <c r="F169" i="9"/>
  <c r="F171" i="9"/>
  <c r="F158" i="9"/>
  <c r="AS176" i="9"/>
  <c r="AY176" i="9"/>
  <c r="R69" i="9"/>
  <c r="AA69" i="9" s="1"/>
  <c r="AB69" i="9" s="1"/>
  <c r="BP34" i="9" s="1"/>
  <c r="AG74" i="9"/>
  <c r="T130" i="9"/>
  <c r="T141" i="9"/>
  <c r="K108" i="9"/>
  <c r="Q108" i="9" s="1"/>
  <c r="K94" i="9"/>
  <c r="N137" i="7"/>
  <c r="N132" i="7"/>
  <c r="L135" i="9"/>
  <c r="L125" i="9"/>
  <c r="R125" i="9" s="1"/>
  <c r="S148" i="16"/>
  <c r="Y151" i="16" s="1"/>
  <c r="M148" i="16"/>
  <c r="K125" i="9"/>
  <c r="AP176" i="9"/>
  <c r="AH69" i="9"/>
  <c r="T140" i="9"/>
  <c r="T135" i="9"/>
  <c r="K105" i="9"/>
  <c r="Q105" i="9" s="1"/>
  <c r="K91" i="9"/>
  <c r="N125" i="7"/>
  <c r="N131" i="7"/>
  <c r="L140" i="9"/>
  <c r="R140" i="9" s="1"/>
  <c r="L132" i="9"/>
  <c r="AA65" i="9"/>
  <c r="AB65" i="9" s="1"/>
  <c r="BP30" i="9" s="1"/>
  <c r="AF67" i="9"/>
  <c r="I188" i="8"/>
  <c r="I189" i="8"/>
  <c r="I187" i="8"/>
  <c r="I190" i="8"/>
  <c r="I197" i="8"/>
  <c r="I202" i="8"/>
  <c r="I195" i="8"/>
  <c r="I206" i="8"/>
  <c r="I196" i="8"/>
  <c r="I199" i="8"/>
  <c r="I205" i="8"/>
  <c r="I203" i="8"/>
  <c r="I204" i="8"/>
  <c r="I198" i="8"/>
  <c r="I193" i="8"/>
  <c r="I194" i="8"/>
  <c r="I191" i="8"/>
  <c r="I200" i="8"/>
  <c r="I192" i="8"/>
  <c r="I201" i="8"/>
  <c r="N187" i="8"/>
  <c r="N188" i="8"/>
  <c r="N191" i="8"/>
  <c r="N196" i="8"/>
  <c r="N204" i="8"/>
  <c r="N197" i="8"/>
  <c r="N190" i="8"/>
  <c r="N200" i="8"/>
  <c r="N206" i="8"/>
  <c r="N199" i="8"/>
  <c r="N189" i="8"/>
  <c r="N205" i="8"/>
  <c r="N201" i="8"/>
  <c r="N198" i="8"/>
  <c r="N194" i="8"/>
  <c r="N195" i="8"/>
  <c r="N202" i="8"/>
  <c r="N192" i="8"/>
  <c r="N193" i="8"/>
  <c r="N203" i="8"/>
  <c r="AG78" i="9"/>
  <c r="AJ59" i="9"/>
  <c r="Z65" i="8"/>
  <c r="S133" i="16"/>
  <c r="Y136" i="16" s="1"/>
  <c r="M133" i="16"/>
  <c r="N69" i="16"/>
  <c r="O69" i="16" s="1"/>
  <c r="W34" i="16" s="1"/>
  <c r="AG75" i="9"/>
  <c r="K142" i="9"/>
  <c r="S93" i="9"/>
  <c r="AL176" i="9"/>
  <c r="BB176" i="9"/>
  <c r="AI69" i="9"/>
  <c r="T129" i="9"/>
  <c r="K93" i="9"/>
  <c r="N138" i="7"/>
  <c r="N130" i="7"/>
  <c r="L136" i="9"/>
  <c r="R136" i="9" s="1"/>
  <c r="L142" i="9"/>
  <c r="AJ64" i="9"/>
  <c r="BP267" i="9" s="1"/>
  <c r="S130" i="16"/>
  <c r="Y133" i="16" s="1"/>
  <c r="M130" i="16"/>
  <c r="K131" i="9"/>
  <c r="E168" i="9"/>
  <c r="E174" i="9"/>
  <c r="E166" i="9"/>
  <c r="E165" i="9"/>
  <c r="E169" i="9"/>
  <c r="E158" i="9"/>
  <c r="E164" i="9"/>
  <c r="E162" i="9"/>
  <c r="E157" i="9"/>
  <c r="E163" i="9"/>
  <c r="E161" i="9"/>
  <c r="E167" i="9"/>
  <c r="E172" i="9"/>
  <c r="E156" i="9"/>
  <c r="E171" i="9"/>
  <c r="E160" i="9"/>
  <c r="E173" i="9"/>
  <c r="E170" i="9"/>
  <c r="E159" i="9"/>
  <c r="E155" i="9"/>
  <c r="I155" i="9"/>
  <c r="I174" i="9"/>
  <c r="I156" i="9"/>
  <c r="I168" i="9"/>
  <c r="I166" i="9"/>
  <c r="I164" i="9"/>
  <c r="I161" i="9"/>
  <c r="I162" i="9"/>
  <c r="I173" i="9"/>
  <c r="I167" i="9"/>
  <c r="I172" i="9"/>
  <c r="I163" i="9"/>
  <c r="I171" i="9"/>
  <c r="I158" i="9"/>
  <c r="I157" i="9"/>
  <c r="I170" i="9"/>
  <c r="I159" i="9"/>
  <c r="I169" i="9"/>
  <c r="I160" i="9"/>
  <c r="I165" i="9"/>
  <c r="AX176" i="9"/>
  <c r="AE69" i="9"/>
  <c r="T126" i="9"/>
  <c r="K109" i="9"/>
  <c r="Q109" i="9" s="1"/>
  <c r="AA71" i="9"/>
  <c r="AB71" i="9" s="1"/>
  <c r="BP36" i="9" s="1"/>
  <c r="N124" i="7"/>
  <c r="L130" i="9"/>
  <c r="AD130" i="9" s="1"/>
  <c r="L134" i="9"/>
  <c r="R134" i="9" s="1"/>
  <c r="AD65" i="9"/>
  <c r="AI64" i="9"/>
  <c r="J191" i="8"/>
  <c r="J192" i="8"/>
  <c r="J195" i="8"/>
  <c r="J196" i="8"/>
  <c r="J187" i="8"/>
  <c r="J197" i="8"/>
  <c r="J203" i="8"/>
  <c r="J200" i="8"/>
  <c r="J190" i="8"/>
  <c r="J205" i="8"/>
  <c r="J202" i="8"/>
  <c r="J188" i="8"/>
  <c r="J194" i="8"/>
  <c r="J206" i="8"/>
  <c r="J189" i="8"/>
  <c r="J199" i="8"/>
  <c r="J193" i="8"/>
  <c r="J201" i="8"/>
  <c r="J204" i="8"/>
  <c r="J198" i="8"/>
  <c r="O192" i="8"/>
  <c r="O193" i="8"/>
  <c r="O196" i="8"/>
  <c r="O204" i="8"/>
  <c r="O198" i="8"/>
  <c r="O202" i="8"/>
  <c r="O197" i="8"/>
  <c r="O187" i="8"/>
  <c r="O205" i="8"/>
  <c r="O188" i="8"/>
  <c r="O206" i="8"/>
  <c r="O203" i="8"/>
  <c r="O199" i="8"/>
  <c r="O201" i="8"/>
  <c r="O191" i="8"/>
  <c r="O189" i="8"/>
  <c r="O195" i="8"/>
  <c r="O190" i="8"/>
  <c r="O200" i="8"/>
  <c r="O194" i="8"/>
  <c r="AE78" i="9"/>
  <c r="S134" i="16"/>
  <c r="Y137" i="16" s="1"/>
  <c r="M134" i="16"/>
  <c r="Q62" i="9"/>
  <c r="AA62" i="9" s="1"/>
  <c r="AB62" i="9" s="1"/>
  <c r="BP27" i="9" s="1"/>
  <c r="K134" i="9"/>
  <c r="K126" i="9"/>
  <c r="S97" i="9"/>
  <c r="S104" i="9"/>
  <c r="D155" i="9"/>
  <c r="D167" i="9"/>
  <c r="D159" i="9"/>
  <c r="D165" i="9"/>
  <c r="D164" i="9"/>
  <c r="D168" i="9"/>
  <c r="D173" i="9"/>
  <c r="D172" i="9"/>
  <c r="D163" i="9"/>
  <c r="D157" i="9"/>
  <c r="D166" i="9"/>
  <c r="D161" i="9"/>
  <c r="D174" i="9"/>
  <c r="D170" i="9"/>
  <c r="D158" i="9"/>
  <c r="D171" i="9"/>
  <c r="D160" i="9"/>
  <c r="D156" i="9"/>
  <c r="D162" i="9"/>
  <c r="D169" i="9"/>
  <c r="G165" i="9"/>
  <c r="G157" i="9"/>
  <c r="G168" i="9"/>
  <c r="G172" i="9"/>
  <c r="G163" i="9"/>
  <c r="G174" i="9"/>
  <c r="G166" i="9"/>
  <c r="G171" i="9"/>
  <c r="G164" i="9"/>
  <c r="G170" i="9"/>
  <c r="G156" i="9"/>
  <c r="G162" i="9"/>
  <c r="G169" i="9"/>
  <c r="G160" i="9"/>
  <c r="G159" i="9"/>
  <c r="G161" i="9"/>
  <c r="G155" i="9"/>
  <c r="G173" i="9"/>
  <c r="G158" i="9"/>
  <c r="G167" i="9"/>
  <c r="H164" i="9"/>
  <c r="H167" i="9"/>
  <c r="H173" i="9"/>
  <c r="H165" i="9"/>
  <c r="H156" i="9"/>
  <c r="H163" i="9"/>
  <c r="H155" i="9"/>
  <c r="H174" i="9"/>
  <c r="H172" i="9"/>
  <c r="H171" i="9"/>
  <c r="H162" i="9"/>
  <c r="H170" i="9"/>
  <c r="H159" i="9"/>
  <c r="H158" i="9"/>
  <c r="H169" i="9"/>
  <c r="H160" i="9"/>
  <c r="H166" i="9"/>
  <c r="H168" i="9"/>
  <c r="H161" i="9"/>
  <c r="H157" i="9"/>
  <c r="AO176" i="9"/>
  <c r="BD176" i="9"/>
  <c r="J160" i="9"/>
  <c r="J159" i="9"/>
  <c r="J173" i="9"/>
  <c r="J155" i="9"/>
  <c r="J165" i="9"/>
  <c r="J163" i="9"/>
  <c r="J162" i="9"/>
  <c r="J164" i="9"/>
  <c r="J172" i="9"/>
  <c r="J171" i="9"/>
  <c r="J169" i="9"/>
  <c r="J170" i="9"/>
  <c r="J161" i="9"/>
  <c r="J168" i="9"/>
  <c r="J167" i="9"/>
  <c r="J157" i="9"/>
  <c r="J156" i="9"/>
  <c r="J166" i="9"/>
  <c r="J174" i="9"/>
  <c r="J158" i="9"/>
  <c r="AJ74" i="9"/>
  <c r="BP277" i="9" s="1"/>
  <c r="T124" i="9"/>
  <c r="K95" i="9"/>
  <c r="Y57" i="8"/>
  <c r="N139" i="7"/>
  <c r="L129" i="9"/>
  <c r="R129" i="9" s="1"/>
  <c r="L127" i="9"/>
  <c r="R127" i="9" s="1"/>
  <c r="R86" i="16"/>
  <c r="AJ65" i="9"/>
  <c r="BP268" i="9" s="1"/>
  <c r="Q185" i="8"/>
  <c r="D187" i="8"/>
  <c r="D197" i="8"/>
  <c r="D188" i="8"/>
  <c r="D189" i="8"/>
  <c r="D195" i="8"/>
  <c r="D201" i="8"/>
  <c r="D202" i="8"/>
  <c r="D204" i="8"/>
  <c r="D205" i="8"/>
  <c r="D192" i="8"/>
  <c r="D193" i="8"/>
  <c r="D190" i="8"/>
  <c r="D198" i="8"/>
  <c r="D203" i="8"/>
  <c r="D191" i="8"/>
  <c r="D199" i="8"/>
  <c r="D206" i="8"/>
  <c r="D196" i="8"/>
  <c r="D200" i="8"/>
  <c r="D194" i="8"/>
  <c r="AI78" i="9"/>
  <c r="S141" i="16"/>
  <c r="Y144" i="16" s="1"/>
  <c r="M141" i="16"/>
  <c r="S132" i="16"/>
  <c r="Y135" i="16" s="1"/>
  <c r="M132" i="16"/>
  <c r="AD62" i="9"/>
  <c r="K136" i="9"/>
  <c r="K140" i="9"/>
  <c r="S101" i="9"/>
  <c r="AR176" i="9"/>
  <c r="S152" i="9"/>
  <c r="T152" i="9"/>
  <c r="AK176" i="9"/>
  <c r="AE74" i="9"/>
  <c r="AD69" i="9"/>
  <c r="T123" i="9"/>
  <c r="K106" i="9"/>
  <c r="N140" i="7"/>
  <c r="L126" i="9"/>
  <c r="AG65" i="9"/>
  <c r="K88" i="8"/>
  <c r="O98" i="7"/>
  <c r="P98" i="7" s="1"/>
  <c r="Q98" i="7" s="1"/>
  <c r="R98" i="7" s="1"/>
  <c r="Y31" i="7" s="1"/>
  <c r="O106" i="7"/>
  <c r="P106" i="7" s="1"/>
  <c r="Q106" i="7" s="1"/>
  <c r="R106" i="7" s="1"/>
  <c r="Y39" i="7" s="1"/>
  <c r="O91" i="7"/>
  <c r="P91" i="7" s="1"/>
  <c r="Q91" i="7" s="1"/>
  <c r="R91" i="7" s="1"/>
  <c r="O99" i="7"/>
  <c r="P99" i="7" s="1"/>
  <c r="Q99" i="7" s="1"/>
  <c r="R99" i="7" s="1"/>
  <c r="Y32" i="7" s="1"/>
  <c r="O107" i="7"/>
  <c r="P107" i="7" s="1"/>
  <c r="Q107" i="7" s="1"/>
  <c r="R107" i="7" s="1"/>
  <c r="Y40" i="7" s="1"/>
  <c r="O92" i="7"/>
  <c r="P92" i="7" s="1"/>
  <c r="Q92" i="7" s="1"/>
  <c r="R92" i="7" s="1"/>
  <c r="Y25" i="7" s="1"/>
  <c r="O100" i="7"/>
  <c r="P100" i="7" s="1"/>
  <c r="Q100" i="7" s="1"/>
  <c r="R100" i="7" s="1"/>
  <c r="Y33" i="7" s="1"/>
  <c r="O108" i="7"/>
  <c r="P108" i="7" s="1"/>
  <c r="Q108" i="7" s="1"/>
  <c r="R108" i="7" s="1"/>
  <c r="Y41" i="7" s="1"/>
  <c r="O93" i="7"/>
  <c r="P93" i="7" s="1"/>
  <c r="Q93" i="7" s="1"/>
  <c r="R93" i="7" s="1"/>
  <c r="Y26" i="7" s="1"/>
  <c r="O101" i="7"/>
  <c r="P101" i="7" s="1"/>
  <c r="Q101" i="7" s="1"/>
  <c r="R101" i="7" s="1"/>
  <c r="Y34" i="7" s="1"/>
  <c r="O109" i="7"/>
  <c r="P109" i="7" s="1"/>
  <c r="Q109" i="7" s="1"/>
  <c r="R109" i="7" s="1"/>
  <c r="Y42" i="7" s="1"/>
  <c r="O94" i="7"/>
  <c r="P94" i="7" s="1"/>
  <c r="Q94" i="7" s="1"/>
  <c r="R94" i="7" s="1"/>
  <c r="Y27" i="7" s="1"/>
  <c r="O102" i="7"/>
  <c r="P102" i="7" s="1"/>
  <c r="Q102" i="7" s="1"/>
  <c r="R102" i="7" s="1"/>
  <c r="Y35" i="7" s="1"/>
  <c r="O110" i="7"/>
  <c r="P110" i="7" s="1"/>
  <c r="Q110" i="7" s="1"/>
  <c r="R110" i="7" s="1"/>
  <c r="Y43" i="7" s="1"/>
  <c r="O95" i="7"/>
  <c r="P95" i="7" s="1"/>
  <c r="Q95" i="7" s="1"/>
  <c r="R95" i="7" s="1"/>
  <c r="Y28" i="7" s="1"/>
  <c r="O103" i="7"/>
  <c r="P103" i="7" s="1"/>
  <c r="Q103" i="7" s="1"/>
  <c r="R103" i="7" s="1"/>
  <c r="Y36" i="7" s="1"/>
  <c r="O96" i="7"/>
  <c r="P96" i="7" s="1"/>
  <c r="Q96" i="7" s="1"/>
  <c r="R96" i="7" s="1"/>
  <c r="Y29" i="7" s="1"/>
  <c r="O104" i="7"/>
  <c r="P104" i="7" s="1"/>
  <c r="Q104" i="7" s="1"/>
  <c r="R104" i="7" s="1"/>
  <c r="Y37" i="7" s="1"/>
  <c r="O97" i="7"/>
  <c r="P97" i="7" s="1"/>
  <c r="Q97" i="7" s="1"/>
  <c r="R97" i="7" s="1"/>
  <c r="Y30" i="7" s="1"/>
  <c r="O105" i="7"/>
  <c r="P105" i="7" s="1"/>
  <c r="Q105" i="7" s="1"/>
  <c r="R105" i="7" s="1"/>
  <c r="Y38" i="7" s="1"/>
  <c r="P88" i="7"/>
  <c r="Q88" i="7" s="1"/>
  <c r="R88" i="7" s="1"/>
  <c r="T88" i="7"/>
  <c r="S129" i="16"/>
  <c r="M129" i="16"/>
  <c r="S135" i="16"/>
  <c r="Y138" i="16" s="1"/>
  <c r="M135" i="16"/>
  <c r="AJ75" i="9"/>
  <c r="BP278" i="9" s="1"/>
  <c r="K135" i="9"/>
  <c r="K137" i="9"/>
  <c r="AN176" i="9"/>
  <c r="AW176" i="9"/>
  <c r="Z71" i="8"/>
  <c r="T134" i="9"/>
  <c r="T128" i="9"/>
  <c r="K97" i="9"/>
  <c r="K96" i="9"/>
  <c r="N67" i="16"/>
  <c r="O67" i="16" s="1"/>
  <c r="N135" i="7"/>
  <c r="L137" i="9"/>
  <c r="R137" i="9" s="1"/>
  <c r="AE65" i="9"/>
  <c r="K56" i="8"/>
  <c r="O62" i="7"/>
  <c r="P62" i="7" s="1"/>
  <c r="Q62" i="7" s="1"/>
  <c r="R62" i="7" s="1"/>
  <c r="X27" i="7" s="1"/>
  <c r="O70" i="7"/>
  <c r="P70" i="7" s="1"/>
  <c r="Q70" i="7" s="1"/>
  <c r="R70" i="7" s="1"/>
  <c r="X35" i="7" s="1"/>
  <c r="O78" i="7"/>
  <c r="P78" i="7" s="1"/>
  <c r="Q78" i="7" s="1"/>
  <c r="R78" i="7" s="1"/>
  <c r="X43" i="7" s="1"/>
  <c r="O63" i="7"/>
  <c r="P63" i="7" s="1"/>
  <c r="Q63" i="7" s="1"/>
  <c r="R63" i="7" s="1"/>
  <c r="X28" i="7" s="1"/>
  <c r="O71" i="7"/>
  <c r="P71" i="7" s="1"/>
  <c r="Q71" i="7" s="1"/>
  <c r="R71" i="7" s="1"/>
  <c r="X36" i="7" s="1"/>
  <c r="O64" i="7"/>
  <c r="P64" i="7" s="1"/>
  <c r="Q64" i="7" s="1"/>
  <c r="R64" i="7" s="1"/>
  <c r="X29" i="7" s="1"/>
  <c r="O72" i="7"/>
  <c r="P72" i="7" s="1"/>
  <c r="Q72" i="7" s="1"/>
  <c r="R72" i="7" s="1"/>
  <c r="X37" i="7" s="1"/>
  <c r="O65" i="7"/>
  <c r="P65" i="7" s="1"/>
  <c r="Q65" i="7" s="1"/>
  <c r="R65" i="7" s="1"/>
  <c r="X30" i="7" s="1"/>
  <c r="O73" i="7"/>
  <c r="P73" i="7" s="1"/>
  <c r="Q73" i="7" s="1"/>
  <c r="R73" i="7" s="1"/>
  <c r="X38" i="7" s="1"/>
  <c r="O66" i="7"/>
  <c r="P66" i="7" s="1"/>
  <c r="Q66" i="7" s="1"/>
  <c r="R66" i="7" s="1"/>
  <c r="X31" i="7" s="1"/>
  <c r="O74" i="7"/>
  <c r="P74" i="7" s="1"/>
  <c r="Q74" i="7" s="1"/>
  <c r="R74" i="7" s="1"/>
  <c r="X39" i="7" s="1"/>
  <c r="O59" i="7"/>
  <c r="P59" i="7" s="1"/>
  <c r="Q59" i="7" s="1"/>
  <c r="R59" i="7" s="1"/>
  <c r="O67" i="7"/>
  <c r="P67" i="7" s="1"/>
  <c r="Q67" i="7" s="1"/>
  <c r="R67" i="7" s="1"/>
  <c r="X32" i="7" s="1"/>
  <c r="O75" i="7"/>
  <c r="P75" i="7" s="1"/>
  <c r="Q75" i="7" s="1"/>
  <c r="R75" i="7" s="1"/>
  <c r="X40" i="7" s="1"/>
  <c r="O60" i="7"/>
  <c r="P60" i="7" s="1"/>
  <c r="Q60" i="7" s="1"/>
  <c r="R60" i="7" s="1"/>
  <c r="X25" i="7" s="1"/>
  <c r="O68" i="7"/>
  <c r="P68" i="7" s="1"/>
  <c r="Q68" i="7" s="1"/>
  <c r="R68" i="7" s="1"/>
  <c r="X33" i="7" s="1"/>
  <c r="O76" i="7"/>
  <c r="P76" i="7" s="1"/>
  <c r="Q76" i="7" s="1"/>
  <c r="R76" i="7" s="1"/>
  <c r="X41" i="7" s="1"/>
  <c r="O61" i="7"/>
  <c r="P61" i="7" s="1"/>
  <c r="Q61" i="7" s="1"/>
  <c r="R61" i="7" s="1"/>
  <c r="X26" i="7" s="1"/>
  <c r="O69" i="7"/>
  <c r="P69" i="7" s="1"/>
  <c r="Q69" i="7" s="1"/>
  <c r="R69" i="7" s="1"/>
  <c r="X34" i="7" s="1"/>
  <c r="O77" i="7"/>
  <c r="P77" i="7" s="1"/>
  <c r="Q77" i="7" s="1"/>
  <c r="R77" i="7" s="1"/>
  <c r="X42" i="7" s="1"/>
  <c r="G184" i="8"/>
  <c r="E190" i="8"/>
  <c r="G190" i="8" s="1"/>
  <c r="E191" i="8"/>
  <c r="G191" i="8" s="1"/>
  <c r="E194" i="8"/>
  <c r="E196" i="8"/>
  <c r="E203" i="8"/>
  <c r="E202" i="8"/>
  <c r="G202" i="8" s="1"/>
  <c r="E199" i="8"/>
  <c r="E189" i="8"/>
  <c r="E187" i="8"/>
  <c r="E193" i="8"/>
  <c r="G193" i="8" s="1"/>
  <c r="E188" i="8"/>
  <c r="E204" i="8"/>
  <c r="E201" i="8"/>
  <c r="E205" i="8"/>
  <c r="G205" i="8" s="1"/>
  <c r="E192" i="8"/>
  <c r="E200" i="8"/>
  <c r="E206" i="8"/>
  <c r="E197" i="8"/>
  <c r="G197" i="8" s="1"/>
  <c r="E198" i="8"/>
  <c r="E195" i="8"/>
  <c r="Z107" i="8"/>
  <c r="S143" i="16"/>
  <c r="Y146" i="16" s="1"/>
  <c r="M143" i="16"/>
  <c r="S142" i="16"/>
  <c r="Y145" i="16" s="1"/>
  <c r="M142" i="16"/>
  <c r="K128" i="9"/>
  <c r="K124" i="9"/>
  <c r="S110" i="9"/>
  <c r="S96" i="9"/>
  <c r="AU176" i="9"/>
  <c r="T132" i="9"/>
  <c r="T137" i="9"/>
  <c r="K101" i="9"/>
  <c r="K110" i="9"/>
  <c r="N136" i="7"/>
  <c r="N123" i="7"/>
  <c r="L128" i="9"/>
  <c r="R128" i="9" s="1"/>
  <c r="R58" i="18"/>
  <c r="S58" i="18" s="1"/>
  <c r="T58" i="18" s="1"/>
  <c r="Q95" i="18"/>
  <c r="R95" i="18" s="1"/>
  <c r="S95" i="18" s="1"/>
  <c r="T95" i="18" s="1"/>
  <c r="AH26" i="18" s="1"/>
  <c r="Q127" i="18"/>
  <c r="R127" i="18" s="1"/>
  <c r="S127" i="18" s="1"/>
  <c r="T127" i="18" s="1"/>
  <c r="AI25" i="18" s="1"/>
  <c r="Q64" i="18"/>
  <c r="Q60" i="18"/>
  <c r="R60" i="18" s="1"/>
  <c r="S60" i="18" s="1"/>
  <c r="T60" i="18" s="1"/>
  <c r="AG24" i="18" s="1"/>
  <c r="Q61" i="18"/>
  <c r="R61" i="18" s="1"/>
  <c r="S61" i="18" s="1"/>
  <c r="T61" i="18" s="1"/>
  <c r="AG25" i="18" s="1"/>
  <c r="Q126" i="18"/>
  <c r="R126" i="18" s="1"/>
  <c r="S126" i="18" s="1"/>
  <c r="T126" i="18" s="1"/>
  <c r="AI24" i="18" s="1"/>
  <c r="Q130" i="18"/>
  <c r="Q62" i="18"/>
  <c r="R62" i="18" s="1"/>
  <c r="S62" i="18" s="1"/>
  <c r="T62" i="18" s="1"/>
  <c r="AG26" i="18" s="1"/>
  <c r="N35" i="16"/>
  <c r="O35" i="16" s="1"/>
  <c r="V32" i="16" s="1"/>
  <c r="BO129" i="9"/>
  <c r="R90" i="18"/>
  <c r="S90" i="18" s="1"/>
  <c r="T90" i="18" s="1"/>
  <c r="Q93" i="18"/>
  <c r="R93" i="18" s="1"/>
  <c r="S93" i="18" s="1"/>
  <c r="T93" i="18" s="1"/>
  <c r="AH24" i="18" s="1"/>
  <c r="Q96" i="18"/>
  <c r="Q129" i="18"/>
  <c r="R129" i="18" s="1"/>
  <c r="S129" i="18" s="1"/>
  <c r="T129" i="18" s="1"/>
  <c r="AI27" i="18" s="1"/>
  <c r="BK42" i="9"/>
  <c r="BO481" i="9" s="1"/>
  <c r="BO243" i="9"/>
  <c r="BO98" i="9"/>
  <c r="BG33" i="9"/>
  <c r="BO336" i="9" s="1"/>
  <c r="BI35" i="9"/>
  <c r="BO406" i="9" s="1"/>
  <c r="BO168" i="9"/>
  <c r="BG41" i="9"/>
  <c r="BO344" i="9" s="1"/>
  <c r="BO106" i="9"/>
  <c r="BO101" i="9"/>
  <c r="BG36" i="9"/>
  <c r="BO339" i="9" s="1"/>
  <c r="BG31" i="9"/>
  <c r="BO334" i="9" s="1"/>
  <c r="BO96" i="9"/>
  <c r="BI39" i="9"/>
  <c r="BO410" i="9" s="1"/>
  <c r="BO172" i="9"/>
  <c r="BI38" i="9"/>
  <c r="BO409" i="9" s="1"/>
  <c r="BO171" i="9"/>
  <c r="BO135" i="9"/>
  <c r="BH36" i="9"/>
  <c r="BO373" i="9" s="1"/>
  <c r="BH29" i="9"/>
  <c r="BO366" i="9" s="1"/>
  <c r="BO128" i="9"/>
  <c r="BH32" i="9"/>
  <c r="BO369" i="9" s="1"/>
  <c r="BO131" i="9"/>
  <c r="BJ27" i="9"/>
  <c r="BO432" i="9" s="1"/>
  <c r="BO194" i="9"/>
  <c r="BO176" i="9"/>
  <c r="BI43" i="9"/>
  <c r="BO414" i="9" s="1"/>
  <c r="BJ32" i="9"/>
  <c r="BO437" i="9" s="1"/>
  <c r="BO199" i="9"/>
  <c r="BO198" i="9"/>
  <c r="BJ31" i="9"/>
  <c r="BO436" i="9" s="1"/>
  <c r="BG27" i="9"/>
  <c r="BO330" i="9" s="1"/>
  <c r="BO92" i="9"/>
  <c r="BI29" i="9"/>
  <c r="BO400" i="9" s="1"/>
  <c r="BO162" i="9"/>
  <c r="BI37" i="9"/>
  <c r="BO408" i="9" s="1"/>
  <c r="BO170" i="9"/>
  <c r="BO230" i="9"/>
  <c r="BK29" i="9"/>
  <c r="BO468" i="9" s="1"/>
  <c r="BH33" i="9"/>
  <c r="BO370" i="9" s="1"/>
  <c r="BO132" i="9"/>
  <c r="BO107" i="9"/>
  <c r="BG42" i="9"/>
  <c r="BO345" i="9" s="1"/>
  <c r="BO127" i="9"/>
  <c r="BH28" i="9"/>
  <c r="BO365" i="9" s="1"/>
  <c r="BO68" i="9"/>
  <c r="BF37" i="9"/>
  <c r="BO306" i="9" s="1"/>
  <c r="BJ30" i="9"/>
  <c r="BO435" i="9" s="1"/>
  <c r="BO197" i="9"/>
  <c r="BG29" i="9"/>
  <c r="BO332" i="9" s="1"/>
  <c r="BO94" i="9"/>
  <c r="BJ42" i="9"/>
  <c r="BO447" i="9" s="1"/>
  <c r="BO209" i="9"/>
  <c r="BI28" i="9"/>
  <c r="BO399" i="9" s="1"/>
  <c r="BO161" i="9"/>
  <c r="BO66" i="9"/>
  <c r="BF35" i="9"/>
  <c r="BO304" i="9" s="1"/>
  <c r="BO169" i="9"/>
  <c r="BI36" i="9"/>
  <c r="BO407" i="9" s="1"/>
  <c r="BK28" i="9"/>
  <c r="BO467" i="9" s="1"/>
  <c r="BO229" i="9"/>
  <c r="BF41" i="9"/>
  <c r="BO310" i="9" s="1"/>
  <c r="BO72" i="9"/>
  <c r="BO202" i="9"/>
  <c r="BJ35" i="9"/>
  <c r="BO440" i="9" s="1"/>
  <c r="BO240" i="9"/>
  <c r="BK39" i="9"/>
  <c r="BO478" i="9" s="1"/>
  <c r="BK34" i="9"/>
  <c r="BO473" i="9" s="1"/>
  <c r="BO235" i="9"/>
  <c r="BF31" i="9"/>
  <c r="BO300" i="9" s="1"/>
  <c r="BO62" i="9"/>
  <c r="BJ37" i="9"/>
  <c r="BO442" i="9" s="1"/>
  <c r="BO204" i="9"/>
  <c r="N44" i="16"/>
  <c r="O44" i="16" s="1"/>
  <c r="V41" i="16" s="1"/>
  <c r="BK36" i="9"/>
  <c r="BO475" i="9" s="1"/>
  <c r="BO237" i="9"/>
  <c r="BJ34" i="9"/>
  <c r="BO439" i="9" s="1"/>
  <c r="BO201" i="9"/>
  <c r="BG28" i="9"/>
  <c r="BO331" i="9" s="1"/>
  <c r="BO93" i="9"/>
  <c r="BO75" i="9"/>
  <c r="BF44" i="9"/>
  <c r="BO313" i="9" s="1"/>
  <c r="BO143" i="9"/>
  <c r="BH44" i="9"/>
  <c r="BO381" i="9" s="1"/>
  <c r="BG34" i="9"/>
  <c r="BO337" i="9" s="1"/>
  <c r="BO99" i="9"/>
  <c r="BO67" i="9"/>
  <c r="BF36" i="9"/>
  <c r="BO305" i="9" s="1"/>
  <c r="BF27" i="9"/>
  <c r="BO296" i="9" s="1"/>
  <c r="BO58" i="9"/>
  <c r="BO239" i="9"/>
  <c r="BK38" i="9"/>
  <c r="BO477" i="9" s="1"/>
  <c r="BJ29" i="9"/>
  <c r="BO434" i="9" s="1"/>
  <c r="BO196" i="9"/>
  <c r="BO238" i="9"/>
  <c r="BK37" i="9"/>
  <c r="BO476" i="9" s="1"/>
  <c r="BO73" i="9"/>
  <c r="BF42" i="9"/>
  <c r="BO311" i="9" s="1"/>
  <c r="BO203" i="9"/>
  <c r="BJ36" i="9"/>
  <c r="BO441" i="9" s="1"/>
  <c r="BH43" i="9"/>
  <c r="BO380" i="9" s="1"/>
  <c r="BO142" i="9"/>
  <c r="BO173" i="9"/>
  <c r="BI40" i="9"/>
  <c r="BO411" i="9" s="1"/>
  <c r="BG39" i="9"/>
  <c r="BO342" i="9" s="1"/>
  <c r="BO104" i="9"/>
  <c r="BO102" i="9"/>
  <c r="BG37" i="9"/>
  <c r="BO340" i="9" s="1"/>
  <c r="BO164" i="9"/>
  <c r="BI31" i="9"/>
  <c r="BO402" i="9" s="1"/>
  <c r="BO163" i="9"/>
  <c r="BI30" i="9"/>
  <c r="BO401" i="9" s="1"/>
  <c r="BJ33" i="9"/>
  <c r="BO438" i="9" s="1"/>
  <c r="BO200" i="9"/>
  <c r="BO69" i="9"/>
  <c r="BF38" i="9"/>
  <c r="BO307" i="9" s="1"/>
  <c r="Q94" i="18"/>
  <c r="R94" i="18" s="1"/>
  <c r="S94" i="18" s="1"/>
  <c r="T94" i="18" s="1"/>
  <c r="AH25" i="18" s="1"/>
  <c r="BO177" i="9"/>
  <c r="BI44" i="9"/>
  <c r="BO415" i="9" s="1"/>
  <c r="BO205" i="9"/>
  <c r="BJ38" i="9"/>
  <c r="BO443" i="9" s="1"/>
  <c r="BH42" i="9"/>
  <c r="BO379" i="9" s="1"/>
  <c r="BO141" i="9"/>
  <c r="BK35" i="9"/>
  <c r="BO474" i="9" s="1"/>
  <c r="BO236" i="9"/>
  <c r="BO234" i="9"/>
  <c r="BK33" i="9"/>
  <c r="BO472" i="9" s="1"/>
  <c r="BG38" i="9"/>
  <c r="BO341" i="9" s="1"/>
  <c r="BO103" i="9"/>
  <c r="BI32" i="9"/>
  <c r="BO403" i="9" s="1"/>
  <c r="BO165" i="9"/>
  <c r="BF33" i="9"/>
  <c r="BO302" i="9" s="1"/>
  <c r="BO64" i="9"/>
  <c r="BO134" i="9"/>
  <c r="BH35" i="9"/>
  <c r="BO372" i="9" s="1"/>
  <c r="BI42" i="9"/>
  <c r="BO413" i="9" s="1"/>
  <c r="BO175" i="9"/>
  <c r="BO60" i="9"/>
  <c r="BF29" i="9"/>
  <c r="BO298" i="9" s="1"/>
  <c r="BO71" i="9"/>
  <c r="BF40" i="9"/>
  <c r="BO309" i="9" s="1"/>
  <c r="BO140" i="9"/>
  <c r="BH41" i="9"/>
  <c r="BO378" i="9" s="1"/>
  <c r="BG43" i="9"/>
  <c r="BO346" i="9" s="1"/>
  <c r="BO108" i="9"/>
  <c r="BF39" i="9"/>
  <c r="BO308" i="9" s="1"/>
  <c r="BO70" i="9"/>
  <c r="BO195" i="9"/>
  <c r="BJ28" i="9"/>
  <c r="BO433" i="9" s="1"/>
  <c r="BO61" i="9"/>
  <c r="BF30" i="9"/>
  <c r="BO299" i="9" s="1"/>
  <c r="BO245" i="9"/>
  <c r="BK44" i="9"/>
  <c r="BO483" i="9" s="1"/>
  <c r="BO105" i="9"/>
  <c r="BG40" i="9"/>
  <c r="BO343" i="9" s="1"/>
  <c r="BO174" i="9"/>
  <c r="BI41" i="9"/>
  <c r="BO412" i="9" s="1"/>
  <c r="BO210" i="9"/>
  <c r="BJ43" i="9"/>
  <c r="BO448" i="9" s="1"/>
  <c r="BK41" i="9"/>
  <c r="BO480" i="9" s="1"/>
  <c r="BO242" i="9"/>
  <c r="BO95" i="9"/>
  <c r="BG30" i="9"/>
  <c r="BO333" i="9" s="1"/>
  <c r="BO211" i="9"/>
  <c r="BJ44" i="9"/>
  <c r="BO449" i="9" s="1"/>
  <c r="BF28" i="9"/>
  <c r="BO297" i="9" s="1"/>
  <c r="BO59" i="9"/>
  <c r="BF32" i="9"/>
  <c r="BO301" i="9" s="1"/>
  <c r="BO63" i="9"/>
  <c r="BH27" i="9"/>
  <c r="BO364" i="9" s="1"/>
  <c r="BO126" i="9"/>
  <c r="BO231" i="9"/>
  <c r="BK30" i="9"/>
  <c r="BO469" i="9" s="1"/>
  <c r="BJ41" i="9"/>
  <c r="BO446" i="9" s="1"/>
  <c r="BO208" i="9"/>
  <c r="BO207" i="9"/>
  <c r="BJ40" i="9"/>
  <c r="BO445" i="9" s="1"/>
  <c r="BO206" i="9"/>
  <c r="BJ39" i="9"/>
  <c r="BO444" i="9" s="1"/>
  <c r="BO74" i="9"/>
  <c r="BF43" i="9"/>
  <c r="BO312" i="9" s="1"/>
  <c r="BO166" i="9"/>
  <c r="BI33" i="9"/>
  <c r="BO404" i="9" s="1"/>
  <c r="BO97" i="9"/>
  <c r="BG32" i="9"/>
  <c r="BO335" i="9" s="1"/>
  <c r="BO160" i="9"/>
  <c r="BI27" i="9"/>
  <c r="BO398" i="9" s="1"/>
  <c r="BO228" i="9"/>
  <c r="BK27" i="9"/>
  <c r="BO466" i="9" s="1"/>
  <c r="BO167" i="9"/>
  <c r="BI34" i="9"/>
  <c r="BO405" i="9" s="1"/>
  <c r="BO232" i="9"/>
  <c r="BK31" i="9"/>
  <c r="BO470" i="9" s="1"/>
  <c r="BO139" i="9"/>
  <c r="BH40" i="9"/>
  <c r="BO377" i="9" s="1"/>
  <c r="BF34" i="9"/>
  <c r="BO303" i="9" s="1"/>
  <c r="BO65" i="9"/>
  <c r="K25" i="8"/>
  <c r="R25" i="8" s="1"/>
  <c r="S25" i="8" s="1"/>
  <c r="T25" i="8" s="1"/>
  <c r="T25" i="7"/>
  <c r="P25" i="7"/>
  <c r="Q25" i="7" s="1"/>
  <c r="R25" i="7" s="1"/>
  <c r="O28" i="7"/>
  <c r="P28" i="7" s="1"/>
  <c r="Q28" i="7" s="1"/>
  <c r="R28" i="7" s="1"/>
  <c r="W25" i="7" s="1"/>
  <c r="O36" i="7"/>
  <c r="P36" i="7" s="1"/>
  <c r="Q36" i="7" s="1"/>
  <c r="R36" i="7" s="1"/>
  <c r="W33" i="7" s="1"/>
  <c r="O30" i="7"/>
  <c r="P30" i="7" s="1"/>
  <c r="Q30" i="7" s="1"/>
  <c r="R30" i="7" s="1"/>
  <c r="W27" i="7" s="1"/>
  <c r="T24" i="7"/>
  <c r="O35" i="7"/>
  <c r="P35" i="7" s="1"/>
  <c r="Q35" i="7" s="1"/>
  <c r="R35" i="7" s="1"/>
  <c r="W32" i="7" s="1"/>
  <c r="O33" i="7"/>
  <c r="P33" i="7" s="1"/>
  <c r="Q33" i="7" s="1"/>
  <c r="R33" i="7" s="1"/>
  <c r="W30" i="7" s="1"/>
  <c r="O27" i="7"/>
  <c r="P27" i="7" s="1"/>
  <c r="Q27" i="7" s="1"/>
  <c r="R27" i="7" s="1"/>
  <c r="W24" i="7" s="1"/>
  <c r="O29" i="7"/>
  <c r="P29" i="7" s="1"/>
  <c r="Q29" i="7" s="1"/>
  <c r="R29" i="7" s="1"/>
  <c r="W26" i="7" s="1"/>
  <c r="K24" i="8"/>
  <c r="O32" i="7"/>
  <c r="P32" i="7" s="1"/>
  <c r="Q32" i="7" s="1"/>
  <c r="R32" i="7" s="1"/>
  <c r="W29" i="7" s="1"/>
  <c r="P24" i="7"/>
  <c r="Q24" i="7" s="1"/>
  <c r="R24" i="7" s="1"/>
  <c r="O31" i="7"/>
  <c r="P31" i="7" s="1"/>
  <c r="Q31" i="7" s="1"/>
  <c r="R31" i="7" s="1"/>
  <c r="W28" i="7" s="1"/>
  <c r="O34" i="7"/>
  <c r="P34" i="7" s="1"/>
  <c r="Q34" i="7" s="1"/>
  <c r="R34" i="7" s="1"/>
  <c r="W31" i="7" s="1"/>
  <c r="O37" i="7"/>
  <c r="N39" i="16"/>
  <c r="O39" i="16" s="1"/>
  <c r="V36" i="16" s="1"/>
  <c r="N36" i="16"/>
  <c r="O36" i="16" s="1"/>
  <c r="V33" i="16" s="1"/>
  <c r="N40" i="16"/>
  <c r="O40" i="16" s="1"/>
  <c r="V37" i="16" s="1"/>
  <c r="N43" i="16"/>
  <c r="O43" i="16" s="1"/>
  <c r="V40" i="16" s="1"/>
  <c r="AA35" i="19"/>
  <c r="AB35" i="19" s="1"/>
  <c r="AE62" i="19" s="1"/>
  <c r="M38" i="19"/>
  <c r="N38" i="19" s="1"/>
  <c r="AE35" i="19" s="1"/>
  <c r="M31" i="19"/>
  <c r="M43" i="19"/>
  <c r="AA38" i="19"/>
  <c r="AB38" i="19" s="1"/>
  <c r="AE65" i="19" s="1"/>
  <c r="AA36" i="19"/>
  <c r="AB36" i="19" s="1"/>
  <c r="AE63" i="19" s="1"/>
  <c r="M36" i="19"/>
  <c r="N36" i="19" s="1"/>
  <c r="AE33" i="19" s="1"/>
  <c r="N49" i="16"/>
  <c r="O49" i="16" s="1"/>
  <c r="V46" i="16" s="1"/>
  <c r="AA33" i="19"/>
  <c r="AB33" i="19" s="1"/>
  <c r="AE60" i="19" s="1"/>
  <c r="AA39" i="19"/>
  <c r="M32" i="19"/>
  <c r="N32" i="19" s="1"/>
  <c r="AE29" i="19" s="1"/>
  <c r="N47" i="16"/>
  <c r="O47" i="16" s="1"/>
  <c r="V44" i="16" s="1"/>
  <c r="AA31" i="19"/>
  <c r="M33" i="19"/>
  <c r="N33" i="19" s="1"/>
  <c r="AE30" i="19" s="1"/>
  <c r="N45" i="16"/>
  <c r="O45" i="16" s="1"/>
  <c r="V42" i="16" s="1"/>
  <c r="AB27" i="19"/>
  <c r="M34" i="19"/>
  <c r="N34" i="19" s="1"/>
  <c r="AE31" i="19" s="1"/>
  <c r="AA30" i="19"/>
  <c r="N34" i="16"/>
  <c r="O34" i="16" s="1"/>
  <c r="V31" i="16" s="1"/>
  <c r="N46" i="16"/>
  <c r="O46" i="16" s="1"/>
  <c r="V43" i="16" s="1"/>
  <c r="M35" i="19"/>
  <c r="AA29" i="19"/>
  <c r="AB26" i="19"/>
  <c r="AA32" i="19"/>
  <c r="M29" i="19"/>
  <c r="M30" i="19"/>
  <c r="N27" i="19"/>
  <c r="N26" i="19"/>
  <c r="N38" i="16"/>
  <c r="O38" i="16" s="1"/>
  <c r="V35" i="16" s="1"/>
  <c r="N50" i="16"/>
  <c r="O50" i="16" s="1"/>
  <c r="V47" i="16" s="1"/>
  <c r="N52" i="16"/>
  <c r="O52" i="16" s="1"/>
  <c r="V49" i="16" s="1"/>
  <c r="Q54" i="16"/>
  <c r="AA40" i="19"/>
  <c r="L45" i="9"/>
  <c r="R45" i="9" s="1"/>
  <c r="N48" i="16"/>
  <c r="O48" i="16" s="1"/>
  <c r="V45" i="16" s="1"/>
  <c r="K45" i="9"/>
  <c r="M37" i="7"/>
  <c r="Q28" i="18"/>
  <c r="R28" i="18" s="1"/>
  <c r="S28" i="18" s="1"/>
  <c r="T28" i="18" s="1"/>
  <c r="AF25" i="18" s="1"/>
  <c r="Q27" i="18"/>
  <c r="R27" i="18" s="1"/>
  <c r="S27" i="18" s="1"/>
  <c r="T27" i="18" s="1"/>
  <c r="AF24" i="18" s="1"/>
  <c r="Q33" i="18"/>
  <c r="Q30" i="18"/>
  <c r="R30" i="18" s="1"/>
  <c r="S30" i="18" s="1"/>
  <c r="T30" i="18" s="1"/>
  <c r="AF27" i="18" s="1"/>
  <c r="Q32" i="18"/>
  <c r="R32" i="18" s="1"/>
  <c r="S32" i="18" s="1"/>
  <c r="T32" i="18" s="1"/>
  <c r="AF29" i="18" s="1"/>
  <c r="Q29" i="18"/>
  <c r="R29" i="18" s="1"/>
  <c r="S29" i="18" s="1"/>
  <c r="T29" i="18" s="1"/>
  <c r="AF26" i="18" s="1"/>
  <c r="R24" i="18"/>
  <c r="S24" i="18" s="1"/>
  <c r="T24" i="18" s="1"/>
  <c r="Q31" i="18"/>
  <c r="R31" i="18" s="1"/>
  <c r="S31" i="18" s="1"/>
  <c r="T31" i="18" s="1"/>
  <c r="AF28" i="18" s="1"/>
  <c r="M33" i="18"/>
  <c r="V85" i="16"/>
  <c r="D46" i="9"/>
  <c r="E46" i="9"/>
  <c r="G46" i="9"/>
  <c r="J46" i="9"/>
  <c r="M46" i="9"/>
  <c r="H46" i="9"/>
  <c r="N46" i="9"/>
  <c r="P46" i="9"/>
  <c r="I46" i="9"/>
  <c r="O46" i="9"/>
  <c r="C46" i="9"/>
  <c r="F46" i="9"/>
  <c r="N37" i="7"/>
  <c r="E38" i="7"/>
  <c r="B39" i="7"/>
  <c r="D38" i="7"/>
  <c r="J38" i="7"/>
  <c r="K38" i="7"/>
  <c r="C38" i="7"/>
  <c r="L38" i="7"/>
  <c r="F38" i="7"/>
  <c r="H38" i="7"/>
  <c r="G38" i="7"/>
  <c r="I38" i="7"/>
  <c r="O38" i="7"/>
  <c r="N37" i="16"/>
  <c r="O37" i="16" s="1"/>
  <c r="V34" i="16" s="1"/>
  <c r="M130" i="18"/>
  <c r="Y25" i="10"/>
  <c r="D131" i="18"/>
  <c r="L131" i="18"/>
  <c r="G131" i="18"/>
  <c r="C131" i="18"/>
  <c r="H131" i="18"/>
  <c r="B132" i="18"/>
  <c r="K131" i="18"/>
  <c r="J131" i="18"/>
  <c r="O131" i="18"/>
  <c r="F131" i="18"/>
  <c r="E131" i="18"/>
  <c r="P131" i="18"/>
  <c r="I131" i="18"/>
  <c r="Q131" i="18"/>
  <c r="M64" i="18"/>
  <c r="B35" i="8"/>
  <c r="I34" i="8"/>
  <c r="M34" i="8"/>
  <c r="F34" i="8"/>
  <c r="O34" i="8"/>
  <c r="L34" i="8"/>
  <c r="C34" i="8"/>
  <c r="N34" i="8"/>
  <c r="D34" i="8"/>
  <c r="J34" i="8"/>
  <c r="E34" i="8"/>
  <c r="S54" i="16"/>
  <c r="V132" i="16"/>
  <c r="N64" i="18"/>
  <c r="N33" i="18"/>
  <c r="AX28" i="10"/>
  <c r="AE18" i="4"/>
  <c r="N130" i="18"/>
  <c r="V21" i="4"/>
  <c r="Z20" i="4"/>
  <c r="V30" i="4"/>
  <c r="AE29" i="4"/>
  <c r="X39" i="10" s="1"/>
  <c r="V119" i="16"/>
  <c r="AE19" i="4"/>
  <c r="X29" i="10" s="1"/>
  <c r="Y29" i="10" s="1"/>
  <c r="AX29" i="10"/>
  <c r="AY29" i="10" s="1"/>
  <c r="K65" i="18"/>
  <c r="B66" i="18"/>
  <c r="G65" i="18"/>
  <c r="C65" i="18"/>
  <c r="H65" i="18"/>
  <c r="O65" i="18"/>
  <c r="D65" i="18"/>
  <c r="P65" i="18"/>
  <c r="L65" i="18"/>
  <c r="Q65" i="18"/>
  <c r="B98" i="18"/>
  <c r="L97" i="18"/>
  <c r="H97" i="18"/>
  <c r="O97" i="18"/>
  <c r="Q97" i="18"/>
  <c r="P97" i="18"/>
  <c r="C97" i="18"/>
  <c r="G97" i="18"/>
  <c r="D97" i="18"/>
  <c r="K97" i="18"/>
  <c r="R54" i="16"/>
  <c r="B35" i="18"/>
  <c r="K34" i="18"/>
  <c r="H34" i="18"/>
  <c r="O34" i="18"/>
  <c r="D34" i="18"/>
  <c r="L34" i="18"/>
  <c r="P34" i="18"/>
  <c r="G34" i="18"/>
  <c r="C34" i="18"/>
  <c r="Q34" i="18"/>
  <c r="M96" i="18"/>
  <c r="N96" i="18"/>
  <c r="Q33" i="8"/>
  <c r="X92" i="8" s="1"/>
  <c r="P173" i="8" l="1"/>
  <c r="P170" i="8"/>
  <c r="AD91" i="9"/>
  <c r="P157" i="8"/>
  <c r="P163" i="8"/>
  <c r="P167" i="8"/>
  <c r="AJ110" i="9"/>
  <c r="BQ281" i="9" s="1"/>
  <c r="P127" i="8"/>
  <c r="BP60" i="9"/>
  <c r="AH104" i="9"/>
  <c r="BQ207" i="9" s="1"/>
  <c r="BP135" i="9"/>
  <c r="BP237" i="9"/>
  <c r="BI61" i="9"/>
  <c r="BP400" i="9" s="1"/>
  <c r="BP69" i="9"/>
  <c r="BP177" i="9"/>
  <c r="P158" i="8"/>
  <c r="G188" i="8"/>
  <c r="P174" i="8"/>
  <c r="AB74" i="8" s="1"/>
  <c r="G187" i="8"/>
  <c r="BP140" i="9"/>
  <c r="G198" i="8"/>
  <c r="P166" i="8"/>
  <c r="P135" i="8"/>
  <c r="AA67" i="8" s="1"/>
  <c r="G199" i="8"/>
  <c r="P141" i="8"/>
  <c r="AA73" i="8" s="1"/>
  <c r="P164" i="8"/>
  <c r="AB64" i="8" s="1"/>
  <c r="P140" i="8"/>
  <c r="AA72" i="8" s="1"/>
  <c r="P123" i="8"/>
  <c r="AA55" i="8" s="1"/>
  <c r="P169" i="8"/>
  <c r="AB69" i="8" s="1"/>
  <c r="P138" i="8"/>
  <c r="AA70" i="8" s="1"/>
  <c r="P159" i="8"/>
  <c r="G201" i="8"/>
  <c r="T153" i="7"/>
  <c r="P133" i="8"/>
  <c r="AF107" i="9"/>
  <c r="BH107" i="9" s="1"/>
  <c r="BQ380" i="9" s="1"/>
  <c r="P172" i="8"/>
  <c r="AB72" i="8" s="1"/>
  <c r="AD152" i="9"/>
  <c r="BF152" i="9" s="1"/>
  <c r="BP63" i="9"/>
  <c r="BP171" i="9"/>
  <c r="P132" i="8"/>
  <c r="AA64" i="8" s="1"/>
  <c r="AH124" i="9"/>
  <c r="BR195" i="9" s="1"/>
  <c r="BP201" i="9"/>
  <c r="BP211" i="9"/>
  <c r="BP170" i="9"/>
  <c r="G192" i="8"/>
  <c r="P139" i="8"/>
  <c r="P125" i="8"/>
  <c r="AA57" i="8" s="1"/>
  <c r="P33" i="8"/>
  <c r="X61" i="8" s="1"/>
  <c r="P171" i="8"/>
  <c r="AB71" i="8" s="1"/>
  <c r="G206" i="8"/>
  <c r="AH101" i="9"/>
  <c r="BJ101" i="9" s="1"/>
  <c r="BQ442" i="9" s="1"/>
  <c r="P142" i="8"/>
  <c r="AA74" i="8" s="1"/>
  <c r="AI95" i="9"/>
  <c r="BK95" i="9" s="1"/>
  <c r="BQ470" i="9" s="1"/>
  <c r="P156" i="8"/>
  <c r="AB56" i="8" s="1"/>
  <c r="P155" i="8"/>
  <c r="AB55" i="8" s="1"/>
  <c r="P137" i="8"/>
  <c r="AA69" i="8" s="1"/>
  <c r="AJ98" i="9"/>
  <c r="BQ269" i="9" s="1"/>
  <c r="P134" i="8"/>
  <c r="P130" i="8"/>
  <c r="AA62" i="8" s="1"/>
  <c r="P161" i="8"/>
  <c r="AB61" i="8" s="1"/>
  <c r="G203" i="8"/>
  <c r="AJ100" i="9"/>
  <c r="BQ271" i="9" s="1"/>
  <c r="G194" i="8"/>
  <c r="P128" i="8"/>
  <c r="AA60" i="8" s="1"/>
  <c r="G204" i="8"/>
  <c r="P184" i="8"/>
  <c r="S191" i="16"/>
  <c r="R191" i="16"/>
  <c r="K191" i="16"/>
  <c r="P136" i="8"/>
  <c r="P131" i="8"/>
  <c r="P160" i="8"/>
  <c r="AB60" i="8" s="1"/>
  <c r="P124" i="8"/>
  <c r="AA56" i="8" s="1"/>
  <c r="P131" i="7"/>
  <c r="Q131" i="7" s="1"/>
  <c r="R131" i="7" s="1"/>
  <c r="Z32" i="7" s="1"/>
  <c r="BP62" i="9"/>
  <c r="G189" i="8"/>
  <c r="BP172" i="9"/>
  <c r="BP139" i="9"/>
  <c r="G196" i="8"/>
  <c r="X51" i="16"/>
  <c r="O118" i="16"/>
  <c r="N158" i="16"/>
  <c r="O158" i="16" s="1"/>
  <c r="L190" i="16"/>
  <c r="L191" i="16"/>
  <c r="N148" i="16"/>
  <c r="O148" i="16" s="1"/>
  <c r="Y49" i="16" s="1"/>
  <c r="H204" i="8"/>
  <c r="H188" i="8"/>
  <c r="P188" i="8" s="1"/>
  <c r="H34" i="8"/>
  <c r="H203" i="8"/>
  <c r="H202" i="8"/>
  <c r="P202" i="8" s="1"/>
  <c r="H205" i="8"/>
  <c r="P205" i="8" s="1"/>
  <c r="H201" i="8"/>
  <c r="P201" i="8" s="1"/>
  <c r="H206" i="8"/>
  <c r="H190" i="8"/>
  <c r="H195" i="8"/>
  <c r="H193" i="8"/>
  <c r="P193" i="8" s="1"/>
  <c r="H199" i="8"/>
  <c r="H198" i="8"/>
  <c r="P198" i="8" s="1"/>
  <c r="H197" i="8"/>
  <c r="P197" i="8" s="1"/>
  <c r="H192" i="8"/>
  <c r="H200" i="8"/>
  <c r="BP163" i="9"/>
  <c r="H194" i="8"/>
  <c r="H189" i="8"/>
  <c r="H187" i="8"/>
  <c r="H191" i="8"/>
  <c r="H196" i="8"/>
  <c r="G34" i="8"/>
  <c r="BP245" i="9"/>
  <c r="G195" i="8"/>
  <c r="BP141" i="9"/>
  <c r="BP169" i="9"/>
  <c r="G200" i="8"/>
  <c r="P200" i="8" s="1"/>
  <c r="BP231" i="9"/>
  <c r="P153" i="7"/>
  <c r="Q153" i="7" s="1"/>
  <c r="R153" i="7" s="1"/>
  <c r="T142" i="7"/>
  <c r="Z77" i="7" s="1"/>
  <c r="BP103" i="9"/>
  <c r="BF77" i="9"/>
  <c r="BP314" i="9" s="1"/>
  <c r="BP109" i="9"/>
  <c r="T134" i="7"/>
  <c r="Z69" i="7" s="1"/>
  <c r="AA64" i="9"/>
  <c r="AB64" i="9" s="1"/>
  <c r="BP29" i="9" s="1"/>
  <c r="M171" i="7"/>
  <c r="T133" i="7"/>
  <c r="Z68" i="7" s="1"/>
  <c r="T140" i="7"/>
  <c r="Z75" i="7" s="1"/>
  <c r="S159" i="9"/>
  <c r="AJ103" i="9"/>
  <c r="BQ274" i="9" s="1"/>
  <c r="AF99" i="9"/>
  <c r="BH99" i="9" s="1"/>
  <c r="BQ372" i="9" s="1"/>
  <c r="S169" i="9"/>
  <c r="P124" i="7"/>
  <c r="Q124" i="7" s="1"/>
  <c r="R124" i="7" s="1"/>
  <c r="Z25" i="7" s="1"/>
  <c r="AI92" i="9"/>
  <c r="AH139" i="9"/>
  <c r="BR210" i="9" s="1"/>
  <c r="BP194" i="9"/>
  <c r="AG140" i="9"/>
  <c r="BI140" i="9" s="1"/>
  <c r="BR415" i="9" s="1"/>
  <c r="T136" i="7"/>
  <c r="Z71" i="7" s="1"/>
  <c r="T131" i="7"/>
  <c r="Z66" i="7" s="1"/>
  <c r="BP213" i="9"/>
  <c r="T138" i="7"/>
  <c r="Z73" i="7" s="1"/>
  <c r="T127" i="7"/>
  <c r="Z62" i="7" s="1"/>
  <c r="T137" i="7"/>
  <c r="Z72" i="7" s="1"/>
  <c r="T132" i="7"/>
  <c r="Z67" i="7" s="1"/>
  <c r="T123" i="7"/>
  <c r="Z58" i="7" s="1"/>
  <c r="T125" i="7"/>
  <c r="Z60" i="7" s="1"/>
  <c r="T130" i="7"/>
  <c r="Z65" i="7" s="1"/>
  <c r="T139" i="7"/>
  <c r="Z74" i="7" s="1"/>
  <c r="AD92" i="9"/>
  <c r="BF92" i="9" s="1"/>
  <c r="BQ297" i="9" s="1"/>
  <c r="T128" i="7"/>
  <c r="Z63" i="7" s="1"/>
  <c r="AH102" i="9"/>
  <c r="BJ102" i="9" s="1"/>
  <c r="BQ443" i="9" s="1"/>
  <c r="S163" i="9"/>
  <c r="S164" i="9"/>
  <c r="AJ153" i="9"/>
  <c r="M174" i="7"/>
  <c r="M156" i="7"/>
  <c r="AH153" i="9"/>
  <c r="BJ153" i="9" s="1"/>
  <c r="AG153" i="9"/>
  <c r="BI153" i="9" s="1"/>
  <c r="BP196" i="9"/>
  <c r="BP205" i="9"/>
  <c r="T126" i="7"/>
  <c r="Z61" i="7" s="1"/>
  <c r="R152" i="9"/>
  <c r="AA152" i="9" s="1"/>
  <c r="AB152" i="9" s="1"/>
  <c r="AE152" i="9"/>
  <c r="BG152" i="9" s="1"/>
  <c r="S156" i="9"/>
  <c r="BP235" i="9"/>
  <c r="BP75" i="9"/>
  <c r="AH152" i="9"/>
  <c r="BJ152" i="9" s="1"/>
  <c r="AJ152" i="9"/>
  <c r="N156" i="7"/>
  <c r="AI152" i="9"/>
  <c r="BK152" i="9" s="1"/>
  <c r="AG126" i="9"/>
  <c r="BI126" i="9" s="1"/>
  <c r="BR401" i="9" s="1"/>
  <c r="AF152" i="9"/>
  <c r="BH152" i="9" s="1"/>
  <c r="AG152" i="9"/>
  <c r="BI152" i="9" s="1"/>
  <c r="BP239" i="9"/>
  <c r="S185" i="8"/>
  <c r="T185" i="8" s="1"/>
  <c r="AG103" i="9"/>
  <c r="BI103" i="9" s="1"/>
  <c r="BQ410" i="9" s="1"/>
  <c r="N164" i="7"/>
  <c r="BP133" i="9"/>
  <c r="BP67" i="9"/>
  <c r="N170" i="7"/>
  <c r="AD109" i="9"/>
  <c r="BF109" i="9" s="1"/>
  <c r="BQ314" i="9" s="1"/>
  <c r="N160" i="7"/>
  <c r="AJ94" i="9"/>
  <c r="BQ265" i="9" s="1"/>
  <c r="M159" i="7"/>
  <c r="BF67" i="9"/>
  <c r="BP304" i="9" s="1"/>
  <c r="M155" i="7"/>
  <c r="AI124" i="9"/>
  <c r="BK124" i="9" s="1"/>
  <c r="BR467" i="9" s="1"/>
  <c r="M157" i="7"/>
  <c r="M168" i="7"/>
  <c r="N165" i="7"/>
  <c r="N155" i="7"/>
  <c r="AD106" i="9"/>
  <c r="BF106" i="9" s="1"/>
  <c r="BQ311" i="9" s="1"/>
  <c r="S167" i="9"/>
  <c r="AJ97" i="9"/>
  <c r="BQ268" i="9" s="1"/>
  <c r="AI129" i="9"/>
  <c r="BK129" i="9" s="1"/>
  <c r="BR472" i="9" s="1"/>
  <c r="AA109" i="9"/>
  <c r="AB109" i="9" s="1"/>
  <c r="BQ42" i="9" s="1"/>
  <c r="T135" i="7"/>
  <c r="Z70" i="7" s="1"/>
  <c r="AH110" i="9"/>
  <c r="BJ110" i="9" s="1"/>
  <c r="BQ451" i="9" s="1"/>
  <c r="AH99" i="9"/>
  <c r="BJ99" i="9" s="1"/>
  <c r="BQ440" i="9" s="1"/>
  <c r="Q110" i="9"/>
  <c r="AA110" i="9" s="1"/>
  <c r="AB110" i="9" s="1"/>
  <c r="BQ43" i="9" s="1"/>
  <c r="AH93" i="9"/>
  <c r="BJ93" i="9" s="1"/>
  <c r="BQ434" i="9" s="1"/>
  <c r="AG94" i="9"/>
  <c r="BQ163" i="9" s="1"/>
  <c r="N173" i="7"/>
  <c r="AG110" i="9"/>
  <c r="BI110" i="9" s="1"/>
  <c r="BQ417" i="9" s="1"/>
  <c r="AJ93" i="9"/>
  <c r="BQ264" i="9" s="1"/>
  <c r="BP77" i="9"/>
  <c r="AE110" i="9"/>
  <c r="BQ111" i="9" s="1"/>
  <c r="AD93" i="9"/>
  <c r="BF93" i="9" s="1"/>
  <c r="BQ298" i="9" s="1"/>
  <c r="N168" i="7"/>
  <c r="M160" i="7"/>
  <c r="AG135" i="9"/>
  <c r="BI135" i="9" s="1"/>
  <c r="BR410" i="9" s="1"/>
  <c r="P142" i="7"/>
  <c r="Q142" i="7" s="1"/>
  <c r="R142" i="7" s="1"/>
  <c r="Z43" i="7" s="1"/>
  <c r="M167" i="7"/>
  <c r="P152" i="7"/>
  <c r="Q152" i="7" s="1"/>
  <c r="R152" i="7" s="1"/>
  <c r="S155" i="9"/>
  <c r="N169" i="7"/>
  <c r="AG97" i="9"/>
  <c r="BI97" i="9" s="1"/>
  <c r="BQ404" i="9" s="1"/>
  <c r="AG106" i="9"/>
  <c r="AF142" i="9"/>
  <c r="BH142" i="9" s="1"/>
  <c r="BR383" i="9" s="1"/>
  <c r="AI153" i="9"/>
  <c r="BK153" i="9" s="1"/>
  <c r="T124" i="7"/>
  <c r="Z59" i="7" s="1"/>
  <c r="AF97" i="9"/>
  <c r="BH97" i="9" s="1"/>
  <c r="BQ370" i="9" s="1"/>
  <c r="S170" i="9"/>
  <c r="L184" i="9"/>
  <c r="R184" i="9" s="1"/>
  <c r="AF153" i="9"/>
  <c r="BH153" i="9" s="1"/>
  <c r="T129" i="7"/>
  <c r="Z64" i="7" s="1"/>
  <c r="AE126" i="9"/>
  <c r="BR95" i="9" s="1"/>
  <c r="S157" i="9"/>
  <c r="AJ124" i="9"/>
  <c r="BR263" i="9" s="1"/>
  <c r="AD125" i="9"/>
  <c r="BR60" i="9" s="1"/>
  <c r="S158" i="9"/>
  <c r="AE138" i="9"/>
  <c r="BG138" i="9" s="1"/>
  <c r="BR345" i="9" s="1"/>
  <c r="AJ132" i="9"/>
  <c r="BR271" i="9" s="1"/>
  <c r="N167" i="7"/>
  <c r="N174" i="7"/>
  <c r="BP243" i="9"/>
  <c r="T141" i="7"/>
  <c r="Z76" i="7" s="1"/>
  <c r="BP72" i="9"/>
  <c r="AG125" i="9"/>
  <c r="BR162" i="9" s="1"/>
  <c r="M165" i="7"/>
  <c r="BP129" i="9"/>
  <c r="AI125" i="9"/>
  <c r="Q100" i="9"/>
  <c r="AA100" i="9" s="1"/>
  <c r="AB100" i="9" s="1"/>
  <c r="BQ33" i="9" s="1"/>
  <c r="T152" i="7"/>
  <c r="T165" i="7" s="1"/>
  <c r="AA68" i="7" s="1"/>
  <c r="AH105" i="9"/>
  <c r="BJ105" i="9" s="1"/>
  <c r="BQ446" i="9" s="1"/>
  <c r="AJ101" i="9"/>
  <c r="BQ272" i="9" s="1"/>
  <c r="M164" i="7"/>
  <c r="AI106" i="9"/>
  <c r="BK106" i="9" s="1"/>
  <c r="BQ481" i="9" s="1"/>
  <c r="Q106" i="9"/>
  <c r="AA106" i="9" s="1"/>
  <c r="AB106" i="9" s="1"/>
  <c r="BQ39" i="9" s="1"/>
  <c r="R139" i="9"/>
  <c r="AA139" i="9" s="1"/>
  <c r="AB139" i="9" s="1"/>
  <c r="BR40" i="9" s="1"/>
  <c r="AI132" i="9"/>
  <c r="BK132" i="9" s="1"/>
  <c r="BR475" i="9" s="1"/>
  <c r="S160" i="9"/>
  <c r="T185" i="9"/>
  <c r="AE130" i="9"/>
  <c r="BG130" i="9" s="1"/>
  <c r="BR337" i="9" s="1"/>
  <c r="AI101" i="9"/>
  <c r="BK101" i="9" s="1"/>
  <c r="BQ476" i="9" s="1"/>
  <c r="AH128" i="9"/>
  <c r="BJ128" i="9" s="1"/>
  <c r="BR437" i="9" s="1"/>
  <c r="AJ106" i="9"/>
  <c r="BQ277" i="9" s="1"/>
  <c r="AI142" i="9"/>
  <c r="BR247" i="9" s="1"/>
  <c r="AJ135" i="9"/>
  <c r="BR274" i="9" s="1"/>
  <c r="AJ107" i="9"/>
  <c r="BQ278" i="9" s="1"/>
  <c r="N159" i="7"/>
  <c r="M185" i="7"/>
  <c r="AH107" i="9"/>
  <c r="BJ107" i="9" s="1"/>
  <c r="BQ448" i="9" s="1"/>
  <c r="AJ104" i="9"/>
  <c r="BQ275" i="9" s="1"/>
  <c r="AF92" i="9"/>
  <c r="BH92" i="9" s="1"/>
  <c r="BQ365" i="9" s="1"/>
  <c r="N166" i="7"/>
  <c r="P128" i="7"/>
  <c r="Q128" i="7" s="1"/>
  <c r="R128" i="7" s="1"/>
  <c r="Z29" i="7" s="1"/>
  <c r="AH125" i="9"/>
  <c r="BJ125" i="9" s="1"/>
  <c r="BR434" i="9" s="1"/>
  <c r="S174" i="9"/>
  <c r="AE102" i="9"/>
  <c r="BG102" i="9" s="1"/>
  <c r="BQ341" i="9" s="1"/>
  <c r="AD123" i="9"/>
  <c r="BF123" i="9" s="1"/>
  <c r="L185" i="9"/>
  <c r="R185" i="9" s="1"/>
  <c r="AE103" i="9"/>
  <c r="BG103" i="9" s="1"/>
  <c r="BQ342" i="9" s="1"/>
  <c r="R105" i="9"/>
  <c r="AA105" i="9" s="1"/>
  <c r="AB105" i="9" s="1"/>
  <c r="BQ38" i="9" s="1"/>
  <c r="BP165" i="9"/>
  <c r="AE93" i="9"/>
  <c r="BG93" i="9" s="1"/>
  <c r="BQ332" i="9" s="1"/>
  <c r="AJ91" i="9"/>
  <c r="BQ262" i="9" s="1"/>
  <c r="AF102" i="9"/>
  <c r="BQ137" i="9" s="1"/>
  <c r="K185" i="9"/>
  <c r="AH103" i="9"/>
  <c r="BJ103" i="9" s="1"/>
  <c r="BQ444" i="9" s="1"/>
  <c r="N163" i="7"/>
  <c r="BP65" i="9"/>
  <c r="AI126" i="9"/>
  <c r="BK126" i="9" s="1"/>
  <c r="BR469" i="9" s="1"/>
  <c r="S185" i="9"/>
  <c r="AI103" i="9"/>
  <c r="BQ240" i="9" s="1"/>
  <c r="M172" i="7"/>
  <c r="M161" i="7"/>
  <c r="BP99" i="9"/>
  <c r="BP94" i="9"/>
  <c r="AI105" i="9"/>
  <c r="BK105" i="9" s="1"/>
  <c r="BQ480" i="9" s="1"/>
  <c r="AD141" i="9"/>
  <c r="BF141" i="9" s="1"/>
  <c r="BR314" i="9" s="1"/>
  <c r="P133" i="7"/>
  <c r="Q133" i="7" s="1"/>
  <c r="R133" i="7" s="1"/>
  <c r="Z34" i="7" s="1"/>
  <c r="AD153" i="9"/>
  <c r="BF153" i="9" s="1"/>
  <c r="N185" i="7"/>
  <c r="BH71" i="9"/>
  <c r="BP376" i="9" s="1"/>
  <c r="BP138" i="9"/>
  <c r="AF137" i="9"/>
  <c r="BH137" i="9" s="1"/>
  <c r="BR378" i="9" s="1"/>
  <c r="AF93" i="9"/>
  <c r="BQ128" i="9" s="1"/>
  <c r="AE141" i="9"/>
  <c r="BG141" i="9" s="1"/>
  <c r="BR348" i="9" s="1"/>
  <c r="R138" i="9"/>
  <c r="AF103" i="9"/>
  <c r="BH103" i="9" s="1"/>
  <c r="BQ376" i="9" s="1"/>
  <c r="M170" i="7"/>
  <c r="BP203" i="9"/>
  <c r="Q97" i="9"/>
  <c r="AA97" i="9" s="1"/>
  <c r="AB97" i="9" s="1"/>
  <c r="BQ30" i="9" s="1"/>
  <c r="AI137" i="9"/>
  <c r="BK137" i="9" s="1"/>
  <c r="BR480" i="9" s="1"/>
  <c r="AH106" i="9"/>
  <c r="BJ106" i="9" s="1"/>
  <c r="BQ447" i="9" s="1"/>
  <c r="R130" i="9"/>
  <c r="AG93" i="9"/>
  <c r="BI93" i="9" s="1"/>
  <c r="BQ400" i="9" s="1"/>
  <c r="AG105" i="9"/>
  <c r="BI105" i="9" s="1"/>
  <c r="BQ412" i="9" s="1"/>
  <c r="S162" i="9"/>
  <c r="AF133" i="9"/>
  <c r="BH133" i="9" s="1"/>
  <c r="BR374" i="9" s="1"/>
  <c r="Q103" i="9"/>
  <c r="AA103" i="9" s="1"/>
  <c r="AB103" i="9" s="1"/>
  <c r="BQ36" i="9" s="1"/>
  <c r="M169" i="7"/>
  <c r="BJ71" i="9"/>
  <c r="BP444" i="9" s="1"/>
  <c r="BP206" i="9"/>
  <c r="AD97" i="9"/>
  <c r="BF97" i="9" s="1"/>
  <c r="BQ302" i="9" s="1"/>
  <c r="AF106" i="9"/>
  <c r="BH106" i="9" s="1"/>
  <c r="BQ379" i="9" s="1"/>
  <c r="Q93" i="9"/>
  <c r="AA93" i="9" s="1"/>
  <c r="AB93" i="9" s="1"/>
  <c r="BQ26" i="9" s="1"/>
  <c r="AD103" i="9"/>
  <c r="BF103" i="9" s="1"/>
  <c r="BQ308" i="9" s="1"/>
  <c r="P139" i="7"/>
  <c r="Q139" i="7" s="1"/>
  <c r="R139" i="7" s="1"/>
  <c r="Z40" i="7" s="1"/>
  <c r="BG71" i="9"/>
  <c r="BP342" i="9" s="1"/>
  <c r="BP104" i="9"/>
  <c r="BJ63" i="9"/>
  <c r="BP436" i="9" s="1"/>
  <c r="BP198" i="9"/>
  <c r="AD140" i="9"/>
  <c r="BF140" i="9" s="1"/>
  <c r="BR313" i="9" s="1"/>
  <c r="AH126" i="9"/>
  <c r="BJ126" i="9" s="1"/>
  <c r="BR435" i="9" s="1"/>
  <c r="AJ125" i="9"/>
  <c r="BR264" i="9" s="1"/>
  <c r="AF123" i="9"/>
  <c r="BH123" i="9" s="1"/>
  <c r="Q132" i="9"/>
  <c r="AE98" i="9"/>
  <c r="BQ99" i="9" s="1"/>
  <c r="N158" i="7"/>
  <c r="P135" i="7"/>
  <c r="Q135" i="7" s="1"/>
  <c r="R135" i="7" s="1"/>
  <c r="Z36" i="7" s="1"/>
  <c r="K34" i="8"/>
  <c r="R34" i="8" s="1"/>
  <c r="X124" i="8" s="1"/>
  <c r="AE124" i="9"/>
  <c r="BG124" i="9" s="1"/>
  <c r="BR331" i="9" s="1"/>
  <c r="AH135" i="9"/>
  <c r="BJ135" i="9" s="1"/>
  <c r="BR444" i="9" s="1"/>
  <c r="Q140" i="9"/>
  <c r="AA140" i="9" s="1"/>
  <c r="AB140" i="9" s="1"/>
  <c r="BR41" i="9" s="1"/>
  <c r="Q126" i="9"/>
  <c r="AF125" i="9"/>
  <c r="BH125" i="9" s="1"/>
  <c r="BR366" i="9" s="1"/>
  <c r="S166" i="9"/>
  <c r="P126" i="7"/>
  <c r="Q126" i="7" s="1"/>
  <c r="R126" i="7" s="1"/>
  <c r="Z27" i="7" s="1"/>
  <c r="AJ123" i="9"/>
  <c r="BR262" i="9" s="1"/>
  <c r="AD100" i="9"/>
  <c r="BF100" i="9" s="1"/>
  <c r="BQ305" i="9" s="1"/>
  <c r="AE92" i="9"/>
  <c r="BG92" i="9" s="1"/>
  <c r="BQ331" i="9" s="1"/>
  <c r="AJ129" i="9"/>
  <c r="BR268" i="9" s="1"/>
  <c r="P129" i="7"/>
  <c r="Q129" i="7" s="1"/>
  <c r="R129" i="7" s="1"/>
  <c r="Z30" i="7" s="1"/>
  <c r="P132" i="7"/>
  <c r="Q132" i="7" s="1"/>
  <c r="R132" i="7" s="1"/>
  <c r="Z33" i="7" s="1"/>
  <c r="AG124" i="9"/>
  <c r="BI124" i="9" s="1"/>
  <c r="BR399" i="9" s="1"/>
  <c r="AE135" i="9"/>
  <c r="BG135" i="9" s="1"/>
  <c r="BR342" i="9" s="1"/>
  <c r="R126" i="9"/>
  <c r="AJ140" i="9"/>
  <c r="BR279" i="9" s="1"/>
  <c r="AG132" i="9"/>
  <c r="BI132" i="9" s="1"/>
  <c r="BR407" i="9" s="1"/>
  <c r="P136" i="7"/>
  <c r="Q136" i="7" s="1"/>
  <c r="R136" i="7" s="1"/>
  <c r="Z37" i="7" s="1"/>
  <c r="BK63" i="9"/>
  <c r="BP470" i="9" s="1"/>
  <c r="BP232" i="9"/>
  <c r="AF135" i="9"/>
  <c r="BH135" i="9" s="1"/>
  <c r="BR376" i="9" s="1"/>
  <c r="AF140" i="9"/>
  <c r="BR143" i="9" s="1"/>
  <c r="AD126" i="9"/>
  <c r="BF126" i="9" s="1"/>
  <c r="BR299" i="9" s="1"/>
  <c r="S168" i="9"/>
  <c r="T163" i="9"/>
  <c r="P141" i="7"/>
  <c r="Q141" i="7" s="1"/>
  <c r="R141" i="7" s="1"/>
  <c r="Z42" i="7" s="1"/>
  <c r="P125" i="7"/>
  <c r="Q125" i="7" s="1"/>
  <c r="R125" i="7" s="1"/>
  <c r="Z26" i="7" s="1"/>
  <c r="AE108" i="9"/>
  <c r="BG108" i="9" s="1"/>
  <c r="BQ347" i="9" s="1"/>
  <c r="P138" i="7"/>
  <c r="Q138" i="7" s="1"/>
  <c r="R138" i="7" s="1"/>
  <c r="Z39" i="7" s="1"/>
  <c r="P127" i="7"/>
  <c r="Q127" i="7" s="1"/>
  <c r="R127" i="7" s="1"/>
  <c r="Z28" i="7" s="1"/>
  <c r="AI135" i="9"/>
  <c r="BK135" i="9" s="1"/>
  <c r="BR478" i="9" s="1"/>
  <c r="AH140" i="9"/>
  <c r="BJ140" i="9" s="1"/>
  <c r="BR449" i="9" s="1"/>
  <c r="BA208" i="9"/>
  <c r="Q130" i="9"/>
  <c r="N157" i="7"/>
  <c r="M173" i="7"/>
  <c r="BH63" i="9"/>
  <c r="BP368" i="9" s="1"/>
  <c r="BP130" i="9"/>
  <c r="AI110" i="9"/>
  <c r="BK110" i="9" s="1"/>
  <c r="BQ485" i="9" s="1"/>
  <c r="Q135" i="9"/>
  <c r="AD94" i="9"/>
  <c r="BF94" i="9" s="1"/>
  <c r="BQ299" i="9" s="1"/>
  <c r="AG107" i="9"/>
  <c r="BQ176" i="9" s="1"/>
  <c r="P137" i="7"/>
  <c r="Q137" i="7" s="1"/>
  <c r="R137" i="7" s="1"/>
  <c r="Z38" i="7" s="1"/>
  <c r="P123" i="7"/>
  <c r="Q123" i="7" s="1"/>
  <c r="R123" i="7" s="1"/>
  <c r="Z24" i="7" s="1"/>
  <c r="BK71" i="9"/>
  <c r="BP478" i="9" s="1"/>
  <c r="BP240" i="9"/>
  <c r="AG101" i="9"/>
  <c r="BI101" i="9" s="1"/>
  <c r="BQ408" i="9" s="1"/>
  <c r="AF124" i="9"/>
  <c r="BH124" i="9" s="1"/>
  <c r="BR365" i="9" s="1"/>
  <c r="AE95" i="9"/>
  <c r="BG95" i="9" s="1"/>
  <c r="BQ334" i="9" s="1"/>
  <c r="AI94" i="9"/>
  <c r="BQ231" i="9" s="1"/>
  <c r="AD107" i="9"/>
  <c r="BF107" i="9" s="1"/>
  <c r="BQ312" i="9" s="1"/>
  <c r="AH138" i="9"/>
  <c r="BJ138" i="9" s="1"/>
  <c r="BR447" i="9" s="1"/>
  <c r="Q94" i="9"/>
  <c r="AA94" i="9" s="1"/>
  <c r="AB94" i="9" s="1"/>
  <c r="BQ27" i="9" s="1"/>
  <c r="AH98" i="9"/>
  <c r="BJ98" i="9" s="1"/>
  <c r="BQ439" i="9" s="1"/>
  <c r="M184" i="7"/>
  <c r="BI63" i="9"/>
  <c r="BP402" i="9" s="1"/>
  <c r="BP164" i="9"/>
  <c r="S46" i="9"/>
  <c r="AF101" i="9"/>
  <c r="BH101" i="9" s="1"/>
  <c r="BQ374" i="9" s="1"/>
  <c r="Q124" i="9"/>
  <c r="AA124" i="9" s="1"/>
  <c r="AB124" i="9" s="1"/>
  <c r="BR25" i="9" s="1"/>
  <c r="AJ95" i="9"/>
  <c r="BQ266" i="9" s="1"/>
  <c r="AH142" i="9"/>
  <c r="BJ142" i="9" s="1"/>
  <c r="BR451" i="9" s="1"/>
  <c r="Q125" i="9"/>
  <c r="AA125" i="9" s="1"/>
  <c r="AB125" i="9" s="1"/>
  <c r="BR26" i="9" s="1"/>
  <c r="AE107" i="9"/>
  <c r="BG107" i="9" s="1"/>
  <c r="BQ346" i="9" s="1"/>
  <c r="Q98" i="9"/>
  <c r="AA98" i="9" s="1"/>
  <c r="AB98" i="9" s="1"/>
  <c r="BQ31" i="9" s="1"/>
  <c r="T46" i="9"/>
  <c r="Q101" i="9"/>
  <c r="AA101" i="9" s="1"/>
  <c r="AB101" i="9" s="1"/>
  <c r="BQ34" i="9" s="1"/>
  <c r="AD124" i="9"/>
  <c r="BF124" i="9" s="1"/>
  <c r="BR297" i="9" s="1"/>
  <c r="AI140" i="9"/>
  <c r="BK140" i="9" s="1"/>
  <c r="BR483" i="9" s="1"/>
  <c r="AH109" i="9"/>
  <c r="BJ109" i="9" s="1"/>
  <c r="BQ450" i="9" s="1"/>
  <c r="AI93" i="9"/>
  <c r="BK93" i="9" s="1"/>
  <c r="BQ468" i="9" s="1"/>
  <c r="AE142" i="9"/>
  <c r="BG142" i="9" s="1"/>
  <c r="BR349" i="9" s="1"/>
  <c r="AE105" i="9"/>
  <c r="BG105" i="9" s="1"/>
  <c r="BQ344" i="9" s="1"/>
  <c r="AE125" i="9"/>
  <c r="BG125" i="9" s="1"/>
  <c r="BR332" i="9" s="1"/>
  <c r="S172" i="9"/>
  <c r="AH141" i="9"/>
  <c r="AD98" i="9"/>
  <c r="BF98" i="9" s="1"/>
  <c r="BQ303" i="9" s="1"/>
  <c r="AD102" i="9"/>
  <c r="BF102" i="9" s="1"/>
  <c r="BQ307" i="9" s="1"/>
  <c r="AE140" i="9"/>
  <c r="BR109" i="9" s="1"/>
  <c r="AE109" i="9"/>
  <c r="BG109" i="9" s="1"/>
  <c r="BQ348" i="9" s="1"/>
  <c r="AG142" i="9"/>
  <c r="BI142" i="9" s="1"/>
  <c r="BR417" i="9" s="1"/>
  <c r="AF105" i="9"/>
  <c r="BH105" i="9" s="1"/>
  <c r="BQ378" i="9" s="1"/>
  <c r="R135" i="9"/>
  <c r="Q123" i="9"/>
  <c r="AA123" i="9" s="1"/>
  <c r="AB123" i="9" s="1"/>
  <c r="AG98" i="9"/>
  <c r="BI98" i="9" s="1"/>
  <c r="BQ405" i="9" s="1"/>
  <c r="M166" i="7"/>
  <c r="P130" i="7"/>
  <c r="Q130" i="7" s="1"/>
  <c r="R130" i="7" s="1"/>
  <c r="Z31" i="7" s="1"/>
  <c r="P134" i="7"/>
  <c r="Q134" i="7" s="1"/>
  <c r="R134" i="7" s="1"/>
  <c r="Z35" i="7" s="1"/>
  <c r="W32" i="16"/>
  <c r="W51" i="16" s="1"/>
  <c r="O86" i="16"/>
  <c r="I187" i="9"/>
  <c r="I191" i="9"/>
  <c r="I189" i="9"/>
  <c r="I201" i="9"/>
  <c r="I188" i="9"/>
  <c r="I197" i="9"/>
  <c r="I200" i="9"/>
  <c r="I193" i="9"/>
  <c r="I190" i="9"/>
  <c r="I195" i="9"/>
  <c r="I196" i="9"/>
  <c r="I192" i="9"/>
  <c r="I206" i="9"/>
  <c r="I194" i="9"/>
  <c r="I199" i="9"/>
  <c r="I198" i="9"/>
  <c r="I203" i="9"/>
  <c r="I204" i="9"/>
  <c r="I205" i="9"/>
  <c r="I202" i="9"/>
  <c r="AH96" i="9"/>
  <c r="AD96" i="9"/>
  <c r="Q96" i="9"/>
  <c r="AA96" i="9" s="1"/>
  <c r="AB96" i="9" s="1"/>
  <c r="BQ29" i="9" s="1"/>
  <c r="AF96" i="9"/>
  <c r="AG96" i="9"/>
  <c r="AE96" i="9"/>
  <c r="AI96" i="9"/>
  <c r="AJ96" i="9"/>
  <c r="BQ267" i="9" s="1"/>
  <c r="AG136" i="9"/>
  <c r="Q136" i="9"/>
  <c r="AA136" i="9" s="1"/>
  <c r="AB136" i="9" s="1"/>
  <c r="BR37" i="9" s="1"/>
  <c r="AI136" i="9"/>
  <c r="AF136" i="9"/>
  <c r="AH136" i="9"/>
  <c r="AD136" i="9"/>
  <c r="AE136" i="9"/>
  <c r="AJ136" i="9"/>
  <c r="BR275" i="9" s="1"/>
  <c r="AH134" i="9"/>
  <c r="AJ134" i="9"/>
  <c r="BR273" i="9" s="1"/>
  <c r="Q134" i="9"/>
  <c r="AA134" i="9" s="1"/>
  <c r="AB134" i="9" s="1"/>
  <c r="BR35" i="9" s="1"/>
  <c r="AF134" i="9"/>
  <c r="AE134" i="9"/>
  <c r="AG134" i="9"/>
  <c r="AI134" i="9"/>
  <c r="AD134" i="9"/>
  <c r="BF125" i="9"/>
  <c r="BR298" i="9" s="1"/>
  <c r="BF130" i="9"/>
  <c r="BR303" i="9" s="1"/>
  <c r="BR65" i="9"/>
  <c r="K169" i="9"/>
  <c r="K173" i="9"/>
  <c r="BH102" i="9"/>
  <c r="BQ375" i="9" s="1"/>
  <c r="P140" i="7"/>
  <c r="Q140" i="7" s="1"/>
  <c r="R140" i="7" s="1"/>
  <c r="Z41" i="7" s="1"/>
  <c r="BJ104" i="9"/>
  <c r="BQ445" i="9" s="1"/>
  <c r="AD128" i="9"/>
  <c r="Q128" i="9"/>
  <c r="AA128" i="9" s="1"/>
  <c r="AB128" i="9" s="1"/>
  <c r="BR29" i="9" s="1"/>
  <c r="AF128" i="9"/>
  <c r="AG128" i="9"/>
  <c r="AI128" i="9"/>
  <c r="AE128" i="9"/>
  <c r="AJ128" i="9"/>
  <c r="BR267" i="9" s="1"/>
  <c r="AA129" i="9"/>
  <c r="AB129" i="9" s="1"/>
  <c r="BR30" i="9" s="1"/>
  <c r="AF131" i="9"/>
  <c r="AI131" i="9"/>
  <c r="Q131" i="9"/>
  <c r="AA131" i="9" s="1"/>
  <c r="AB131" i="9" s="1"/>
  <c r="BR32" i="9" s="1"/>
  <c r="AE131" i="9"/>
  <c r="AH131" i="9"/>
  <c r="AJ131" i="9"/>
  <c r="BR270" i="9" s="1"/>
  <c r="AG131" i="9"/>
  <c r="AD131" i="9"/>
  <c r="L157" i="9"/>
  <c r="R157" i="9" s="1"/>
  <c r="Q45" i="9"/>
  <c r="AA45" i="9" s="1"/>
  <c r="AB45" i="9" s="1"/>
  <c r="BO42" i="9" s="1"/>
  <c r="AF45" i="9"/>
  <c r="AG45" i="9"/>
  <c r="AH45" i="9"/>
  <c r="AI45" i="9"/>
  <c r="AJ45" i="9"/>
  <c r="AD45" i="9"/>
  <c r="AE45" i="9"/>
  <c r="BF91" i="9"/>
  <c r="BQ58" i="9"/>
  <c r="AF127" i="9"/>
  <c r="AI127" i="9"/>
  <c r="AH127" i="9"/>
  <c r="AE127" i="9"/>
  <c r="AD127" i="9"/>
  <c r="AG127" i="9"/>
  <c r="Q127" i="9"/>
  <c r="AA127" i="9" s="1"/>
  <c r="AB127" i="9" s="1"/>
  <c r="BR28" i="9" s="1"/>
  <c r="AJ127" i="9"/>
  <c r="BR266" i="9" s="1"/>
  <c r="T174" i="7"/>
  <c r="AA77" i="7" s="1"/>
  <c r="BG62" i="9"/>
  <c r="BP333" i="9" s="1"/>
  <c r="BP95" i="9"/>
  <c r="AB73" i="8"/>
  <c r="R176" i="16"/>
  <c r="Z113" i="16" s="1"/>
  <c r="L176" i="16"/>
  <c r="BH75" i="9"/>
  <c r="BP380" i="9" s="1"/>
  <c r="BP142" i="9"/>
  <c r="Q202" i="8"/>
  <c r="AC101" i="8" s="1"/>
  <c r="Q197" i="8"/>
  <c r="AC96" i="8" s="1"/>
  <c r="S190" i="16"/>
  <c r="I204" i="16"/>
  <c r="I200" i="16"/>
  <c r="I206" i="16"/>
  <c r="I208" i="16"/>
  <c r="I210" i="16"/>
  <c r="I202" i="16"/>
  <c r="I197" i="16"/>
  <c r="I193" i="16"/>
  <c r="I212" i="16"/>
  <c r="I199" i="16"/>
  <c r="I195" i="16"/>
  <c r="I201" i="16"/>
  <c r="I203" i="16"/>
  <c r="I209" i="16"/>
  <c r="I205" i="16"/>
  <c r="I211" i="16"/>
  <c r="I207" i="16"/>
  <c r="I194" i="16"/>
  <c r="I196" i="16"/>
  <c r="I198" i="16"/>
  <c r="C203" i="16"/>
  <c r="C199" i="16"/>
  <c r="C205" i="16"/>
  <c r="C201" i="16"/>
  <c r="C207" i="16"/>
  <c r="C209" i="16"/>
  <c r="C211" i="16"/>
  <c r="C198" i="16"/>
  <c r="C194" i="16"/>
  <c r="C200" i="16"/>
  <c r="C202" i="16"/>
  <c r="C204" i="16"/>
  <c r="C196" i="16"/>
  <c r="C210" i="16"/>
  <c r="C206" i="16"/>
  <c r="C193" i="16"/>
  <c r="C212" i="16"/>
  <c r="C195" i="16"/>
  <c r="C197" i="16"/>
  <c r="C208" i="16"/>
  <c r="S165" i="16"/>
  <c r="Z136" i="16" s="1"/>
  <c r="M165" i="16"/>
  <c r="AB59" i="8"/>
  <c r="BJ60" i="9"/>
  <c r="BP433" i="9" s="1"/>
  <c r="BP195" i="9"/>
  <c r="BJ73" i="9"/>
  <c r="BP446" i="9" s="1"/>
  <c r="BP208" i="9"/>
  <c r="L188" i="7"/>
  <c r="L200" i="7"/>
  <c r="L191" i="7"/>
  <c r="L203" i="7"/>
  <c r="L190" i="7"/>
  <c r="L202" i="7"/>
  <c r="L193" i="7"/>
  <c r="L205" i="7"/>
  <c r="L192" i="7"/>
  <c r="L204" i="7"/>
  <c r="L195" i="7"/>
  <c r="L194" i="7"/>
  <c r="L206" i="7"/>
  <c r="L197" i="7"/>
  <c r="L196" i="7"/>
  <c r="L187" i="7"/>
  <c r="L199" i="7"/>
  <c r="L198" i="7"/>
  <c r="L189" i="7"/>
  <c r="L201" i="7"/>
  <c r="Q162" i="16"/>
  <c r="Z65" i="16" s="1"/>
  <c r="K162" i="16"/>
  <c r="Q170" i="16"/>
  <c r="Z73" i="16" s="1"/>
  <c r="K170" i="16"/>
  <c r="Q137" i="9"/>
  <c r="AA137" i="9" s="1"/>
  <c r="AB137" i="9" s="1"/>
  <c r="BR38" i="9" s="1"/>
  <c r="L163" i="9"/>
  <c r="R163" i="9" s="1"/>
  <c r="K170" i="9"/>
  <c r="K164" i="9"/>
  <c r="Q164" i="9" s="1"/>
  <c r="AE104" i="9"/>
  <c r="AT208" i="9"/>
  <c r="AM208" i="9"/>
  <c r="E191" i="9"/>
  <c r="E202" i="9"/>
  <c r="E201" i="9"/>
  <c r="E187" i="9"/>
  <c r="E188" i="9"/>
  <c r="E194" i="9"/>
  <c r="E199" i="9"/>
  <c r="E195" i="9"/>
  <c r="E203" i="9"/>
  <c r="E200" i="9"/>
  <c r="E198" i="9"/>
  <c r="E196" i="9"/>
  <c r="E197" i="9"/>
  <c r="E192" i="9"/>
  <c r="E204" i="9"/>
  <c r="E205" i="9"/>
  <c r="E190" i="9"/>
  <c r="E206" i="9"/>
  <c r="E193" i="9"/>
  <c r="E189" i="9"/>
  <c r="AG139" i="9"/>
  <c r="R133" i="9"/>
  <c r="AA133" i="9" s="1"/>
  <c r="AB133" i="9" s="1"/>
  <c r="BR34" i="9" s="1"/>
  <c r="T157" i="9"/>
  <c r="T173" i="9"/>
  <c r="AH132" i="9"/>
  <c r="AF130" i="9"/>
  <c r="BJ74" i="9"/>
  <c r="BP447" i="9" s="1"/>
  <c r="BP209" i="9"/>
  <c r="AD129" i="9"/>
  <c r="BK75" i="9"/>
  <c r="BP482" i="9" s="1"/>
  <c r="BP244" i="9"/>
  <c r="R163" i="16"/>
  <c r="Z100" i="16" s="1"/>
  <c r="L163" i="16"/>
  <c r="R108" i="9"/>
  <c r="AA108" i="9" s="1"/>
  <c r="AB108" i="9" s="1"/>
  <c r="BQ41" i="9" s="1"/>
  <c r="N142" i="16"/>
  <c r="O142" i="16" s="1"/>
  <c r="Y43" i="16" s="1"/>
  <c r="BK72" i="9"/>
  <c r="BP479" i="9" s="1"/>
  <c r="BP241" i="9"/>
  <c r="Y76" i="8"/>
  <c r="Q194" i="8"/>
  <c r="AC93" i="8" s="1"/>
  <c r="Q204" i="8"/>
  <c r="AC103" i="8" s="1"/>
  <c r="J206" i="16"/>
  <c r="J202" i="16"/>
  <c r="J208" i="16"/>
  <c r="J210" i="16"/>
  <c r="J193" i="16"/>
  <c r="J212" i="16"/>
  <c r="J199" i="16"/>
  <c r="J195" i="16"/>
  <c r="J201" i="16"/>
  <c r="J203" i="16"/>
  <c r="J205" i="16"/>
  <c r="J197" i="16"/>
  <c r="J211" i="16"/>
  <c r="J207" i="16"/>
  <c r="J194" i="16"/>
  <c r="J196" i="16"/>
  <c r="J198" i="16"/>
  <c r="J209" i="16"/>
  <c r="J204" i="16"/>
  <c r="J200" i="16"/>
  <c r="N140" i="16"/>
  <c r="O140" i="16" s="1"/>
  <c r="Y41" i="16" s="1"/>
  <c r="S176" i="16"/>
  <c r="Z147" i="16" s="1"/>
  <c r="M176" i="16"/>
  <c r="R102" i="9"/>
  <c r="BK77" i="9"/>
  <c r="BP484" i="9" s="1"/>
  <c r="BP246" i="9"/>
  <c r="BK61" i="9"/>
  <c r="BP468" i="9" s="1"/>
  <c r="BP230" i="9"/>
  <c r="R150" i="16"/>
  <c r="Y98" i="16"/>
  <c r="Q161" i="16"/>
  <c r="K161" i="16"/>
  <c r="Q165" i="16"/>
  <c r="Z68" i="16" s="1"/>
  <c r="K165" i="16"/>
  <c r="AH97" i="9"/>
  <c r="AD137" i="9"/>
  <c r="BF69" i="9"/>
  <c r="BP306" i="9" s="1"/>
  <c r="BP68" i="9"/>
  <c r="L169" i="9"/>
  <c r="L172" i="9"/>
  <c r="R172" i="9" s="1"/>
  <c r="AF126" i="9"/>
  <c r="BK64" i="9"/>
  <c r="BP471" i="9" s="1"/>
  <c r="BP233" i="9"/>
  <c r="AF109" i="9"/>
  <c r="AH91" i="9"/>
  <c r="AD105" i="9"/>
  <c r="AH94" i="9"/>
  <c r="S161" i="9"/>
  <c r="K157" i="9"/>
  <c r="K165" i="9"/>
  <c r="AG123" i="9"/>
  <c r="BG63" i="9"/>
  <c r="BP334" i="9" s="1"/>
  <c r="BP96" i="9"/>
  <c r="Q104" i="9"/>
  <c r="AA104" i="9" s="1"/>
  <c r="AB104" i="9" s="1"/>
  <c r="BQ37" i="9" s="1"/>
  <c r="AO208" i="9"/>
  <c r="AY208" i="9"/>
  <c r="AI139" i="9"/>
  <c r="BH69" i="9"/>
  <c r="BP374" i="9" s="1"/>
  <c r="BP136" i="9"/>
  <c r="T159" i="9"/>
  <c r="T170" i="9"/>
  <c r="AF132" i="9"/>
  <c r="AH130" i="9"/>
  <c r="AH129" i="9"/>
  <c r="AB58" i="8"/>
  <c r="AB57" i="8"/>
  <c r="R171" i="16"/>
  <c r="Z108" i="16" s="1"/>
  <c r="L171" i="16"/>
  <c r="Q190" i="8"/>
  <c r="AC89" i="8" s="1"/>
  <c r="AG89" i="8" s="1"/>
  <c r="AE89" i="8" s="1"/>
  <c r="P190" i="8"/>
  <c r="Q205" i="8"/>
  <c r="AC104" i="8" s="1"/>
  <c r="S170" i="16"/>
  <c r="Z141" i="16" s="1"/>
  <c r="M170" i="16"/>
  <c r="N138" i="16"/>
  <c r="O138" i="16" s="1"/>
  <c r="Y39" i="16" s="1"/>
  <c r="N129" i="16"/>
  <c r="O129" i="16" s="1"/>
  <c r="AB63" i="8"/>
  <c r="BI73" i="9"/>
  <c r="BP412" i="9" s="1"/>
  <c r="BP174" i="9"/>
  <c r="BI67" i="9"/>
  <c r="BP406" i="9" s="1"/>
  <c r="BP168" i="9"/>
  <c r="Q180" i="16"/>
  <c r="Z83" i="16" s="1"/>
  <c r="K180" i="16"/>
  <c r="Q177" i="16"/>
  <c r="Z80" i="16" s="1"/>
  <c r="K177" i="16"/>
  <c r="BH70" i="9"/>
  <c r="BP375" i="9" s="1"/>
  <c r="BP137" i="9"/>
  <c r="AE137" i="9"/>
  <c r="R112" i="7"/>
  <c r="Y24" i="7"/>
  <c r="Y45" i="7" s="1"/>
  <c r="BG74" i="9"/>
  <c r="BP345" i="9" s="1"/>
  <c r="BP107" i="9"/>
  <c r="BF62" i="9"/>
  <c r="BP299" i="9" s="1"/>
  <c r="BP61" i="9"/>
  <c r="L162" i="9"/>
  <c r="R162" i="9" s="1"/>
  <c r="L173" i="9"/>
  <c r="R173" i="9" s="1"/>
  <c r="BF65" i="9"/>
  <c r="BP302" i="9" s="1"/>
  <c r="BP64" i="9"/>
  <c r="BI75" i="9"/>
  <c r="BP414" i="9" s="1"/>
  <c r="BP176" i="9"/>
  <c r="AF91" i="9"/>
  <c r="BR128" i="9"/>
  <c r="AD108" i="9"/>
  <c r="S173" i="9"/>
  <c r="K156" i="9"/>
  <c r="Q156" i="9" s="1"/>
  <c r="K158" i="9"/>
  <c r="BF71" i="9"/>
  <c r="BP308" i="9" s="1"/>
  <c r="BP70" i="9"/>
  <c r="AL208" i="9"/>
  <c r="AG138" i="9"/>
  <c r="AD139" i="9"/>
  <c r="AG80" i="9"/>
  <c r="BI59" i="9"/>
  <c r="BP160" i="9"/>
  <c r="T167" i="9"/>
  <c r="T172" i="9"/>
  <c r="Q99" i="9"/>
  <c r="AA99" i="9" s="1"/>
  <c r="AB99" i="9" s="1"/>
  <c r="BQ32" i="9" s="1"/>
  <c r="AI98" i="9"/>
  <c r="AE133" i="9"/>
  <c r="R164" i="16"/>
  <c r="Z101" i="16" s="1"/>
  <c r="L164" i="16"/>
  <c r="R165" i="16"/>
  <c r="Z102" i="16" s="1"/>
  <c r="L165" i="16"/>
  <c r="Q195" i="8"/>
  <c r="AC94" i="8" s="1"/>
  <c r="P195" i="8"/>
  <c r="Q201" i="8"/>
  <c r="AC100" i="8" s="1"/>
  <c r="M191" i="16"/>
  <c r="S173" i="16"/>
  <c r="Z144" i="16" s="1"/>
  <c r="M173" i="16"/>
  <c r="S175" i="16"/>
  <c r="Z146" i="16" s="1"/>
  <c r="M175" i="16"/>
  <c r="BH76" i="9"/>
  <c r="BP381" i="9" s="1"/>
  <c r="BP143" i="9"/>
  <c r="K152" i="8"/>
  <c r="O162" i="7"/>
  <c r="O160" i="7"/>
  <c r="O158" i="7"/>
  <c r="O155" i="7"/>
  <c r="O171" i="7"/>
  <c r="O173" i="7"/>
  <c r="O165" i="7"/>
  <c r="O157" i="7"/>
  <c r="O167" i="7"/>
  <c r="O159" i="7"/>
  <c r="O169" i="7"/>
  <c r="O161" i="7"/>
  <c r="O156" i="7"/>
  <c r="O163" i="7"/>
  <c r="O174" i="7"/>
  <c r="O164" i="7"/>
  <c r="O172" i="7"/>
  <c r="O166" i="7"/>
  <c r="O168" i="7"/>
  <c r="O170" i="7"/>
  <c r="Q150" i="16"/>
  <c r="Y64" i="16"/>
  <c r="BG73" i="9"/>
  <c r="BP344" i="9" s="1"/>
  <c r="BP106" i="9"/>
  <c r="Q166" i="16"/>
  <c r="Z69" i="16" s="1"/>
  <c r="K166" i="16"/>
  <c r="N146" i="16"/>
  <c r="O146" i="16" s="1"/>
  <c r="Y47" i="16" s="1"/>
  <c r="AF110" i="9"/>
  <c r="AE101" i="9"/>
  <c r="AI97" i="9"/>
  <c r="AE106" i="9"/>
  <c r="AF95" i="9"/>
  <c r="L156" i="9"/>
  <c r="R156" i="9" s="1"/>
  <c r="L168" i="9"/>
  <c r="R168" i="9" s="1"/>
  <c r="AG109" i="9"/>
  <c r="R142" i="9"/>
  <c r="Q142" i="9"/>
  <c r="BH67" i="9"/>
  <c r="BP372" i="9" s="1"/>
  <c r="BP134" i="9"/>
  <c r="AI91" i="9"/>
  <c r="AJ105" i="9"/>
  <c r="BQ276" i="9" s="1"/>
  <c r="BI74" i="9"/>
  <c r="BP413" i="9" s="1"/>
  <c r="BP175" i="9"/>
  <c r="AF141" i="9"/>
  <c r="Q102" i="9"/>
  <c r="K161" i="9"/>
  <c r="Q161" i="9" s="1"/>
  <c r="AF80" i="9"/>
  <c r="BH59" i="9"/>
  <c r="BP126" i="9"/>
  <c r="K184" i="9"/>
  <c r="Q184" i="9" s="1"/>
  <c r="C193" i="9"/>
  <c r="C201" i="9"/>
  <c r="C192" i="9"/>
  <c r="C197" i="9"/>
  <c r="C205" i="9"/>
  <c r="C187" i="9"/>
  <c r="C194" i="9"/>
  <c r="C200" i="9"/>
  <c r="C198" i="9"/>
  <c r="C206" i="9"/>
  <c r="C199" i="9"/>
  <c r="C189" i="9"/>
  <c r="C190" i="9"/>
  <c r="C202" i="9"/>
  <c r="C195" i="9"/>
  <c r="C188" i="9"/>
  <c r="C204" i="9"/>
  <c r="C196" i="9"/>
  <c r="C191" i="9"/>
  <c r="C203" i="9"/>
  <c r="D187" i="9"/>
  <c r="D192" i="9"/>
  <c r="D202" i="9"/>
  <c r="D203" i="9"/>
  <c r="D200" i="9"/>
  <c r="D196" i="9"/>
  <c r="D188" i="9"/>
  <c r="D189" i="9"/>
  <c r="D204" i="9"/>
  <c r="D195" i="9"/>
  <c r="D199" i="9"/>
  <c r="D197" i="9"/>
  <c r="D205" i="9"/>
  <c r="D206" i="9"/>
  <c r="D201" i="9"/>
  <c r="D193" i="9"/>
  <c r="D194" i="9"/>
  <c r="D190" i="9"/>
  <c r="D191" i="9"/>
  <c r="D198" i="9"/>
  <c r="AS208" i="9"/>
  <c r="AI138" i="9"/>
  <c r="BG67" i="9"/>
  <c r="BP338" i="9" s="1"/>
  <c r="BP100" i="9"/>
  <c r="Q92" i="9"/>
  <c r="AA92" i="9" s="1"/>
  <c r="AB92" i="9" s="1"/>
  <c r="BQ25" i="9" s="1"/>
  <c r="T169" i="9"/>
  <c r="T164" i="9"/>
  <c r="AE132" i="9"/>
  <c r="AG99" i="9"/>
  <c r="AF98" i="9"/>
  <c r="N137" i="16"/>
  <c r="O137" i="16" s="1"/>
  <c r="Y38" i="16" s="1"/>
  <c r="R167" i="16"/>
  <c r="Z104" i="16" s="1"/>
  <c r="L167" i="16"/>
  <c r="R168" i="16"/>
  <c r="Z105" i="16" s="1"/>
  <c r="L168" i="16"/>
  <c r="N172" i="7"/>
  <c r="Q189" i="8"/>
  <c r="AC88" i="8" s="1"/>
  <c r="AG88" i="8" s="1"/>
  <c r="AE88" i="8" s="1"/>
  <c r="Q196" i="8"/>
  <c r="AC95" i="8" s="1"/>
  <c r="BF72" i="9"/>
  <c r="BP309" i="9" s="1"/>
  <c r="BP71" i="9"/>
  <c r="S178" i="16"/>
  <c r="Z149" i="16" s="1"/>
  <c r="M178" i="16"/>
  <c r="S164" i="16"/>
  <c r="Z135" i="16" s="1"/>
  <c r="M164" i="16"/>
  <c r="BG68" i="9"/>
  <c r="BP339" i="9" s="1"/>
  <c r="BP101" i="9"/>
  <c r="AB67" i="8"/>
  <c r="AB107" i="8"/>
  <c r="BI60" i="9"/>
  <c r="BP399" i="9" s="1"/>
  <c r="BP161" i="9"/>
  <c r="AB70" i="8"/>
  <c r="D199" i="7"/>
  <c r="D191" i="7"/>
  <c r="D205" i="7"/>
  <c r="D193" i="7"/>
  <c r="D203" i="7"/>
  <c r="D195" i="7"/>
  <c r="D187" i="7"/>
  <c r="D201" i="7"/>
  <c r="D197" i="7"/>
  <c r="D189" i="7"/>
  <c r="D188" i="7"/>
  <c r="D200" i="7"/>
  <c r="D190" i="7"/>
  <c r="D202" i="7"/>
  <c r="D192" i="7"/>
  <c r="D204" i="7"/>
  <c r="D194" i="7"/>
  <c r="D206" i="7"/>
  <c r="D196" i="7"/>
  <c r="D198" i="7"/>
  <c r="F189" i="7"/>
  <c r="F201" i="7"/>
  <c r="F192" i="7"/>
  <c r="F204" i="7"/>
  <c r="F191" i="7"/>
  <c r="F203" i="7"/>
  <c r="F194" i="7"/>
  <c r="F206" i="7"/>
  <c r="F193" i="7"/>
  <c r="F205" i="7"/>
  <c r="F196" i="7"/>
  <c r="F195" i="7"/>
  <c r="F198" i="7"/>
  <c r="F197" i="7"/>
  <c r="F188" i="7"/>
  <c r="F200" i="7"/>
  <c r="F190" i="7"/>
  <c r="F202" i="7"/>
  <c r="F187" i="7"/>
  <c r="F199" i="7"/>
  <c r="N184" i="7"/>
  <c r="C189" i="7"/>
  <c r="C187" i="7"/>
  <c r="C206" i="7"/>
  <c r="C204" i="7"/>
  <c r="C202" i="7"/>
  <c r="C200" i="7"/>
  <c r="C196" i="7"/>
  <c r="C188" i="7"/>
  <c r="C198" i="7"/>
  <c r="C190" i="7"/>
  <c r="C192" i="7"/>
  <c r="C194" i="7"/>
  <c r="C197" i="7"/>
  <c r="C205" i="7"/>
  <c r="C191" i="7"/>
  <c r="C199" i="7"/>
  <c r="C193" i="7"/>
  <c r="C201" i="7"/>
  <c r="C195" i="7"/>
  <c r="C203" i="7"/>
  <c r="BH61" i="9"/>
  <c r="BP366" i="9" s="1"/>
  <c r="BP128" i="9"/>
  <c r="Q172" i="16"/>
  <c r="Z75" i="16" s="1"/>
  <c r="K172" i="16"/>
  <c r="AA153" i="9"/>
  <c r="AB153" i="9" s="1"/>
  <c r="S150" i="16"/>
  <c r="Y132" i="16"/>
  <c r="Y153" i="16" s="1"/>
  <c r="AH95" i="9"/>
  <c r="L160" i="9"/>
  <c r="R160" i="9" s="1"/>
  <c r="L164" i="9"/>
  <c r="AJ109" i="9"/>
  <c r="BQ280" i="9" s="1"/>
  <c r="AD142" i="9"/>
  <c r="AG91" i="9"/>
  <c r="AH108" i="9"/>
  <c r="AG141" i="9"/>
  <c r="BG75" i="9"/>
  <c r="BP346" i="9" s="1"/>
  <c r="BP108" i="9"/>
  <c r="BF74" i="9"/>
  <c r="BP311" i="9" s="1"/>
  <c r="BP73" i="9"/>
  <c r="K172" i="9"/>
  <c r="AE123" i="9"/>
  <c r="BH78" i="9"/>
  <c r="BP383" i="9" s="1"/>
  <c r="BP145" i="9"/>
  <c r="AE100" i="9"/>
  <c r="M200" i="9"/>
  <c r="M205" i="9"/>
  <c r="M201" i="9"/>
  <c r="M204" i="9"/>
  <c r="M190" i="9"/>
  <c r="M197" i="9"/>
  <c r="M196" i="9"/>
  <c r="M189" i="9"/>
  <c r="M198" i="9"/>
  <c r="M203" i="9"/>
  <c r="M188" i="9"/>
  <c r="M206" i="9"/>
  <c r="M202" i="9"/>
  <c r="M194" i="9"/>
  <c r="M191" i="9"/>
  <c r="M192" i="9"/>
  <c r="M193" i="9"/>
  <c r="M199" i="9"/>
  <c r="M187" i="9"/>
  <c r="M195" i="9"/>
  <c r="O188" i="9"/>
  <c r="O199" i="9"/>
  <c r="O191" i="9"/>
  <c r="O205" i="9"/>
  <c r="O203" i="9"/>
  <c r="O192" i="9"/>
  <c r="O201" i="9"/>
  <c r="S201" i="9" s="1"/>
  <c r="O196" i="9"/>
  <c r="O200" i="9"/>
  <c r="O198" i="9"/>
  <c r="O187" i="9"/>
  <c r="S187" i="9" s="1"/>
  <c r="O206" i="9"/>
  <c r="O202" i="9"/>
  <c r="O189" i="9"/>
  <c r="O190" i="9"/>
  <c r="O195" i="9"/>
  <c r="O204" i="9"/>
  <c r="O193" i="9"/>
  <c r="O194" i="9"/>
  <c r="O197" i="9"/>
  <c r="P192" i="9"/>
  <c r="P202" i="9"/>
  <c r="P200" i="9"/>
  <c r="P196" i="9"/>
  <c r="P204" i="9"/>
  <c r="P187" i="9"/>
  <c r="P188" i="9"/>
  <c r="P189" i="9"/>
  <c r="P199" i="9"/>
  <c r="P197" i="9"/>
  <c r="P205" i="9"/>
  <c r="P198" i="9"/>
  <c r="P193" i="9"/>
  <c r="P201" i="9"/>
  <c r="P194" i="9"/>
  <c r="P190" i="9"/>
  <c r="P195" i="9"/>
  <c r="P206" i="9"/>
  <c r="P191" i="9"/>
  <c r="P203" i="9"/>
  <c r="BE208" i="9"/>
  <c r="AK208" i="9"/>
  <c r="AE139" i="9"/>
  <c r="T156" i="9"/>
  <c r="T155" i="9"/>
  <c r="AD132" i="9"/>
  <c r="AD133" i="9"/>
  <c r="AA63" i="8"/>
  <c r="R161" i="16"/>
  <c r="L161" i="16"/>
  <c r="R166" i="16"/>
  <c r="Z103" i="16" s="1"/>
  <c r="L166" i="16"/>
  <c r="N162" i="7"/>
  <c r="M163" i="7"/>
  <c r="Q191" i="8"/>
  <c r="AC90" i="8" s="1"/>
  <c r="AG90" i="8" s="1"/>
  <c r="AE90" i="8" s="1"/>
  <c r="P191" i="8"/>
  <c r="Q193" i="8"/>
  <c r="AC92" i="8" s="1"/>
  <c r="AG92" i="8" s="1"/>
  <c r="AE92" i="8" s="1"/>
  <c r="Q190" i="16"/>
  <c r="E207" i="16"/>
  <c r="E203" i="16"/>
  <c r="E209" i="16"/>
  <c r="E211" i="16"/>
  <c r="E194" i="16"/>
  <c r="E200" i="16"/>
  <c r="E196" i="16"/>
  <c r="E202" i="16"/>
  <c r="E204" i="16"/>
  <c r="E206" i="16"/>
  <c r="E198" i="16"/>
  <c r="E193" i="16"/>
  <c r="E212" i="16"/>
  <c r="E208" i="16"/>
  <c r="E195" i="16"/>
  <c r="E197" i="16"/>
  <c r="E199" i="16"/>
  <c r="E210" i="16"/>
  <c r="E205" i="16"/>
  <c r="E201" i="16"/>
  <c r="S162" i="16"/>
  <c r="Z133" i="16" s="1"/>
  <c r="M162" i="16"/>
  <c r="S161" i="16"/>
  <c r="M161" i="16"/>
  <c r="BH77" i="9"/>
  <c r="BP382" i="9" s="1"/>
  <c r="BP144" i="9"/>
  <c r="Q163" i="16"/>
  <c r="Z66" i="16" s="1"/>
  <c r="K163" i="16"/>
  <c r="N141" i="16"/>
  <c r="O141" i="16" s="1"/>
  <c r="Y42" i="16" s="1"/>
  <c r="AD110" i="9"/>
  <c r="AD101" i="9"/>
  <c r="AE97" i="9"/>
  <c r="AD135" i="9"/>
  <c r="K92" i="8"/>
  <c r="R92" i="8" s="1"/>
  <c r="K91" i="8"/>
  <c r="R91" i="8" s="1"/>
  <c r="K108" i="8"/>
  <c r="R108" i="8" s="1"/>
  <c r="K99" i="8"/>
  <c r="R99" i="8" s="1"/>
  <c r="K96" i="8"/>
  <c r="R96" i="8" s="1"/>
  <c r="K107" i="8"/>
  <c r="R107" i="8" s="1"/>
  <c r="K98" i="8"/>
  <c r="R98" i="8" s="1"/>
  <c r="K109" i="8"/>
  <c r="R109" i="8" s="1"/>
  <c r="K106" i="8"/>
  <c r="R106" i="8" s="1"/>
  <c r="K97" i="8"/>
  <c r="R97" i="8" s="1"/>
  <c r="K103" i="8"/>
  <c r="R103" i="8" s="1"/>
  <c r="K104" i="8"/>
  <c r="R104" i="8" s="1"/>
  <c r="K100" i="8"/>
  <c r="R100" i="8" s="1"/>
  <c r="K93" i="8"/>
  <c r="R93" i="8" s="1"/>
  <c r="K105" i="8"/>
  <c r="R105" i="8" s="1"/>
  <c r="K102" i="8"/>
  <c r="R102" i="8" s="1"/>
  <c r="K94" i="8"/>
  <c r="R94" i="8" s="1"/>
  <c r="K110" i="8"/>
  <c r="R110" i="8" s="1"/>
  <c r="K95" i="8"/>
  <c r="R95" i="8" s="1"/>
  <c r="K101" i="8"/>
  <c r="R101" i="8" s="1"/>
  <c r="R88" i="8"/>
  <c r="S88" i="8" s="1"/>
  <c r="T88" i="8" s="1"/>
  <c r="AG95" i="9"/>
  <c r="L171" i="9"/>
  <c r="R171" i="9" s="1"/>
  <c r="L165" i="9"/>
  <c r="AI109" i="9"/>
  <c r="AJ142" i="9"/>
  <c r="BR281" i="9" s="1"/>
  <c r="AE91" i="9"/>
  <c r="BK125" i="9"/>
  <c r="BR468" i="9" s="1"/>
  <c r="BR230" i="9"/>
  <c r="AE94" i="9"/>
  <c r="AF108" i="9"/>
  <c r="AI141" i="9"/>
  <c r="AG102" i="9"/>
  <c r="K159" i="9"/>
  <c r="AI104" i="9"/>
  <c r="H192" i="9"/>
  <c r="H188" i="9"/>
  <c r="H194" i="9"/>
  <c r="H202" i="9"/>
  <c r="H193" i="9"/>
  <c r="H200" i="9"/>
  <c r="H195" i="9"/>
  <c r="H204" i="9"/>
  <c r="H189" i="9"/>
  <c r="H187" i="9"/>
  <c r="H196" i="9"/>
  <c r="H191" i="9"/>
  <c r="H197" i="9"/>
  <c r="H199" i="9"/>
  <c r="H198" i="9"/>
  <c r="H201" i="9"/>
  <c r="H206" i="9"/>
  <c r="H190" i="9"/>
  <c r="H205" i="9"/>
  <c r="H203" i="9"/>
  <c r="AQ208" i="9"/>
  <c r="J187" i="9"/>
  <c r="J196" i="9"/>
  <c r="J204" i="9"/>
  <c r="J188" i="9"/>
  <c r="J195" i="9"/>
  <c r="J203" i="9"/>
  <c r="J205" i="9"/>
  <c r="J202" i="9"/>
  <c r="J200" i="9"/>
  <c r="J199" i="9"/>
  <c r="J201" i="9"/>
  <c r="J189" i="9"/>
  <c r="J193" i="9"/>
  <c r="J198" i="9"/>
  <c r="J192" i="9"/>
  <c r="J190" i="9"/>
  <c r="J191" i="9"/>
  <c r="J194" i="9"/>
  <c r="J206" i="9"/>
  <c r="J197" i="9"/>
  <c r="AW208" i="9"/>
  <c r="Q138" i="9"/>
  <c r="AF139" i="9"/>
  <c r="AG92" i="9"/>
  <c r="T160" i="9"/>
  <c r="T168" i="9"/>
  <c r="AI130" i="9"/>
  <c r="AD99" i="9"/>
  <c r="AF129" i="9"/>
  <c r="AG133" i="9"/>
  <c r="AA58" i="8"/>
  <c r="N131" i="16"/>
  <c r="O131" i="16" s="1"/>
  <c r="Y32" i="16" s="1"/>
  <c r="R179" i="16"/>
  <c r="Z116" i="16" s="1"/>
  <c r="L179" i="16"/>
  <c r="R177" i="16"/>
  <c r="Z114" i="16" s="1"/>
  <c r="L177" i="16"/>
  <c r="Q203" i="8"/>
  <c r="AC102" i="8" s="1"/>
  <c r="K190" i="16"/>
  <c r="BJ72" i="9"/>
  <c r="BP445" i="9" s="1"/>
  <c r="BP207" i="9"/>
  <c r="AB66" i="8"/>
  <c r="S169" i="16"/>
  <c r="Z140" i="16" s="1"/>
  <c r="M169" i="16"/>
  <c r="S163" i="16"/>
  <c r="Z134" i="16" s="1"/>
  <c r="M163" i="16"/>
  <c r="BH60" i="9"/>
  <c r="BP365" i="9" s="1"/>
  <c r="BP127" i="9"/>
  <c r="N130" i="16"/>
  <c r="O130" i="16" s="1"/>
  <c r="Y31" i="16" s="1"/>
  <c r="BP24" i="9"/>
  <c r="BJ77" i="9"/>
  <c r="BP450" i="9" s="1"/>
  <c r="BP212" i="9"/>
  <c r="BF60" i="9"/>
  <c r="BP297" i="9" s="1"/>
  <c r="BP59" i="9"/>
  <c r="AA68" i="8"/>
  <c r="E205" i="7"/>
  <c r="E203" i="7"/>
  <c r="E201" i="7"/>
  <c r="E199" i="7"/>
  <c r="E191" i="7"/>
  <c r="E193" i="7"/>
  <c r="E195" i="7"/>
  <c r="E187" i="7"/>
  <c r="E197" i="7"/>
  <c r="E189" i="7"/>
  <c r="E196" i="7"/>
  <c r="E198" i="7"/>
  <c r="E188" i="7"/>
  <c r="E200" i="7"/>
  <c r="E190" i="7"/>
  <c r="E202" i="7"/>
  <c r="E192" i="7"/>
  <c r="E204" i="7"/>
  <c r="E194" i="7"/>
  <c r="E206" i="7"/>
  <c r="G195" i="7"/>
  <c r="G188" i="7"/>
  <c r="G200" i="7"/>
  <c r="G197" i="7"/>
  <c r="G190" i="7"/>
  <c r="G202" i="7"/>
  <c r="G187" i="7"/>
  <c r="G199" i="7"/>
  <c r="G192" i="7"/>
  <c r="G204" i="7"/>
  <c r="G189" i="7"/>
  <c r="G201" i="7"/>
  <c r="G194" i="7"/>
  <c r="G206" i="7"/>
  <c r="G191" i="7"/>
  <c r="G203" i="7"/>
  <c r="G196" i="7"/>
  <c r="G198" i="7"/>
  <c r="G193" i="7"/>
  <c r="G205" i="7"/>
  <c r="Q178" i="16"/>
  <c r="Z81" i="16" s="1"/>
  <c r="K178" i="16"/>
  <c r="BJ124" i="9"/>
  <c r="BR433" i="9" s="1"/>
  <c r="R80" i="7"/>
  <c r="X24" i="7"/>
  <c r="X45" i="7" s="1"/>
  <c r="K71" i="8"/>
  <c r="R71" i="8" s="1"/>
  <c r="K66" i="8"/>
  <c r="R66" i="8" s="1"/>
  <c r="K70" i="8"/>
  <c r="R70" i="8" s="1"/>
  <c r="K69" i="8"/>
  <c r="R69" i="8" s="1"/>
  <c r="K65" i="8"/>
  <c r="R65" i="8" s="1"/>
  <c r="K76" i="8"/>
  <c r="R76" i="8" s="1"/>
  <c r="K63" i="8"/>
  <c r="R63" i="8" s="1"/>
  <c r="K68" i="8"/>
  <c r="R68" i="8" s="1"/>
  <c r="K64" i="8"/>
  <c r="R64" i="8" s="1"/>
  <c r="K73" i="8"/>
  <c r="R73" i="8" s="1"/>
  <c r="K60" i="8"/>
  <c r="R60" i="8" s="1"/>
  <c r="K75" i="8"/>
  <c r="R75" i="8" s="1"/>
  <c r="K72" i="8"/>
  <c r="R72" i="8" s="1"/>
  <c r="K74" i="8"/>
  <c r="R74" i="8" s="1"/>
  <c r="K77" i="8"/>
  <c r="R77" i="8" s="1"/>
  <c r="K67" i="8"/>
  <c r="R67" i="8" s="1"/>
  <c r="K62" i="8"/>
  <c r="R62" i="8" s="1"/>
  <c r="K61" i="8"/>
  <c r="R61" i="8" s="1"/>
  <c r="K78" i="8"/>
  <c r="R78" i="8" s="1"/>
  <c r="K59" i="8"/>
  <c r="R59" i="8" s="1"/>
  <c r="R56" i="8"/>
  <c r="S56" i="8" s="1"/>
  <c r="T56" i="8" s="1"/>
  <c r="AH137" i="9"/>
  <c r="Q95" i="9"/>
  <c r="AA95" i="9" s="1"/>
  <c r="AB95" i="9" s="1"/>
  <c r="BQ28" i="9" s="1"/>
  <c r="L158" i="9"/>
  <c r="L159" i="9"/>
  <c r="AJ126" i="9"/>
  <c r="BR265" i="9" s="1"/>
  <c r="R132" i="9"/>
  <c r="Q91" i="9"/>
  <c r="AA91" i="9" s="1"/>
  <c r="AB91" i="9" s="1"/>
  <c r="AF94" i="9"/>
  <c r="AJ108" i="9"/>
  <c r="BQ279" i="9" s="1"/>
  <c r="S165" i="9"/>
  <c r="Q141" i="9"/>
  <c r="AA141" i="9" s="1"/>
  <c r="AB141" i="9" s="1"/>
  <c r="BR42" i="9" s="1"/>
  <c r="Q107" i="9"/>
  <c r="AA107" i="9" s="1"/>
  <c r="AB107" i="9" s="1"/>
  <c r="BQ40" i="9" s="1"/>
  <c r="AI102" i="9"/>
  <c r="K171" i="9"/>
  <c r="AI123" i="9"/>
  <c r="BH64" i="9"/>
  <c r="BP369" i="9" s="1"/>
  <c r="BP131" i="9"/>
  <c r="AD104" i="9"/>
  <c r="AI100" i="9"/>
  <c r="G190" i="9"/>
  <c r="G189" i="9"/>
  <c r="G203" i="9"/>
  <c r="G187" i="9"/>
  <c r="G199" i="9"/>
  <c r="G193" i="9"/>
  <c r="G194" i="9"/>
  <c r="G197" i="9"/>
  <c r="G201" i="9"/>
  <c r="G198" i="9"/>
  <c r="G188" i="9"/>
  <c r="G192" i="9"/>
  <c r="G195" i="9"/>
  <c r="G200" i="9"/>
  <c r="G196" i="9"/>
  <c r="G205" i="9"/>
  <c r="G202" i="9"/>
  <c r="G206" i="9"/>
  <c r="G191" i="9"/>
  <c r="G204" i="9"/>
  <c r="AP208" i="9"/>
  <c r="T184" i="9"/>
  <c r="BC208" i="9"/>
  <c r="AR208" i="9"/>
  <c r="N193" i="9"/>
  <c r="N194" i="9"/>
  <c r="N202" i="9"/>
  <c r="N204" i="9"/>
  <c r="N192" i="9"/>
  <c r="N199" i="9"/>
  <c r="N188" i="9"/>
  <c r="N203" i="9"/>
  <c r="N196" i="9"/>
  <c r="N187" i="9"/>
  <c r="N190" i="9"/>
  <c r="N191" i="9"/>
  <c r="N200" i="9"/>
  <c r="N205" i="9"/>
  <c r="N189" i="9"/>
  <c r="N198" i="9"/>
  <c r="N195" i="9"/>
  <c r="N201" i="9"/>
  <c r="N206" i="9"/>
  <c r="N197" i="9"/>
  <c r="AD138" i="9"/>
  <c r="AJ139" i="9"/>
  <c r="BR278" i="9" s="1"/>
  <c r="BJ64" i="9"/>
  <c r="BP437" i="9" s="1"/>
  <c r="BP199" i="9"/>
  <c r="AH92" i="9"/>
  <c r="T171" i="9"/>
  <c r="T166" i="9"/>
  <c r="AI99" i="9"/>
  <c r="AE129" i="9"/>
  <c r="R173" i="16"/>
  <c r="Z110" i="16" s="1"/>
  <c r="L173" i="16"/>
  <c r="R180" i="16"/>
  <c r="Z117" i="16" s="1"/>
  <c r="L180" i="16"/>
  <c r="N161" i="7"/>
  <c r="Q206" i="8"/>
  <c r="AC105" i="8" s="1"/>
  <c r="Q192" i="8"/>
  <c r="AC91" i="8" s="1"/>
  <c r="AG91" i="8" s="1"/>
  <c r="AE91" i="8" s="1"/>
  <c r="P192" i="8"/>
  <c r="BG72" i="9"/>
  <c r="BP343" i="9" s="1"/>
  <c r="BP105" i="9"/>
  <c r="S174" i="16"/>
  <c r="Z145" i="16" s="1"/>
  <c r="M174" i="16"/>
  <c r="S167" i="16"/>
  <c r="Z138" i="16" s="1"/>
  <c r="M167" i="16"/>
  <c r="AB65" i="8"/>
  <c r="K129" i="8"/>
  <c r="R129" i="8" s="1"/>
  <c r="AA123" i="8" s="1"/>
  <c r="K128" i="8"/>
  <c r="R128" i="8" s="1"/>
  <c r="AA122" i="8" s="1"/>
  <c r="K125" i="8"/>
  <c r="R125" i="8" s="1"/>
  <c r="AA119" i="8" s="1"/>
  <c r="K124" i="8"/>
  <c r="R124" i="8" s="1"/>
  <c r="AA118" i="8" s="1"/>
  <c r="K141" i="8"/>
  <c r="R141" i="8" s="1"/>
  <c r="AA135" i="8" s="1"/>
  <c r="K140" i="8"/>
  <c r="R140" i="8" s="1"/>
  <c r="AA134" i="8" s="1"/>
  <c r="K139" i="8"/>
  <c r="R139" i="8" s="1"/>
  <c r="AA133" i="8" s="1"/>
  <c r="K138" i="8"/>
  <c r="R138" i="8" s="1"/>
  <c r="AA132" i="8" s="1"/>
  <c r="K126" i="8"/>
  <c r="R126" i="8" s="1"/>
  <c r="AA120" i="8" s="1"/>
  <c r="K137" i="8"/>
  <c r="R137" i="8" s="1"/>
  <c r="AA131" i="8" s="1"/>
  <c r="K133" i="8"/>
  <c r="R133" i="8" s="1"/>
  <c r="AA127" i="8" s="1"/>
  <c r="K136" i="8"/>
  <c r="R136" i="8" s="1"/>
  <c r="AA130" i="8" s="1"/>
  <c r="K127" i="8"/>
  <c r="R127" i="8" s="1"/>
  <c r="AA121" i="8" s="1"/>
  <c r="K134" i="8"/>
  <c r="R134" i="8" s="1"/>
  <c r="AA128" i="8" s="1"/>
  <c r="K135" i="8"/>
  <c r="R135" i="8" s="1"/>
  <c r="AA129" i="8" s="1"/>
  <c r="K123" i="8"/>
  <c r="R123" i="8" s="1"/>
  <c r="AA117" i="8" s="1"/>
  <c r="K132" i="8"/>
  <c r="R132" i="8" s="1"/>
  <c r="AA126" i="8" s="1"/>
  <c r="K131" i="8"/>
  <c r="R131" i="8" s="1"/>
  <c r="AA125" i="8" s="1"/>
  <c r="K142" i="8"/>
  <c r="R142" i="8" s="1"/>
  <c r="AA136" i="8" s="1"/>
  <c r="K130" i="8"/>
  <c r="R130" i="8" s="1"/>
  <c r="AA124" i="8" s="1"/>
  <c r="R120" i="8"/>
  <c r="S120" i="8" s="1"/>
  <c r="T120" i="8" s="1"/>
  <c r="N147" i="16"/>
  <c r="O147" i="16" s="1"/>
  <c r="Y48" i="16" s="1"/>
  <c r="I188" i="7"/>
  <c r="I205" i="7"/>
  <c r="I203" i="7"/>
  <c r="I201" i="7"/>
  <c r="I199" i="7"/>
  <c r="I193" i="7"/>
  <c r="I195" i="7"/>
  <c r="I187" i="7"/>
  <c r="I197" i="7"/>
  <c r="I189" i="7"/>
  <c r="I191" i="7"/>
  <c r="I206" i="7"/>
  <c r="I196" i="7"/>
  <c r="I204" i="7"/>
  <c r="I190" i="7"/>
  <c r="I198" i="7"/>
  <c r="I192" i="7"/>
  <c r="I200" i="7"/>
  <c r="I194" i="7"/>
  <c r="I202" i="7"/>
  <c r="O184" i="7"/>
  <c r="H205" i="7"/>
  <c r="H192" i="7"/>
  <c r="H194" i="7"/>
  <c r="H196" i="7"/>
  <c r="H187" i="7"/>
  <c r="H198" i="7"/>
  <c r="H189" i="7"/>
  <c r="H200" i="7"/>
  <c r="H191" i="7"/>
  <c r="H202" i="7"/>
  <c r="H193" i="7"/>
  <c r="H204" i="7"/>
  <c r="H195" i="7"/>
  <c r="H206" i="7"/>
  <c r="H197" i="7"/>
  <c r="H199" i="7"/>
  <c r="H201" i="7"/>
  <c r="H188" i="7"/>
  <c r="H203" i="7"/>
  <c r="H190" i="7"/>
  <c r="J196" i="7"/>
  <c r="J188" i="7"/>
  <c r="J206" i="7"/>
  <c r="J200" i="7"/>
  <c r="J198" i="7"/>
  <c r="J190" i="7"/>
  <c r="J204" i="7"/>
  <c r="J192" i="7"/>
  <c r="J202" i="7"/>
  <c r="J194" i="7"/>
  <c r="J187" i="7"/>
  <c r="J199" i="7"/>
  <c r="J189" i="7"/>
  <c r="J201" i="7"/>
  <c r="J191" i="7"/>
  <c r="J203" i="7"/>
  <c r="J193" i="7"/>
  <c r="J205" i="7"/>
  <c r="J195" i="7"/>
  <c r="J197" i="7"/>
  <c r="Q174" i="16"/>
  <c r="Z77" i="16" s="1"/>
  <c r="K174" i="16"/>
  <c r="Q179" i="16"/>
  <c r="Z82" i="16" s="1"/>
  <c r="K179" i="16"/>
  <c r="BG65" i="9"/>
  <c r="BP336" i="9" s="1"/>
  <c r="BP98" i="9"/>
  <c r="AJ137" i="9"/>
  <c r="BR276" i="9" s="1"/>
  <c r="T93" i="7"/>
  <c r="Y60" i="7" s="1"/>
  <c r="T105" i="7"/>
  <c r="Y72" i="7" s="1"/>
  <c r="T109" i="7"/>
  <c r="Y76" i="7" s="1"/>
  <c r="T102" i="7"/>
  <c r="Y69" i="7" s="1"/>
  <c r="T95" i="7"/>
  <c r="Y62" i="7" s="1"/>
  <c r="T107" i="7"/>
  <c r="Y74" i="7" s="1"/>
  <c r="T92" i="7"/>
  <c r="Y59" i="7" s="1"/>
  <c r="T104" i="7"/>
  <c r="Y71" i="7" s="1"/>
  <c r="T97" i="7"/>
  <c r="Y64" i="7" s="1"/>
  <c r="T94" i="7"/>
  <c r="Y61" i="7" s="1"/>
  <c r="T106" i="7"/>
  <c r="Y73" i="7" s="1"/>
  <c r="T99" i="7"/>
  <c r="Y66" i="7" s="1"/>
  <c r="T96" i="7"/>
  <c r="Y63" i="7" s="1"/>
  <c r="T108" i="7"/>
  <c r="Y75" i="7" s="1"/>
  <c r="T101" i="7"/>
  <c r="Y68" i="7" s="1"/>
  <c r="T98" i="7"/>
  <c r="Y65" i="7" s="1"/>
  <c r="T110" i="7"/>
  <c r="Y77" i="7" s="1"/>
  <c r="T91" i="7"/>
  <c r="T103" i="7"/>
  <c r="Y70" i="7" s="1"/>
  <c r="T100" i="7"/>
  <c r="Y67" i="7" s="1"/>
  <c r="BK78" i="9"/>
  <c r="BP485" i="9" s="1"/>
  <c r="BP247" i="9"/>
  <c r="AD95" i="9"/>
  <c r="L170" i="9"/>
  <c r="R170" i="9" s="1"/>
  <c r="L167" i="9"/>
  <c r="R167" i="9" s="1"/>
  <c r="AJ141" i="9"/>
  <c r="BR280" i="9" s="1"/>
  <c r="AI107" i="9"/>
  <c r="AJ102" i="9"/>
  <c r="BQ273" i="9" s="1"/>
  <c r="K155" i="9"/>
  <c r="K174" i="9"/>
  <c r="Q174" i="9" s="1"/>
  <c r="AH123" i="9"/>
  <c r="AF104" i="9"/>
  <c r="AH100" i="9"/>
  <c r="F190" i="9"/>
  <c r="F196" i="9"/>
  <c r="F188" i="9"/>
  <c r="F187" i="9"/>
  <c r="F191" i="9"/>
  <c r="F201" i="9"/>
  <c r="F194" i="9"/>
  <c r="F195" i="9"/>
  <c r="F198" i="9"/>
  <c r="F202" i="9"/>
  <c r="F205" i="9"/>
  <c r="F199" i="9"/>
  <c r="F206" i="9"/>
  <c r="F200" i="9"/>
  <c r="F197" i="9"/>
  <c r="F189" i="9"/>
  <c r="F203" i="9"/>
  <c r="F204" i="9"/>
  <c r="F193" i="9"/>
  <c r="F192" i="9"/>
  <c r="S184" i="9"/>
  <c r="BB208" i="9"/>
  <c r="BD208" i="9"/>
  <c r="AJ138" i="9"/>
  <c r="BR277" i="9" s="1"/>
  <c r="AJ92" i="9"/>
  <c r="BQ263" i="9" s="1"/>
  <c r="T158" i="9"/>
  <c r="T165" i="9"/>
  <c r="AG130" i="9"/>
  <c r="AJ99" i="9"/>
  <c r="BQ270" i="9" s="1"/>
  <c r="AG129" i="9"/>
  <c r="AJ133" i="9"/>
  <c r="BR272" i="9" s="1"/>
  <c r="AD80" i="9"/>
  <c r="BF59" i="9"/>
  <c r="BP58" i="9"/>
  <c r="R172" i="16"/>
  <c r="Z109" i="16" s="1"/>
  <c r="L172" i="16"/>
  <c r="R174" i="16"/>
  <c r="Z111" i="16" s="1"/>
  <c r="L174" i="16"/>
  <c r="N171" i="7"/>
  <c r="AB68" i="8"/>
  <c r="BI77" i="9"/>
  <c r="BP416" i="9" s="1"/>
  <c r="BP178" i="9"/>
  <c r="BK65" i="9"/>
  <c r="BP472" i="9" s="1"/>
  <c r="BP234" i="9"/>
  <c r="Q200" i="8"/>
  <c r="AC99" i="8" s="1"/>
  <c r="AA61" i="8"/>
  <c r="BG60" i="9"/>
  <c r="BP331" i="9" s="1"/>
  <c r="BP93" i="9"/>
  <c r="F209" i="16"/>
  <c r="F211" i="16"/>
  <c r="F194" i="16"/>
  <c r="F205" i="16"/>
  <c r="F200" i="16"/>
  <c r="F196" i="16"/>
  <c r="F202" i="16"/>
  <c r="F198" i="16"/>
  <c r="F204" i="16"/>
  <c r="F206" i="16"/>
  <c r="F212" i="16"/>
  <c r="F208" i="16"/>
  <c r="F195" i="16"/>
  <c r="F210" i="16"/>
  <c r="F197" i="16"/>
  <c r="F199" i="16"/>
  <c r="F201" i="16"/>
  <c r="F193" i="16"/>
  <c r="F207" i="16"/>
  <c r="F203" i="16"/>
  <c r="BI72" i="9"/>
  <c r="BP411" i="9" s="1"/>
  <c r="BP173" i="9"/>
  <c r="S180" i="16"/>
  <c r="Z151" i="16" s="1"/>
  <c r="M180" i="16"/>
  <c r="S168" i="16"/>
  <c r="Z139" i="16" s="1"/>
  <c r="M168" i="16"/>
  <c r="N144" i="16"/>
  <c r="O144" i="16" s="1"/>
  <c r="Y45" i="16" s="1"/>
  <c r="AA107" i="8"/>
  <c r="N132" i="16"/>
  <c r="O132" i="16" s="1"/>
  <c r="Y33" i="16" s="1"/>
  <c r="BK73" i="9"/>
  <c r="BP480" i="9" s="1"/>
  <c r="BP242" i="9"/>
  <c r="N136" i="16"/>
  <c r="O136" i="16" s="1"/>
  <c r="Y37" i="16" s="1"/>
  <c r="Q176" i="16"/>
  <c r="Z79" i="16" s="1"/>
  <c r="K176" i="16"/>
  <c r="Q167" i="16"/>
  <c r="Z70" i="16" s="1"/>
  <c r="K167" i="16"/>
  <c r="BI65" i="9"/>
  <c r="BP404" i="9" s="1"/>
  <c r="BP166" i="9"/>
  <c r="L174" i="9"/>
  <c r="R174" i="9" s="1"/>
  <c r="L155" i="9"/>
  <c r="BG78" i="9"/>
  <c r="BP349" i="9" s="1"/>
  <c r="BP111" i="9"/>
  <c r="BG69" i="9"/>
  <c r="BP340" i="9" s="1"/>
  <c r="BP102" i="9"/>
  <c r="BK69" i="9"/>
  <c r="BP476" i="9" s="1"/>
  <c r="BP238" i="9"/>
  <c r="AJ80" i="9"/>
  <c r="BP262" i="9"/>
  <c r="AG108" i="9"/>
  <c r="BJ141" i="9"/>
  <c r="BR450" i="9" s="1"/>
  <c r="BR212" i="9"/>
  <c r="K166" i="9"/>
  <c r="K162" i="9"/>
  <c r="BJ75" i="9"/>
  <c r="BP448" i="9" s="1"/>
  <c r="BP210" i="9"/>
  <c r="AU208" i="9"/>
  <c r="AX208" i="9"/>
  <c r="AF138" i="9"/>
  <c r="BJ62" i="9"/>
  <c r="BP435" i="9" s="1"/>
  <c r="BP197" i="9"/>
  <c r="T162" i="9"/>
  <c r="AJ130" i="9"/>
  <c r="BR269" i="9" s="1"/>
  <c r="AH133" i="9"/>
  <c r="Z76" i="8"/>
  <c r="R178" i="16"/>
  <c r="Z115" i="16" s="1"/>
  <c r="L178" i="16"/>
  <c r="R169" i="16"/>
  <c r="Z106" i="16" s="1"/>
  <c r="L169" i="16"/>
  <c r="M158" i="7"/>
  <c r="N135" i="16"/>
  <c r="O135" i="16" s="1"/>
  <c r="Y36" i="16" s="1"/>
  <c r="Q198" i="8"/>
  <c r="AC97" i="8" s="1"/>
  <c r="D205" i="16"/>
  <c r="D201" i="16"/>
  <c r="D207" i="16"/>
  <c r="D209" i="16"/>
  <c r="D211" i="16"/>
  <c r="D203" i="16"/>
  <c r="D198" i="16"/>
  <c r="D194" i="16"/>
  <c r="D200" i="16"/>
  <c r="D196" i="16"/>
  <c r="D202" i="16"/>
  <c r="D204" i="16"/>
  <c r="D210" i="16"/>
  <c r="D206" i="16"/>
  <c r="D193" i="16"/>
  <c r="D212" i="16"/>
  <c r="D208" i="16"/>
  <c r="D195" i="16"/>
  <c r="D197" i="16"/>
  <c r="D199" i="16"/>
  <c r="M190" i="16"/>
  <c r="R190" i="16"/>
  <c r="G211" i="16"/>
  <c r="G194" i="16"/>
  <c r="G196" i="16"/>
  <c r="G202" i="16"/>
  <c r="G198" i="16"/>
  <c r="G204" i="16"/>
  <c r="G206" i="16"/>
  <c r="G208" i="16"/>
  <c r="G200" i="16"/>
  <c r="G195" i="16"/>
  <c r="G210" i="16"/>
  <c r="G197" i="16"/>
  <c r="G193" i="16"/>
  <c r="G199" i="16"/>
  <c r="G201" i="16"/>
  <c r="G212" i="16"/>
  <c r="G207" i="16"/>
  <c r="G203" i="16"/>
  <c r="G209" i="16"/>
  <c r="G205" i="16"/>
  <c r="AA66" i="8"/>
  <c r="S166" i="16"/>
  <c r="Z137" i="16" s="1"/>
  <c r="M166" i="16"/>
  <c r="S179" i="16"/>
  <c r="Z150" i="16" s="1"/>
  <c r="M179" i="16"/>
  <c r="N145" i="16"/>
  <c r="O145" i="16" s="1"/>
  <c r="Y46" i="16" s="1"/>
  <c r="AA71" i="8"/>
  <c r="AA59" i="8"/>
  <c r="BK60" i="9"/>
  <c r="BP467" i="9" s="1"/>
  <c r="BP229" i="9"/>
  <c r="K206" i="7"/>
  <c r="K204" i="7"/>
  <c r="K202" i="7"/>
  <c r="K200" i="7"/>
  <c r="K196" i="7"/>
  <c r="K188" i="7"/>
  <c r="K198" i="7"/>
  <c r="K190" i="7"/>
  <c r="K192" i="7"/>
  <c r="K194" i="7"/>
  <c r="K195" i="7"/>
  <c r="K197" i="7"/>
  <c r="K187" i="7"/>
  <c r="K199" i="7"/>
  <c r="K189" i="7"/>
  <c r="K201" i="7"/>
  <c r="K191" i="7"/>
  <c r="K203" i="7"/>
  <c r="K193" i="7"/>
  <c r="K205" i="7"/>
  <c r="Q168" i="16"/>
  <c r="Z71" i="16" s="1"/>
  <c r="K168" i="16"/>
  <c r="Q169" i="16"/>
  <c r="Z72" i="16" s="1"/>
  <c r="K169" i="16"/>
  <c r="AH80" i="9"/>
  <c r="AG137" i="9"/>
  <c r="BI106" i="9"/>
  <c r="BQ413" i="9" s="1"/>
  <c r="BQ175" i="9"/>
  <c r="L161" i="9"/>
  <c r="BI78" i="9"/>
  <c r="BP417" i="9" s="1"/>
  <c r="BP179" i="9"/>
  <c r="AI108" i="9"/>
  <c r="K160" i="9"/>
  <c r="K167" i="9"/>
  <c r="Q167" i="9" s="1"/>
  <c r="AG104" i="9"/>
  <c r="AG100" i="9"/>
  <c r="AN208" i="9"/>
  <c r="AV208" i="9"/>
  <c r="BF75" i="9"/>
  <c r="BP312" i="9" s="1"/>
  <c r="BP74" i="9"/>
  <c r="BK92" i="9"/>
  <c r="BQ467" i="9" s="1"/>
  <c r="BQ229" i="9"/>
  <c r="T174" i="9"/>
  <c r="BG64" i="9"/>
  <c r="BP335" i="9" s="1"/>
  <c r="BP97" i="9"/>
  <c r="AE99" i="9"/>
  <c r="AI133" i="9"/>
  <c r="T80" i="7"/>
  <c r="X58" i="7"/>
  <c r="X79" i="7" s="1"/>
  <c r="AI80" i="9"/>
  <c r="BK59" i="9"/>
  <c r="BP228" i="9"/>
  <c r="BJ65" i="9"/>
  <c r="BP438" i="9" s="1"/>
  <c r="BP200" i="9"/>
  <c r="R162" i="16"/>
  <c r="Z99" i="16" s="1"/>
  <c r="L162" i="16"/>
  <c r="R175" i="16"/>
  <c r="Z112" i="16" s="1"/>
  <c r="L175" i="16"/>
  <c r="Q188" i="8"/>
  <c r="AC87" i="8" s="1"/>
  <c r="AG87" i="8" s="1"/>
  <c r="AE87" i="8" s="1"/>
  <c r="Q191" i="16"/>
  <c r="BG77" i="9"/>
  <c r="BP348" i="9" s="1"/>
  <c r="BP110" i="9"/>
  <c r="S177" i="16"/>
  <c r="Z148" i="16" s="1"/>
  <c r="M177" i="16"/>
  <c r="S171" i="16"/>
  <c r="Z142" i="16" s="1"/>
  <c r="M171" i="16"/>
  <c r="AB62" i="8"/>
  <c r="BI66" i="9"/>
  <c r="BP405" i="9" s="1"/>
  <c r="BP167" i="9"/>
  <c r="N134" i="16"/>
  <c r="O134" i="16" s="1"/>
  <c r="Y35" i="16" s="1"/>
  <c r="BK67" i="9"/>
  <c r="BP474" i="9" s="1"/>
  <c r="BP236" i="9"/>
  <c r="Q171" i="16"/>
  <c r="Z74" i="16" s="1"/>
  <c r="K171" i="16"/>
  <c r="Q164" i="16"/>
  <c r="Z67" i="16" s="1"/>
  <c r="K164" i="16"/>
  <c r="BP432" i="9"/>
  <c r="L166" i="9"/>
  <c r="R166" i="9" s="1"/>
  <c r="BJ69" i="9"/>
  <c r="BP442" i="9" s="1"/>
  <c r="BP204" i="9"/>
  <c r="S171" i="9"/>
  <c r="K168" i="9"/>
  <c r="K163" i="9"/>
  <c r="AE163" i="9" s="1"/>
  <c r="AF100" i="9"/>
  <c r="AZ208" i="9"/>
  <c r="T161" i="9"/>
  <c r="BJ67" i="9"/>
  <c r="BP440" i="9" s="1"/>
  <c r="BP202" i="9"/>
  <c r="AE80" i="9"/>
  <c r="BG59" i="9"/>
  <c r="BP92" i="9"/>
  <c r="BH65" i="9"/>
  <c r="BP370" i="9" s="1"/>
  <c r="BP132" i="9"/>
  <c r="AE153" i="9"/>
  <c r="BG153" i="9" s="1"/>
  <c r="R170" i="16"/>
  <c r="Z107" i="16" s="1"/>
  <c r="L170" i="16"/>
  <c r="N133" i="16"/>
  <c r="O133" i="16" s="1"/>
  <c r="Y34" i="16" s="1"/>
  <c r="M162" i="7"/>
  <c r="N159" i="16"/>
  <c r="O159" i="16" s="1"/>
  <c r="N139" i="16"/>
  <c r="O139" i="16" s="1"/>
  <c r="Y40" i="16" s="1"/>
  <c r="Q199" i="8"/>
  <c r="AC98" i="8" s="1"/>
  <c r="Q187" i="8"/>
  <c r="AC86" i="8" s="1"/>
  <c r="H211" i="16"/>
  <c r="H194" i="16"/>
  <c r="H196" i="16"/>
  <c r="H207" i="16"/>
  <c r="H202" i="16"/>
  <c r="H198" i="16"/>
  <c r="H204" i="16"/>
  <c r="H200" i="16"/>
  <c r="H206" i="16"/>
  <c r="H208" i="16"/>
  <c r="H210" i="16"/>
  <c r="H197" i="16"/>
  <c r="H193" i="16"/>
  <c r="H212" i="16"/>
  <c r="H199" i="16"/>
  <c r="H201" i="16"/>
  <c r="H203" i="16"/>
  <c r="H195" i="16"/>
  <c r="H209" i="16"/>
  <c r="H205" i="16"/>
  <c r="N143" i="16"/>
  <c r="O143" i="16" s="1"/>
  <c r="Y44" i="16" s="1"/>
  <c r="S172" i="16"/>
  <c r="Z143" i="16" s="1"/>
  <c r="M172" i="16"/>
  <c r="AA73" i="9"/>
  <c r="AB73" i="9" s="1"/>
  <c r="BP38" i="9" s="1"/>
  <c r="AA65" i="8"/>
  <c r="Q175" i="16"/>
  <c r="Z78" i="16" s="1"/>
  <c r="K175" i="16"/>
  <c r="Q173" i="16"/>
  <c r="Z76" i="16" s="1"/>
  <c r="K173" i="16"/>
  <c r="AK24" i="18"/>
  <c r="P37" i="7"/>
  <c r="Q37" i="7" s="1"/>
  <c r="R37" i="7" s="1"/>
  <c r="W34" i="7" s="1"/>
  <c r="AK25" i="18"/>
  <c r="AM25" i="18" s="1"/>
  <c r="T34" i="7"/>
  <c r="W65" i="7" s="1"/>
  <c r="T28" i="7"/>
  <c r="W59" i="7" s="1"/>
  <c r="T32" i="7"/>
  <c r="W63" i="7" s="1"/>
  <c r="T31" i="7"/>
  <c r="W62" i="7" s="1"/>
  <c r="T27" i="7"/>
  <c r="W58" i="7" s="1"/>
  <c r="T33" i="7"/>
  <c r="W64" i="7" s="1"/>
  <c r="T29" i="7"/>
  <c r="W60" i="7" s="1"/>
  <c r="T35" i="7"/>
  <c r="W66" i="7" s="1"/>
  <c r="T36" i="7"/>
  <c r="W67" i="7" s="1"/>
  <c r="T37" i="7"/>
  <c r="W68" i="7" s="1"/>
  <c r="T38" i="7"/>
  <c r="W69" i="7" s="1"/>
  <c r="T30" i="7"/>
  <c r="W61" i="7" s="1"/>
  <c r="K29" i="8"/>
  <c r="R29" i="8" s="1"/>
  <c r="K28" i="8"/>
  <c r="R28" i="8" s="1"/>
  <c r="K27" i="8"/>
  <c r="R27" i="8" s="1"/>
  <c r="K33" i="8"/>
  <c r="R33" i="8" s="1"/>
  <c r="X123" i="8" s="1"/>
  <c r="R24" i="8"/>
  <c r="S24" i="8" s="1"/>
  <c r="T24" i="8" s="1"/>
  <c r="K32" i="8"/>
  <c r="R32" i="8" s="1"/>
  <c r="K30" i="8"/>
  <c r="R30" i="8" s="1"/>
  <c r="K31" i="8"/>
  <c r="R31" i="8" s="1"/>
  <c r="N43" i="19"/>
  <c r="AE40" i="19" s="1"/>
  <c r="N31" i="19"/>
  <c r="AE28" i="19" s="1"/>
  <c r="AL28" i="19" s="1"/>
  <c r="AN28" i="19" s="1"/>
  <c r="AD36" i="10" s="1"/>
  <c r="AL29" i="19"/>
  <c r="AB30" i="19"/>
  <c r="AE57" i="19" s="1"/>
  <c r="AB31" i="19"/>
  <c r="AE58" i="19" s="1"/>
  <c r="AB39" i="19"/>
  <c r="AE66" i="19" s="1"/>
  <c r="AL31" i="19"/>
  <c r="R33" i="18"/>
  <c r="S33" i="18" s="1"/>
  <c r="T33" i="18" s="1"/>
  <c r="AF30" i="18" s="1"/>
  <c r="M38" i="7"/>
  <c r="N35" i="19"/>
  <c r="AE32" i="19" s="1"/>
  <c r="AL32" i="19" s="1"/>
  <c r="D40" i="10" s="1"/>
  <c r="N29" i="19"/>
  <c r="AE26" i="19" s="1"/>
  <c r="M50" i="19"/>
  <c r="AB29" i="19"/>
  <c r="AE56" i="19" s="1"/>
  <c r="AB32" i="19"/>
  <c r="AE59" i="19" s="1"/>
  <c r="N30" i="19"/>
  <c r="AE27" i="19" s="1"/>
  <c r="AL27" i="19" s="1"/>
  <c r="R130" i="18"/>
  <c r="S130" i="18" s="1"/>
  <c r="T130" i="18" s="1"/>
  <c r="AI28" i="18" s="1"/>
  <c r="AB40" i="19"/>
  <c r="AE67" i="19" s="1"/>
  <c r="AL34" i="19" s="1"/>
  <c r="D42" i="10" s="1"/>
  <c r="AA41" i="19"/>
  <c r="M65" i="18"/>
  <c r="M34" i="18"/>
  <c r="AK26" i="18"/>
  <c r="N38" i="7"/>
  <c r="L46" i="9"/>
  <c r="R46" i="9" s="1"/>
  <c r="M97" i="18"/>
  <c r="M131" i="18"/>
  <c r="K46" i="9"/>
  <c r="N65" i="18"/>
  <c r="N97" i="18"/>
  <c r="R96" i="18"/>
  <c r="S96" i="18" s="1"/>
  <c r="T96" i="18" s="1"/>
  <c r="AH27" i="18" s="1"/>
  <c r="AK27" i="18" s="1"/>
  <c r="AM27" i="18" s="1"/>
  <c r="E39" i="7"/>
  <c r="B40" i="7"/>
  <c r="I39" i="7"/>
  <c r="D39" i="7"/>
  <c r="H39" i="7"/>
  <c r="L39" i="7"/>
  <c r="K39" i="7"/>
  <c r="J39" i="7"/>
  <c r="C39" i="7"/>
  <c r="F39" i="7"/>
  <c r="G39" i="7"/>
  <c r="O39" i="7"/>
  <c r="T39" i="7"/>
  <c r="W70" i="7" s="1"/>
  <c r="V51" i="16"/>
  <c r="H98" i="18"/>
  <c r="B99" i="18"/>
  <c r="O98" i="18"/>
  <c r="L98" i="18"/>
  <c r="P98" i="18"/>
  <c r="C98" i="18"/>
  <c r="Q98" i="18"/>
  <c r="G98" i="18"/>
  <c r="D98" i="18"/>
  <c r="K98" i="18"/>
  <c r="N34" i="18"/>
  <c r="V22" i="4"/>
  <c r="Z22" i="4" s="1"/>
  <c r="AD22" i="4" s="1"/>
  <c r="Z21" i="4"/>
  <c r="AD21" i="4" s="1"/>
  <c r="AY28" i="10"/>
  <c r="K132" i="18"/>
  <c r="H132" i="18"/>
  <c r="L132" i="18"/>
  <c r="C132" i="18"/>
  <c r="B133" i="18"/>
  <c r="D132" i="18"/>
  <c r="G132" i="18"/>
  <c r="F132" i="18"/>
  <c r="O132" i="18"/>
  <c r="E132" i="18"/>
  <c r="P132" i="18"/>
  <c r="I132" i="18"/>
  <c r="J132" i="18"/>
  <c r="Q132" i="18"/>
  <c r="K66" i="18"/>
  <c r="C66" i="18"/>
  <c r="G66" i="18"/>
  <c r="B67" i="18"/>
  <c r="D66" i="18"/>
  <c r="H66" i="18"/>
  <c r="O66" i="18"/>
  <c r="P66" i="18"/>
  <c r="L66" i="18"/>
  <c r="Q66" i="18"/>
  <c r="R64" i="18"/>
  <c r="S64" i="18" s="1"/>
  <c r="T64" i="18" s="1"/>
  <c r="O54" i="16"/>
  <c r="D35" i="18"/>
  <c r="K35" i="18"/>
  <c r="P35" i="18"/>
  <c r="H35" i="18"/>
  <c r="B36" i="18"/>
  <c r="O35" i="18"/>
  <c r="C35" i="18"/>
  <c r="G35" i="18"/>
  <c r="L35" i="18"/>
  <c r="Q35" i="18"/>
  <c r="N131" i="18"/>
  <c r="Q34" i="8"/>
  <c r="X93" i="8" s="1"/>
  <c r="B36" i="8"/>
  <c r="C35" i="8"/>
  <c r="D35" i="8"/>
  <c r="O35" i="8"/>
  <c r="F35" i="8"/>
  <c r="I35" i="8"/>
  <c r="E35" i="8"/>
  <c r="N35" i="8"/>
  <c r="J35" i="8"/>
  <c r="M35" i="8"/>
  <c r="L35" i="8"/>
  <c r="K35" i="8"/>
  <c r="V31" i="4"/>
  <c r="AE30" i="4"/>
  <c r="X40" i="10" s="1"/>
  <c r="AD20" i="4"/>
  <c r="X28" i="10"/>
  <c r="V153" i="16"/>
  <c r="N191" i="16" l="1"/>
  <c r="O191" i="16" s="1"/>
  <c r="BR197" i="9"/>
  <c r="BR99" i="9"/>
  <c r="BR59" i="9"/>
  <c r="BR172" i="9"/>
  <c r="BQ70" i="9"/>
  <c r="BR229" i="9"/>
  <c r="P199" i="8"/>
  <c r="BQ93" i="9"/>
  <c r="BR245" i="9"/>
  <c r="BQ204" i="9"/>
  <c r="BR138" i="9"/>
  <c r="BR58" i="9"/>
  <c r="BR231" i="9"/>
  <c r="BQ202" i="9"/>
  <c r="BQ205" i="9"/>
  <c r="BQ108" i="9"/>
  <c r="BQ109" i="9"/>
  <c r="BQ242" i="9"/>
  <c r="BH140" i="9"/>
  <c r="BR381" i="9" s="1"/>
  <c r="BQ162" i="9"/>
  <c r="BQ232" i="9"/>
  <c r="BR209" i="9"/>
  <c r="AA130" i="9"/>
  <c r="AB130" i="9" s="1"/>
  <c r="BR31" i="9" s="1"/>
  <c r="BQ142" i="9"/>
  <c r="BQ172" i="9"/>
  <c r="P187" i="8"/>
  <c r="AC55" i="8" s="1"/>
  <c r="AG55" i="8" s="1"/>
  <c r="AE55" i="8" s="1"/>
  <c r="BQ243" i="9"/>
  <c r="AA135" i="9"/>
  <c r="AB135" i="9" s="1"/>
  <c r="BR36" i="9" s="1"/>
  <c r="BH93" i="9"/>
  <c r="BQ366" i="9" s="1"/>
  <c r="BI94" i="9"/>
  <c r="BQ401" i="9" s="1"/>
  <c r="P194" i="8"/>
  <c r="BQ136" i="9"/>
  <c r="P196" i="8"/>
  <c r="AC64" i="8" s="1"/>
  <c r="BG126" i="9"/>
  <c r="BR333" i="9" s="1"/>
  <c r="P174" i="7"/>
  <c r="Q174" i="7" s="1"/>
  <c r="R174" i="7" s="1"/>
  <c r="AA43" i="7" s="1"/>
  <c r="BQ134" i="9"/>
  <c r="BI125" i="9"/>
  <c r="BR400" i="9" s="1"/>
  <c r="BQ96" i="9"/>
  <c r="P206" i="8"/>
  <c r="AC74" i="8" s="1"/>
  <c r="T162" i="7"/>
  <c r="AA65" i="7" s="1"/>
  <c r="T171" i="7"/>
  <c r="AA74" i="7" s="1"/>
  <c r="T163" i="7"/>
  <c r="AA66" i="7" s="1"/>
  <c r="T159" i="7"/>
  <c r="AA62" i="7" s="1"/>
  <c r="T172" i="7"/>
  <c r="AA75" i="7" s="1"/>
  <c r="T168" i="7"/>
  <c r="AA71" i="7" s="1"/>
  <c r="T160" i="7"/>
  <c r="AA63" i="7" s="1"/>
  <c r="P189" i="8"/>
  <c r="T156" i="7"/>
  <c r="AA59" i="7" s="1"/>
  <c r="T173" i="7"/>
  <c r="AA76" i="7" s="1"/>
  <c r="T169" i="7"/>
  <c r="AA72" i="7" s="1"/>
  <c r="T161" i="7"/>
  <c r="AA64" i="7" s="1"/>
  <c r="T157" i="7"/>
  <c r="AA60" i="7" s="1"/>
  <c r="T170" i="7"/>
  <c r="AA73" i="7" s="1"/>
  <c r="T166" i="7"/>
  <c r="AA69" i="7" s="1"/>
  <c r="T158" i="7"/>
  <c r="AA61" i="7" s="1"/>
  <c r="T167" i="7"/>
  <c r="AA70" i="7" s="1"/>
  <c r="T155" i="7"/>
  <c r="AA58" i="7" s="1"/>
  <c r="T164" i="7"/>
  <c r="AA67" i="7" s="1"/>
  <c r="AD161" i="9"/>
  <c r="BS64" i="9" s="1"/>
  <c r="AA138" i="9"/>
  <c r="AB138" i="9" s="1"/>
  <c r="BR39" i="9" s="1"/>
  <c r="P203" i="8"/>
  <c r="P204" i="8"/>
  <c r="AC72" i="8" s="1"/>
  <c r="BK103" i="9"/>
  <c r="BQ478" i="9" s="1"/>
  <c r="BQ174" i="9"/>
  <c r="P157" i="7"/>
  <c r="Q157" i="7" s="1"/>
  <c r="R157" i="7" s="1"/>
  <c r="AA26" i="7" s="1"/>
  <c r="BQ230" i="9"/>
  <c r="BR177" i="9"/>
  <c r="N167" i="16"/>
  <c r="O167" i="16" s="1"/>
  <c r="Z36" i="16" s="1"/>
  <c r="N164" i="16"/>
  <c r="O164" i="16" s="1"/>
  <c r="Z33" i="16" s="1"/>
  <c r="N175" i="16"/>
  <c r="O175" i="16" s="1"/>
  <c r="Z44" i="16" s="1"/>
  <c r="N176" i="16"/>
  <c r="O176" i="16" s="1"/>
  <c r="Z45" i="16" s="1"/>
  <c r="P34" i="8"/>
  <c r="X62" i="8" s="1"/>
  <c r="BQ76" i="9"/>
  <c r="BR199" i="9"/>
  <c r="BR126" i="9"/>
  <c r="BI107" i="9"/>
  <c r="BQ414" i="9" s="1"/>
  <c r="BQ206" i="9"/>
  <c r="BQ64" i="9"/>
  <c r="BR107" i="9"/>
  <c r="BR196" i="9"/>
  <c r="BQ60" i="9"/>
  <c r="N168" i="16"/>
  <c r="O168" i="16" s="1"/>
  <c r="Z37" i="16" s="1"/>
  <c r="N173" i="16"/>
  <c r="O173" i="16" s="1"/>
  <c r="Z42" i="16" s="1"/>
  <c r="N169" i="16"/>
  <c r="O169" i="16" s="1"/>
  <c r="Z38" i="16" s="1"/>
  <c r="H35" i="8"/>
  <c r="G35" i="8"/>
  <c r="S125" i="8"/>
  <c r="T125" i="8" s="1"/>
  <c r="AA26" i="8" s="1"/>
  <c r="BJ139" i="9"/>
  <c r="BR448" i="9" s="1"/>
  <c r="AF158" i="9"/>
  <c r="BS129" i="9" s="1"/>
  <c r="BR111" i="9"/>
  <c r="BR93" i="9"/>
  <c r="BR169" i="9"/>
  <c r="AG93" i="8"/>
  <c r="AE93" i="8" s="1"/>
  <c r="BQ74" i="9"/>
  <c r="AG168" i="9"/>
  <c r="BI168" i="9" s="1"/>
  <c r="BS411" i="9" s="1"/>
  <c r="P161" i="7"/>
  <c r="Q161" i="7" s="1"/>
  <c r="R161" i="7" s="1"/>
  <c r="AA30" i="7" s="1"/>
  <c r="BQ167" i="9"/>
  <c r="BQ210" i="9"/>
  <c r="AF185" i="9"/>
  <c r="BH185" i="9" s="1"/>
  <c r="BR237" i="9"/>
  <c r="P166" i="7"/>
  <c r="Q166" i="7" s="1"/>
  <c r="R166" i="7" s="1"/>
  <c r="AA35" i="7" s="1"/>
  <c r="BQ94" i="9"/>
  <c r="BR104" i="9"/>
  <c r="P170" i="7"/>
  <c r="Q170" i="7" s="1"/>
  <c r="R170" i="7" s="1"/>
  <c r="AA39" i="7" s="1"/>
  <c r="BQ73" i="9"/>
  <c r="BQ179" i="9"/>
  <c r="BR94" i="9"/>
  <c r="T185" i="7"/>
  <c r="P156" i="7"/>
  <c r="Q156" i="7" s="1"/>
  <c r="R156" i="7" s="1"/>
  <c r="AA25" i="7" s="1"/>
  <c r="BR213" i="9"/>
  <c r="BG110" i="9"/>
  <c r="BQ349" i="9" s="1"/>
  <c r="AF169" i="9"/>
  <c r="BH169" i="9" s="1"/>
  <c r="BS378" i="9" s="1"/>
  <c r="BR76" i="9"/>
  <c r="AD185" i="9"/>
  <c r="BF185" i="9" s="1"/>
  <c r="BQ61" i="9"/>
  <c r="BR163" i="9"/>
  <c r="BR145" i="9"/>
  <c r="AE185" i="9"/>
  <c r="BG185" i="9" s="1"/>
  <c r="Q185" i="9"/>
  <c r="AA185" i="9" s="1"/>
  <c r="AB185" i="9" s="1"/>
  <c r="AI185" i="9"/>
  <c r="BK185" i="9" s="1"/>
  <c r="AG185" i="9"/>
  <c r="BI185" i="9" s="1"/>
  <c r="BQ65" i="9"/>
  <c r="BQ238" i="9"/>
  <c r="BR234" i="9"/>
  <c r="P184" i="7"/>
  <c r="Q184" i="7" s="1"/>
  <c r="R184" i="7" s="1"/>
  <c r="AA132" i="9"/>
  <c r="AB132" i="9" s="1"/>
  <c r="BR33" i="9" s="1"/>
  <c r="AF165" i="9"/>
  <c r="BH165" i="9" s="1"/>
  <c r="BS374" i="9" s="1"/>
  <c r="S205" i="9"/>
  <c r="AI184" i="9"/>
  <c r="BK184" i="9" s="1"/>
  <c r="BG140" i="9"/>
  <c r="BR347" i="9" s="1"/>
  <c r="AG184" i="9"/>
  <c r="BI184" i="9" s="1"/>
  <c r="BQ59" i="9"/>
  <c r="AH172" i="9"/>
  <c r="BJ172" i="9" s="1"/>
  <c r="BS449" i="9" s="1"/>
  <c r="AH184" i="9"/>
  <c r="BJ184" i="9" s="1"/>
  <c r="AD164" i="9"/>
  <c r="BF164" i="9" s="1"/>
  <c r="BS305" i="9" s="1"/>
  <c r="AH185" i="9"/>
  <c r="BJ185" i="9" s="1"/>
  <c r="T184" i="7"/>
  <c r="BK142" i="9"/>
  <c r="BR485" i="9" s="1"/>
  <c r="BG98" i="9"/>
  <c r="BQ337" i="9" s="1"/>
  <c r="P158" i="7"/>
  <c r="Q158" i="7" s="1"/>
  <c r="R158" i="7" s="1"/>
  <c r="AA27" i="7" s="1"/>
  <c r="S133" i="8"/>
  <c r="T133" i="8" s="1"/>
  <c r="AA34" i="8" s="1"/>
  <c r="BR211" i="9"/>
  <c r="P159" i="7"/>
  <c r="Q159" i="7" s="1"/>
  <c r="R159" i="7" s="1"/>
  <c r="AA28" i="7" s="1"/>
  <c r="P168" i="7"/>
  <c r="Q168" i="7" s="1"/>
  <c r="R168" i="7" s="1"/>
  <c r="AA37" i="7" s="1"/>
  <c r="P164" i="7"/>
  <c r="Q164" i="7" s="1"/>
  <c r="R164" i="7" s="1"/>
  <c r="AA33" i="7" s="1"/>
  <c r="AJ157" i="9"/>
  <c r="BS264" i="9" s="1"/>
  <c r="BK94" i="9"/>
  <c r="BQ469" i="9" s="1"/>
  <c r="BQ140" i="9"/>
  <c r="BQ104" i="9"/>
  <c r="BQ196" i="9"/>
  <c r="BR140" i="9"/>
  <c r="BR242" i="9"/>
  <c r="BQ208" i="9"/>
  <c r="BQ141" i="9"/>
  <c r="BQ69" i="9"/>
  <c r="BR240" i="9"/>
  <c r="P163" i="7"/>
  <c r="Q163" i="7" s="1"/>
  <c r="R163" i="7" s="1"/>
  <c r="AA32" i="7" s="1"/>
  <c r="Z79" i="7"/>
  <c r="T144" i="7"/>
  <c r="P160" i="7"/>
  <c r="Q160" i="7" s="1"/>
  <c r="R160" i="7" s="1"/>
  <c r="AA29" i="7" s="1"/>
  <c r="P155" i="7"/>
  <c r="Q155" i="7" s="1"/>
  <c r="R155" i="7" s="1"/>
  <c r="AA24" i="7" s="1"/>
  <c r="S139" i="8"/>
  <c r="T139" i="8" s="1"/>
  <c r="AA40" i="8" s="1"/>
  <c r="BQ170" i="9"/>
  <c r="AJ185" i="9"/>
  <c r="P167" i="7"/>
  <c r="Q167" i="7" s="1"/>
  <c r="R167" i="7" s="1"/>
  <c r="AA36" i="7" s="1"/>
  <c r="BQ201" i="9"/>
  <c r="AA126" i="9"/>
  <c r="AB126" i="9" s="1"/>
  <c r="BR27" i="9" s="1"/>
  <c r="P169" i="7"/>
  <c r="Q169" i="7" s="1"/>
  <c r="R169" i="7" s="1"/>
  <c r="AA38" i="7" s="1"/>
  <c r="BQ132" i="9"/>
  <c r="BQ67" i="9"/>
  <c r="BQ213" i="9"/>
  <c r="BQ209" i="9"/>
  <c r="BQ103" i="9"/>
  <c r="P162" i="7"/>
  <c r="Q162" i="7" s="1"/>
  <c r="R162" i="7" s="1"/>
  <c r="AA31" i="7" s="1"/>
  <c r="BR75" i="9"/>
  <c r="BQ166" i="9"/>
  <c r="P165" i="7"/>
  <c r="Q165" i="7" s="1"/>
  <c r="R165" i="7" s="1"/>
  <c r="AA34" i="7" s="1"/>
  <c r="S127" i="8"/>
  <c r="T127" i="8" s="1"/>
  <c r="AA28" i="8" s="1"/>
  <c r="AD112" i="9"/>
  <c r="BQ138" i="9"/>
  <c r="BQ127" i="9"/>
  <c r="S195" i="9"/>
  <c r="BQ106" i="9"/>
  <c r="S128" i="8"/>
  <c r="T128" i="8" s="1"/>
  <c r="AA29" i="8" s="1"/>
  <c r="BP113" i="9"/>
  <c r="AG155" i="9"/>
  <c r="BI155" i="9" s="1"/>
  <c r="BR136" i="9"/>
  <c r="BQ212" i="9"/>
  <c r="AF162" i="9"/>
  <c r="BS133" i="9" s="1"/>
  <c r="P173" i="7"/>
  <c r="Q173" i="7" s="1"/>
  <c r="R173" i="7" s="1"/>
  <c r="AA42" i="7" s="1"/>
  <c r="BR127" i="9"/>
  <c r="AD160" i="9"/>
  <c r="BS63" i="9" s="1"/>
  <c r="BR110" i="9"/>
  <c r="S191" i="9"/>
  <c r="BQ110" i="9"/>
  <c r="S130" i="8"/>
  <c r="T130" i="8" s="1"/>
  <c r="AA31" i="8" s="1"/>
  <c r="BR161" i="9"/>
  <c r="AA102" i="9"/>
  <c r="AB102" i="9" s="1"/>
  <c r="BQ35" i="9" s="1"/>
  <c r="AF144" i="9"/>
  <c r="BR206" i="9"/>
  <c r="AJ171" i="9"/>
  <c r="BS278" i="9" s="1"/>
  <c r="S141" i="8"/>
  <c r="T141" i="8" s="1"/>
  <c r="AA42" i="8" s="1"/>
  <c r="BR179" i="9"/>
  <c r="AD171" i="9"/>
  <c r="BF171" i="9" s="1"/>
  <c r="BS312" i="9" s="1"/>
  <c r="AH171" i="9"/>
  <c r="BS210" i="9" s="1"/>
  <c r="S197" i="9"/>
  <c r="Q172" i="9"/>
  <c r="AA172" i="9" s="1"/>
  <c r="AB172" i="9" s="1"/>
  <c r="BS41" i="9" s="1"/>
  <c r="P185" i="7"/>
  <c r="Q185" i="7" s="1"/>
  <c r="R185" i="7" s="1"/>
  <c r="Q160" i="9"/>
  <c r="AA160" i="9" s="1"/>
  <c r="AB160" i="9" s="1"/>
  <c r="BS29" i="9" s="1"/>
  <c r="AI172" i="9"/>
  <c r="BK172" i="9" s="1"/>
  <c r="BS483" i="9" s="1"/>
  <c r="AJ160" i="9"/>
  <c r="BS267" i="9" s="1"/>
  <c r="AF159" i="9"/>
  <c r="BH159" i="9" s="1"/>
  <c r="BS368" i="9" s="1"/>
  <c r="S134" i="8"/>
  <c r="T134" i="8" s="1"/>
  <c r="AA35" i="8" s="1"/>
  <c r="S189" i="9"/>
  <c r="P172" i="7"/>
  <c r="Q172" i="7" s="1"/>
  <c r="R172" i="7" s="1"/>
  <c r="AA41" i="7" s="1"/>
  <c r="R169" i="9"/>
  <c r="S188" i="9"/>
  <c r="AF168" i="9"/>
  <c r="BH168" i="9" s="1"/>
  <c r="BS377" i="9" s="1"/>
  <c r="AJ144" i="9"/>
  <c r="BP215" i="9"/>
  <c r="AH166" i="9"/>
  <c r="BJ166" i="9" s="1"/>
  <c r="BS443" i="9" s="1"/>
  <c r="AI155" i="9"/>
  <c r="BK155" i="9" s="1"/>
  <c r="AI156" i="9"/>
  <c r="BK156" i="9" s="1"/>
  <c r="BS467" i="9" s="1"/>
  <c r="AE156" i="9"/>
  <c r="BG156" i="9" s="1"/>
  <c r="BS331" i="9" s="1"/>
  <c r="AG157" i="9"/>
  <c r="BI157" i="9" s="1"/>
  <c r="BS400" i="9" s="1"/>
  <c r="AG167" i="9"/>
  <c r="BI167" i="9" s="1"/>
  <c r="BS410" i="9" s="1"/>
  <c r="AE155" i="9"/>
  <c r="BG155" i="9" s="1"/>
  <c r="S123" i="8"/>
  <c r="T123" i="8" s="1"/>
  <c r="AA24" i="8" s="1"/>
  <c r="S193" i="9"/>
  <c r="S192" i="9"/>
  <c r="AG156" i="9"/>
  <c r="BI156" i="9" s="1"/>
  <c r="BS399" i="9" s="1"/>
  <c r="BR61" i="9"/>
  <c r="AI167" i="9"/>
  <c r="BK167" i="9" s="1"/>
  <c r="BS478" i="9" s="1"/>
  <c r="S129" i="8"/>
  <c r="T129" i="8" s="1"/>
  <c r="AA30" i="8" s="1"/>
  <c r="Q155" i="9"/>
  <c r="S204" i="9"/>
  <c r="S203" i="9"/>
  <c r="AJ46" i="9"/>
  <c r="AJ48" i="9" s="1"/>
  <c r="AH163" i="9"/>
  <c r="BJ163" i="9" s="1"/>
  <c r="BS440" i="9" s="1"/>
  <c r="AJ167" i="9"/>
  <c r="BS274" i="9" s="1"/>
  <c r="AJ155" i="9"/>
  <c r="BS262" i="9" s="1"/>
  <c r="Q171" i="9"/>
  <c r="AA171" i="9" s="1"/>
  <c r="AB171" i="9" s="1"/>
  <c r="BS40" i="9" s="1"/>
  <c r="BQ247" i="9"/>
  <c r="AA167" i="9"/>
  <c r="AB167" i="9" s="1"/>
  <c r="BS36" i="9" s="1"/>
  <c r="AE171" i="9"/>
  <c r="BG171" i="9" s="1"/>
  <c r="BS346" i="9" s="1"/>
  <c r="S190" i="9"/>
  <c r="AA184" i="9"/>
  <c r="AB184" i="9" s="1"/>
  <c r="AH168" i="9"/>
  <c r="BS207" i="9" s="1"/>
  <c r="T195" i="9"/>
  <c r="AG173" i="9"/>
  <c r="BI173" i="9" s="1"/>
  <c r="BS416" i="9" s="1"/>
  <c r="P38" i="7"/>
  <c r="Q38" i="7" s="1"/>
  <c r="R38" i="7" s="1"/>
  <c r="W35" i="7" s="1"/>
  <c r="AE168" i="9"/>
  <c r="BS105" i="9" s="1"/>
  <c r="S140" i="8"/>
  <c r="T140" i="8" s="1"/>
  <c r="AA41" i="8" s="1"/>
  <c r="AG171" i="9"/>
  <c r="BI171" i="9" s="1"/>
  <c r="BS414" i="9" s="1"/>
  <c r="AG159" i="9"/>
  <c r="BI159" i="9" s="1"/>
  <c r="BS402" i="9" s="1"/>
  <c r="AA142" i="9"/>
  <c r="AB142" i="9" s="1"/>
  <c r="BR43" i="9" s="1"/>
  <c r="AI169" i="9"/>
  <c r="BK169" i="9" s="1"/>
  <c r="BS480" i="9" s="1"/>
  <c r="P171" i="7"/>
  <c r="Q171" i="7" s="1"/>
  <c r="R171" i="7" s="1"/>
  <c r="AA40" i="7" s="1"/>
  <c r="AJ168" i="9"/>
  <c r="BS275" i="9" s="1"/>
  <c r="R161" i="9"/>
  <c r="AA161" i="9" s="1"/>
  <c r="AB161" i="9" s="1"/>
  <c r="BS30" i="9" s="1"/>
  <c r="AF171" i="9"/>
  <c r="BS142" i="9" s="1"/>
  <c r="Q159" i="9"/>
  <c r="R165" i="9"/>
  <c r="AD172" i="9"/>
  <c r="BF172" i="9" s="1"/>
  <c r="BS313" i="9" s="1"/>
  <c r="AH158" i="9"/>
  <c r="BJ158" i="9" s="1"/>
  <c r="BS435" i="9" s="1"/>
  <c r="AH165" i="9"/>
  <c r="BJ165" i="9" s="1"/>
  <c r="BS442" i="9" s="1"/>
  <c r="AG162" i="9"/>
  <c r="BS167" i="9" s="1"/>
  <c r="AI174" i="9"/>
  <c r="BK174" i="9" s="1"/>
  <c r="BS485" i="9" s="1"/>
  <c r="S196" i="9"/>
  <c r="AG172" i="9"/>
  <c r="BI172" i="9" s="1"/>
  <c r="BS415" i="9" s="1"/>
  <c r="Q158" i="9"/>
  <c r="AG170" i="9"/>
  <c r="BS175" i="9" s="1"/>
  <c r="BF161" i="9"/>
  <c r="BS302" i="9" s="1"/>
  <c r="BG163" i="9"/>
  <c r="BS338" i="9" s="1"/>
  <c r="BS100" i="9"/>
  <c r="R197" i="16"/>
  <c r="AA102" i="16" s="1"/>
  <c r="AH34" i="16" s="1"/>
  <c r="L197" i="16"/>
  <c r="AI166" i="9"/>
  <c r="AJ174" i="9"/>
  <c r="BS281" i="9" s="1"/>
  <c r="BF104" i="9"/>
  <c r="BQ309" i="9" s="1"/>
  <c r="BQ71" i="9"/>
  <c r="Y120" i="8"/>
  <c r="S62" i="8"/>
  <c r="T62" i="8" s="1"/>
  <c r="Y27" i="8" s="1"/>
  <c r="Y123" i="8"/>
  <c r="S65" i="8"/>
  <c r="T65" i="8" s="1"/>
  <c r="Y30" i="8" s="1"/>
  <c r="BK104" i="9"/>
  <c r="BQ479" i="9" s="1"/>
  <c r="BQ241" i="9"/>
  <c r="BH108" i="9"/>
  <c r="BQ381" i="9" s="1"/>
  <c r="BQ143" i="9"/>
  <c r="Z130" i="8"/>
  <c r="S104" i="8"/>
  <c r="T104" i="8" s="1"/>
  <c r="Z37" i="8" s="1"/>
  <c r="BF135" i="9"/>
  <c r="BR308" i="9" s="1"/>
  <c r="BR70" i="9"/>
  <c r="Q204" i="16"/>
  <c r="AA75" i="16" s="1"/>
  <c r="AG41" i="16" s="1"/>
  <c r="K204" i="16"/>
  <c r="AC59" i="8"/>
  <c r="AG59" i="8" s="1"/>
  <c r="AE59" i="8" s="1"/>
  <c r="BF133" i="9"/>
  <c r="BR306" i="9" s="1"/>
  <c r="BR68" i="9"/>
  <c r="T191" i="9"/>
  <c r="T188" i="9"/>
  <c r="BF142" i="9"/>
  <c r="BR315" i="9" s="1"/>
  <c r="BR77" i="9"/>
  <c r="M195" i="7"/>
  <c r="M196" i="7"/>
  <c r="N200" i="7"/>
  <c r="L199" i="9"/>
  <c r="R199" i="9" s="1"/>
  <c r="K191" i="9"/>
  <c r="K194" i="9"/>
  <c r="Q194" i="9" s="1"/>
  <c r="AI161" i="9"/>
  <c r="BH95" i="9"/>
  <c r="BQ368" i="9" s="1"/>
  <c r="BQ130" i="9"/>
  <c r="BR24" i="9"/>
  <c r="AH156" i="9"/>
  <c r="BI123" i="9"/>
  <c r="AG144" i="9"/>
  <c r="BR160" i="9"/>
  <c r="AF157" i="9"/>
  <c r="AG164" i="9"/>
  <c r="S196" i="16"/>
  <c r="AA135" i="16" s="1"/>
  <c r="AI33" i="16" s="1"/>
  <c r="M196" i="16"/>
  <c r="S197" i="16"/>
  <c r="AA136" i="16" s="1"/>
  <c r="AI34" i="16" s="1"/>
  <c r="M197" i="16"/>
  <c r="AC70" i="8"/>
  <c r="BQ296" i="9"/>
  <c r="BG128" i="9"/>
  <c r="BR335" i="9" s="1"/>
  <c r="BR97" i="9"/>
  <c r="AI173" i="9"/>
  <c r="AE169" i="9"/>
  <c r="BJ134" i="9"/>
  <c r="BR443" i="9" s="1"/>
  <c r="BR205" i="9"/>
  <c r="BI96" i="9"/>
  <c r="BQ403" i="9" s="1"/>
  <c r="BQ165" i="9"/>
  <c r="BG80" i="9"/>
  <c r="BP330" i="9"/>
  <c r="AF163" i="9"/>
  <c r="AI168" i="9"/>
  <c r="AH46" i="9"/>
  <c r="AH48" i="9" s="1"/>
  <c r="BK80" i="9"/>
  <c r="BP466" i="9"/>
  <c r="AD167" i="9"/>
  <c r="AH160" i="9"/>
  <c r="R210" i="16"/>
  <c r="AA115" i="16" s="1"/>
  <c r="AH47" i="16" s="1"/>
  <c r="L210" i="16"/>
  <c r="BR364" i="9"/>
  <c r="AF166" i="9"/>
  <c r="BI130" i="9"/>
  <c r="BR405" i="9" s="1"/>
  <c r="BR167" i="9"/>
  <c r="AA174" i="9"/>
  <c r="AB174" i="9" s="1"/>
  <c r="BS43" i="9" s="1"/>
  <c r="AD155" i="9"/>
  <c r="N179" i="16"/>
  <c r="O179" i="16" s="1"/>
  <c r="Z48" i="16" s="1"/>
  <c r="BK102" i="9"/>
  <c r="BQ477" i="9" s="1"/>
  <c r="BQ239" i="9"/>
  <c r="R159" i="9"/>
  <c r="Y125" i="8"/>
  <c r="S67" i="8"/>
  <c r="T67" i="8" s="1"/>
  <c r="Y32" i="8" s="1"/>
  <c r="Y127" i="8"/>
  <c r="S69" i="8"/>
  <c r="T69" i="8" s="1"/>
  <c r="Y34" i="8" s="1"/>
  <c r="N178" i="16"/>
  <c r="O178" i="16" s="1"/>
  <c r="Z47" i="16" s="1"/>
  <c r="AE159" i="9"/>
  <c r="BG94" i="9"/>
  <c r="BQ333" i="9" s="1"/>
  <c r="BQ95" i="9"/>
  <c r="Z129" i="8"/>
  <c r="S103" i="8"/>
  <c r="T103" i="8" s="1"/>
  <c r="Z36" i="8" s="1"/>
  <c r="BG97" i="9"/>
  <c r="BQ336" i="9" s="1"/>
  <c r="BQ98" i="9"/>
  <c r="Q201" i="16"/>
  <c r="AA72" i="16" s="1"/>
  <c r="AG38" i="16" s="1"/>
  <c r="K201" i="16"/>
  <c r="Q202" i="16"/>
  <c r="AA73" i="16" s="1"/>
  <c r="AG39" i="16" s="1"/>
  <c r="K202" i="16"/>
  <c r="T206" i="9"/>
  <c r="T187" i="9"/>
  <c r="S199" i="9"/>
  <c r="M201" i="7"/>
  <c r="M200" i="7"/>
  <c r="N188" i="7"/>
  <c r="BK138" i="9"/>
  <c r="BR481" i="9" s="1"/>
  <c r="BR243" i="9"/>
  <c r="L195" i="9"/>
  <c r="R195" i="9" s="1"/>
  <c r="K196" i="9"/>
  <c r="Q196" i="9" s="1"/>
  <c r="K187" i="9"/>
  <c r="Q187" i="9" s="1"/>
  <c r="AI112" i="9"/>
  <c r="BK91" i="9"/>
  <c r="BQ228" i="9"/>
  <c r="BG106" i="9"/>
  <c r="BQ345" i="9" s="1"/>
  <c r="BQ107" i="9"/>
  <c r="AC63" i="8"/>
  <c r="AJ156" i="9"/>
  <c r="BS263" i="9" s="1"/>
  <c r="N177" i="16"/>
  <c r="O177" i="16" s="1"/>
  <c r="Z46" i="16" s="1"/>
  <c r="O150" i="16"/>
  <c r="Y30" i="16"/>
  <c r="Q165" i="9"/>
  <c r="AH157" i="9"/>
  <c r="AH164" i="9"/>
  <c r="S194" i="16"/>
  <c r="AA133" i="16" s="1"/>
  <c r="AI31" i="16" s="1"/>
  <c r="M194" i="16"/>
  <c r="S202" i="16"/>
  <c r="AA141" i="16" s="1"/>
  <c r="AI39" i="16" s="1"/>
  <c r="M202" i="16"/>
  <c r="BI127" i="9"/>
  <c r="BR402" i="9" s="1"/>
  <c r="BR164" i="9"/>
  <c r="BK128" i="9"/>
  <c r="BR471" i="9" s="1"/>
  <c r="BR233" i="9"/>
  <c r="AJ173" i="9"/>
  <c r="BS280" i="9" s="1"/>
  <c r="Q169" i="9"/>
  <c r="BH96" i="9"/>
  <c r="BQ369" i="9" s="1"/>
  <c r="BQ131" i="9"/>
  <c r="AG46" i="9"/>
  <c r="AG48" i="9" s="1"/>
  <c r="AE174" i="9"/>
  <c r="BF138" i="9"/>
  <c r="BR311" i="9" s="1"/>
  <c r="BR73" i="9"/>
  <c r="Y135" i="8"/>
  <c r="S77" i="8"/>
  <c r="T77" i="8" s="1"/>
  <c r="Y42" i="8" s="1"/>
  <c r="Y128" i="8"/>
  <c r="S70" i="8"/>
  <c r="T70" i="8" s="1"/>
  <c r="Y35" i="8" s="1"/>
  <c r="BI92" i="9"/>
  <c r="BQ399" i="9" s="1"/>
  <c r="BQ161" i="9"/>
  <c r="AJ159" i="9"/>
  <c r="BS266" i="9" s="1"/>
  <c r="BI95" i="9"/>
  <c r="BQ402" i="9" s="1"/>
  <c r="BQ164" i="9"/>
  <c r="Z123" i="8"/>
  <c r="S97" i="8"/>
  <c r="T97" i="8" s="1"/>
  <c r="Z30" i="8" s="1"/>
  <c r="Q205" i="16"/>
  <c r="AA76" i="16" s="1"/>
  <c r="AG42" i="16" s="1"/>
  <c r="K205" i="16"/>
  <c r="Q196" i="16"/>
  <c r="AA67" i="16" s="1"/>
  <c r="AG33" i="16" s="1"/>
  <c r="K196" i="16"/>
  <c r="T204" i="9"/>
  <c r="S202" i="9"/>
  <c r="AE144" i="9"/>
  <c r="BG123" i="9"/>
  <c r="BR92" i="9"/>
  <c r="M193" i="7"/>
  <c r="M202" i="7"/>
  <c r="N189" i="7"/>
  <c r="L204" i="9"/>
  <c r="K204" i="9"/>
  <c r="K205" i="9"/>
  <c r="AH161" i="9"/>
  <c r="BK97" i="9"/>
  <c r="BQ472" i="9" s="1"/>
  <c r="BQ234" i="9"/>
  <c r="AF112" i="9"/>
  <c r="BH91" i="9"/>
  <c r="BQ126" i="9"/>
  <c r="BG137" i="9"/>
  <c r="BR344" i="9" s="1"/>
  <c r="BR106" i="9"/>
  <c r="AG165" i="9"/>
  <c r="BH109" i="9"/>
  <c r="BQ382" i="9" s="1"/>
  <c r="BQ144" i="9"/>
  <c r="S207" i="16"/>
  <c r="AA146" i="16" s="1"/>
  <c r="AI44" i="16" s="1"/>
  <c r="M207" i="16"/>
  <c r="S210" i="16"/>
  <c r="AA149" i="16" s="1"/>
  <c r="AI47" i="16" s="1"/>
  <c r="M210" i="16"/>
  <c r="BF127" i="9"/>
  <c r="BR300" i="9" s="1"/>
  <c r="BR62" i="9"/>
  <c r="BQ283" i="9"/>
  <c r="BF131" i="9"/>
  <c r="BR304" i="9" s="1"/>
  <c r="BR66" i="9"/>
  <c r="BI128" i="9"/>
  <c r="BR403" i="9" s="1"/>
  <c r="BR165" i="9"/>
  <c r="Q173" i="9"/>
  <c r="AA173" i="9" s="1"/>
  <c r="AB173" i="9" s="1"/>
  <c r="BS42" i="9" s="1"/>
  <c r="BG136" i="9"/>
  <c r="BR343" i="9" s="1"/>
  <c r="BR105" i="9"/>
  <c r="BI137" i="9"/>
  <c r="BR412" i="9" s="1"/>
  <c r="BR174" i="9"/>
  <c r="R195" i="16"/>
  <c r="AA100" i="16" s="1"/>
  <c r="AH32" i="16" s="1"/>
  <c r="L195" i="16"/>
  <c r="AI163" i="9"/>
  <c r="Q168" i="9"/>
  <c r="AA168" i="9" s="1"/>
  <c r="AB168" i="9" s="1"/>
  <c r="BS37" i="9" s="1"/>
  <c r="AD46" i="9"/>
  <c r="AD48" i="9" s="1"/>
  <c r="AE167" i="9"/>
  <c r="AG160" i="9"/>
  <c r="R200" i="16"/>
  <c r="AA105" i="16" s="1"/>
  <c r="AH37" i="16" s="1"/>
  <c r="L200" i="16"/>
  <c r="Q162" i="9"/>
  <c r="AA162" i="9" s="1"/>
  <c r="AB162" i="9" s="1"/>
  <c r="BS31" i="9" s="1"/>
  <c r="AJ166" i="9"/>
  <c r="BS273" i="9" s="1"/>
  <c r="BI108" i="9"/>
  <c r="BQ415" i="9" s="1"/>
  <c r="BQ177" i="9"/>
  <c r="N174" i="16"/>
  <c r="O174" i="16" s="1"/>
  <c r="Z43" i="16" s="1"/>
  <c r="AI144" i="9"/>
  <c r="BK123" i="9"/>
  <c r="BR228" i="9"/>
  <c r="R158" i="9"/>
  <c r="Y132" i="8"/>
  <c r="S74" i="8"/>
  <c r="T74" i="8" s="1"/>
  <c r="Y39" i="8" s="1"/>
  <c r="Y124" i="8"/>
  <c r="S66" i="8"/>
  <c r="T66" i="8" s="1"/>
  <c r="Y31" i="8" s="1"/>
  <c r="BH139" i="9"/>
  <c r="BR380" i="9" s="1"/>
  <c r="BR142" i="9"/>
  <c r="AI159" i="9"/>
  <c r="Z132" i="8"/>
  <c r="S106" i="8"/>
  <c r="T106" i="8" s="1"/>
  <c r="Z39" i="8" s="1"/>
  <c r="Q210" i="16"/>
  <c r="AA81" i="16" s="1"/>
  <c r="AG47" i="16" s="1"/>
  <c r="K210" i="16"/>
  <c r="Q200" i="16"/>
  <c r="AA71" i="16" s="1"/>
  <c r="AG37" i="16" s="1"/>
  <c r="K200" i="16"/>
  <c r="BF132" i="9"/>
  <c r="BR305" i="9" s="1"/>
  <c r="BR67" i="9"/>
  <c r="T190" i="9"/>
  <c r="T196" i="9"/>
  <c r="S206" i="9"/>
  <c r="AF172" i="9"/>
  <c r="M199" i="7"/>
  <c r="M204" i="7"/>
  <c r="N197" i="7"/>
  <c r="L198" i="9"/>
  <c r="R198" i="9" s="1"/>
  <c r="L189" i="9"/>
  <c r="R189" i="9" s="1"/>
  <c r="K188" i="9"/>
  <c r="K197" i="9"/>
  <c r="Q197" i="9" s="1"/>
  <c r="AJ161" i="9"/>
  <c r="BS268" i="9" s="1"/>
  <c r="BG101" i="9"/>
  <c r="BQ340" i="9" s="1"/>
  <c r="BQ102" i="9"/>
  <c r="AB76" i="8"/>
  <c r="K166" i="8"/>
  <c r="R166" i="8" s="1"/>
  <c r="K159" i="8"/>
  <c r="R159" i="8" s="1"/>
  <c r="K157" i="8"/>
  <c r="R157" i="8" s="1"/>
  <c r="K156" i="8"/>
  <c r="R156" i="8" s="1"/>
  <c r="K170" i="8"/>
  <c r="R170" i="8" s="1"/>
  <c r="K171" i="8"/>
  <c r="R171" i="8" s="1"/>
  <c r="K169" i="8"/>
  <c r="R169" i="8" s="1"/>
  <c r="K167" i="8"/>
  <c r="R167" i="8" s="1"/>
  <c r="K174" i="8"/>
  <c r="R174" i="8" s="1"/>
  <c r="K173" i="8"/>
  <c r="R173" i="8" s="1"/>
  <c r="K162" i="8"/>
  <c r="R162" i="8" s="1"/>
  <c r="K161" i="8"/>
  <c r="R161" i="8" s="1"/>
  <c r="K172" i="8"/>
  <c r="R172" i="8" s="1"/>
  <c r="K163" i="8"/>
  <c r="R163" i="8" s="1"/>
  <c r="K158" i="8"/>
  <c r="R158" i="8" s="1"/>
  <c r="K160" i="8"/>
  <c r="R160" i="8" s="1"/>
  <c r="K164" i="8"/>
  <c r="R164" i="8" s="1"/>
  <c r="K155" i="8"/>
  <c r="R155" i="8" s="1"/>
  <c r="K165" i="8"/>
  <c r="R165" i="8" s="1"/>
  <c r="K168" i="8"/>
  <c r="R168" i="8" s="1"/>
  <c r="R152" i="8"/>
  <c r="S152" i="8" s="1"/>
  <c r="T152" i="8" s="1"/>
  <c r="BP181" i="9"/>
  <c r="AJ158" i="9"/>
  <c r="BS265" i="9" s="1"/>
  <c r="AF156" i="9"/>
  <c r="N180" i="16"/>
  <c r="O180" i="16" s="1"/>
  <c r="Z49" i="16" s="1"/>
  <c r="S124" i="8"/>
  <c r="T124" i="8" s="1"/>
  <c r="AA25" i="8" s="1"/>
  <c r="AI157" i="9"/>
  <c r="BF137" i="9"/>
  <c r="BR310" i="9" s="1"/>
  <c r="BR72" i="9"/>
  <c r="N165" i="16"/>
  <c r="O165" i="16" s="1"/>
  <c r="Z34" i="16" s="1"/>
  <c r="BI139" i="9"/>
  <c r="BR414" i="9" s="1"/>
  <c r="BR176" i="9"/>
  <c r="Q170" i="9"/>
  <c r="AA170" i="9" s="1"/>
  <c r="AB170" i="9" s="1"/>
  <c r="BS39" i="9" s="1"/>
  <c r="N170" i="16"/>
  <c r="O170" i="16" s="1"/>
  <c r="Z39" i="16" s="1"/>
  <c r="S211" i="16"/>
  <c r="AA150" i="16" s="1"/>
  <c r="AI48" i="16" s="1"/>
  <c r="M211" i="16"/>
  <c r="S208" i="16"/>
  <c r="AA147" i="16" s="1"/>
  <c r="AI45" i="16" s="1"/>
  <c r="M208" i="16"/>
  <c r="BG127" i="9"/>
  <c r="BR334" i="9" s="1"/>
  <c r="BR96" i="9"/>
  <c r="AJ112" i="9"/>
  <c r="BI131" i="9"/>
  <c r="BR406" i="9" s="1"/>
  <c r="BR168" i="9"/>
  <c r="BH128" i="9"/>
  <c r="BR369" i="9" s="1"/>
  <c r="BR131" i="9"/>
  <c r="AD173" i="9"/>
  <c r="BF136" i="9"/>
  <c r="BR309" i="9" s="1"/>
  <c r="BR71" i="9"/>
  <c r="BF96" i="9"/>
  <c r="BQ301" i="9" s="1"/>
  <c r="BQ63" i="9"/>
  <c r="Z45" i="7"/>
  <c r="Q46" i="9"/>
  <c r="AA46" i="9" s="1"/>
  <c r="AB46" i="9" s="1"/>
  <c r="BO43" i="9" s="1"/>
  <c r="AD163" i="9"/>
  <c r="AF46" i="9"/>
  <c r="AF48" i="9" s="1"/>
  <c r="BP453" i="9"/>
  <c r="AC56" i="8"/>
  <c r="AG56" i="8" s="1"/>
  <c r="AE56" i="8" s="1"/>
  <c r="BK108" i="9"/>
  <c r="BQ483" i="9" s="1"/>
  <c r="BQ245" i="9"/>
  <c r="R205" i="16"/>
  <c r="AA110" i="16" s="1"/>
  <c r="AH42" i="16" s="1"/>
  <c r="L205" i="16"/>
  <c r="R208" i="16"/>
  <c r="AA113" i="16" s="1"/>
  <c r="AH45" i="16" s="1"/>
  <c r="L208" i="16"/>
  <c r="AG166" i="9"/>
  <c r="AH174" i="9"/>
  <c r="AF155" i="9"/>
  <c r="BF95" i="9"/>
  <c r="BQ300" i="9" s="1"/>
  <c r="BQ62" i="9"/>
  <c r="Y130" i="8"/>
  <c r="S72" i="8"/>
  <c r="T72" i="8" s="1"/>
  <c r="Y37" i="8" s="1"/>
  <c r="Y129" i="8"/>
  <c r="S71" i="8"/>
  <c r="T71" i="8" s="1"/>
  <c r="Y36" i="8" s="1"/>
  <c r="BG91" i="9"/>
  <c r="AE112" i="9"/>
  <c r="BQ92" i="9"/>
  <c r="Z127" i="8"/>
  <c r="S101" i="8"/>
  <c r="T101" i="8" s="1"/>
  <c r="Z34" i="8" s="1"/>
  <c r="Z135" i="8"/>
  <c r="S109" i="8"/>
  <c r="T109" i="8" s="1"/>
  <c r="Z42" i="8" s="1"/>
  <c r="BF101" i="9"/>
  <c r="BQ306" i="9" s="1"/>
  <c r="BQ68" i="9"/>
  <c r="Q199" i="16"/>
  <c r="AA70" i="16" s="1"/>
  <c r="AG36" i="16" s="1"/>
  <c r="K199" i="16"/>
  <c r="Q194" i="16"/>
  <c r="AA65" i="16" s="1"/>
  <c r="AG31" i="16" s="1"/>
  <c r="K194" i="16"/>
  <c r="T194" i="9"/>
  <c r="T200" i="9"/>
  <c r="BI141" i="9"/>
  <c r="BR416" i="9" s="1"/>
  <c r="BR178" i="9"/>
  <c r="R164" i="9"/>
  <c r="AA164" i="9" s="1"/>
  <c r="AB164" i="9" s="1"/>
  <c r="BS33" i="9" s="1"/>
  <c r="M191" i="7"/>
  <c r="M206" i="7"/>
  <c r="N198" i="7"/>
  <c r="N201" i="7"/>
  <c r="L191" i="9"/>
  <c r="L188" i="9"/>
  <c r="R188" i="9" s="1"/>
  <c r="K195" i="9"/>
  <c r="K192" i="9"/>
  <c r="AE161" i="9"/>
  <c r="BH110" i="9"/>
  <c r="BQ383" i="9" s="1"/>
  <c r="BQ145" i="9"/>
  <c r="BI80" i="9"/>
  <c r="BP398" i="9"/>
  <c r="AD158" i="9"/>
  <c r="AD156" i="9"/>
  <c r="BK139" i="9"/>
  <c r="BR482" i="9" s="1"/>
  <c r="BR244" i="9"/>
  <c r="Q157" i="9"/>
  <c r="AA157" i="9" s="1"/>
  <c r="AB157" i="9" s="1"/>
  <c r="BS26" i="9" s="1"/>
  <c r="BJ97" i="9"/>
  <c r="BQ438" i="9" s="1"/>
  <c r="BQ200" i="9"/>
  <c r="BG104" i="9"/>
  <c r="BQ343" i="9" s="1"/>
  <c r="BQ105" i="9"/>
  <c r="AD170" i="9"/>
  <c r="S205" i="16"/>
  <c r="AA144" i="16" s="1"/>
  <c r="AI42" i="16" s="1"/>
  <c r="M205" i="16"/>
  <c r="S206" i="16"/>
  <c r="AA145" i="16" s="1"/>
  <c r="AI43" i="16" s="1"/>
  <c r="M206" i="16"/>
  <c r="BJ127" i="9"/>
  <c r="BR436" i="9" s="1"/>
  <c r="BR198" i="9"/>
  <c r="AH173" i="9"/>
  <c r="AD184" i="9"/>
  <c r="BF184" i="9" s="1"/>
  <c r="BJ136" i="9"/>
  <c r="BR445" i="9" s="1"/>
  <c r="BR207" i="9"/>
  <c r="BJ96" i="9"/>
  <c r="BQ437" i="9" s="1"/>
  <c r="BQ199" i="9"/>
  <c r="R144" i="7"/>
  <c r="AE46" i="9"/>
  <c r="AE48" i="9" s="1"/>
  <c r="BJ80" i="9"/>
  <c r="BK133" i="9"/>
  <c r="BR476" i="9" s="1"/>
  <c r="BR238" i="9"/>
  <c r="AH167" i="9"/>
  <c r="R209" i="16"/>
  <c r="AA114" i="16" s="1"/>
  <c r="AH46" i="16" s="1"/>
  <c r="L209" i="16"/>
  <c r="R206" i="16"/>
  <c r="AA111" i="16" s="1"/>
  <c r="AH43" i="16" s="1"/>
  <c r="L206" i="16"/>
  <c r="AD162" i="9"/>
  <c r="AE166" i="9"/>
  <c r="AC68" i="8"/>
  <c r="BP79" i="9"/>
  <c r="AF174" i="9"/>
  <c r="AH155" i="9"/>
  <c r="Y133" i="8"/>
  <c r="S75" i="8"/>
  <c r="T75" i="8" s="1"/>
  <c r="Y40" i="8" s="1"/>
  <c r="Z121" i="8"/>
  <c r="S95" i="8"/>
  <c r="T95" i="8" s="1"/>
  <c r="Z28" i="8" s="1"/>
  <c r="Z124" i="8"/>
  <c r="S98" i="8"/>
  <c r="T98" i="8" s="1"/>
  <c r="Z31" i="8" s="1"/>
  <c r="BF110" i="9"/>
  <c r="BQ315" i="9" s="1"/>
  <c r="BQ77" i="9"/>
  <c r="Q197" i="16"/>
  <c r="AA68" i="16" s="1"/>
  <c r="AG34" i="16" s="1"/>
  <c r="K197" i="16"/>
  <c r="Q211" i="16"/>
  <c r="AA82" i="16" s="1"/>
  <c r="AG48" i="16" s="1"/>
  <c r="K211" i="16"/>
  <c r="T201" i="9"/>
  <c r="T202" i="9"/>
  <c r="S198" i="9"/>
  <c r="BJ108" i="9"/>
  <c r="BQ449" i="9" s="1"/>
  <c r="BQ211" i="9"/>
  <c r="M205" i="7"/>
  <c r="M187" i="7"/>
  <c r="N196" i="7"/>
  <c r="N187" i="7"/>
  <c r="BH98" i="9"/>
  <c r="BQ371" i="9" s="1"/>
  <c r="BQ133" i="9"/>
  <c r="L190" i="9"/>
  <c r="R190" i="9" s="1"/>
  <c r="L196" i="9"/>
  <c r="R196" i="9" s="1"/>
  <c r="K202" i="9"/>
  <c r="Q202" i="9" s="1"/>
  <c r="K201" i="9"/>
  <c r="AG161" i="9"/>
  <c r="N166" i="16"/>
  <c r="O166" i="16" s="1"/>
  <c r="Z35" i="16" s="1"/>
  <c r="Y85" i="16"/>
  <c r="AE158" i="9"/>
  <c r="AA156" i="9"/>
  <c r="AB156" i="9" s="1"/>
  <c r="BS25" i="9" s="1"/>
  <c r="BJ129" i="9"/>
  <c r="BR438" i="9" s="1"/>
  <c r="BR200" i="9"/>
  <c r="AJ165" i="9"/>
  <c r="BS272" i="9" s="1"/>
  <c r="AD157" i="9"/>
  <c r="BH126" i="9"/>
  <c r="BR367" i="9" s="1"/>
  <c r="BR129" i="9"/>
  <c r="N161" i="16"/>
  <c r="O161" i="16" s="1"/>
  <c r="BF129" i="9"/>
  <c r="BR302" i="9" s="1"/>
  <c r="BR64" i="9"/>
  <c r="AE164" i="9"/>
  <c r="AE170" i="9"/>
  <c r="N162" i="16"/>
  <c r="O162" i="16" s="1"/>
  <c r="Z31" i="16" s="1"/>
  <c r="S209" i="16"/>
  <c r="AA148" i="16" s="1"/>
  <c r="AI46" i="16" s="1"/>
  <c r="M209" i="16"/>
  <c r="S200" i="16"/>
  <c r="AA139" i="16" s="1"/>
  <c r="AI37" i="16" s="1"/>
  <c r="M200" i="16"/>
  <c r="BK127" i="9"/>
  <c r="BR470" i="9" s="1"/>
  <c r="BR232" i="9"/>
  <c r="BJ131" i="9"/>
  <c r="BR440" i="9" s="1"/>
  <c r="BR202" i="9"/>
  <c r="BF128" i="9"/>
  <c r="BR301" i="9" s="1"/>
  <c r="BR63" i="9"/>
  <c r="AD169" i="9"/>
  <c r="BF134" i="9"/>
  <c r="BR307" i="9" s="1"/>
  <c r="BR69" i="9"/>
  <c r="BH136" i="9"/>
  <c r="BR377" i="9" s="1"/>
  <c r="BR139" i="9"/>
  <c r="Q163" i="9"/>
  <c r="AA163" i="9" s="1"/>
  <c r="AB163" i="9" s="1"/>
  <c r="BS32" i="9" s="1"/>
  <c r="AJ163" i="9"/>
  <c r="BS270" i="9" s="1"/>
  <c r="AG163" i="9"/>
  <c r="BG99" i="9"/>
  <c r="BQ338" i="9" s="1"/>
  <c r="BQ100" i="9"/>
  <c r="BI100" i="9"/>
  <c r="BQ407" i="9" s="1"/>
  <c r="BQ169" i="9"/>
  <c r="AF167" i="9"/>
  <c r="R203" i="16"/>
  <c r="AA108" i="16" s="1"/>
  <c r="AH40" i="16" s="1"/>
  <c r="L203" i="16"/>
  <c r="R204" i="16"/>
  <c r="AA109" i="16" s="1"/>
  <c r="AH41" i="16" s="1"/>
  <c r="L204" i="16"/>
  <c r="AE162" i="9"/>
  <c r="Q166" i="9"/>
  <c r="AA166" i="9" s="1"/>
  <c r="AB166" i="9" s="1"/>
  <c r="BS35" i="9" s="1"/>
  <c r="BF80" i="9"/>
  <c r="BP296" i="9"/>
  <c r="AA138" i="8"/>
  <c r="BG129" i="9"/>
  <c r="BR336" i="9" s="1"/>
  <c r="BR98" i="9"/>
  <c r="AI171" i="9"/>
  <c r="BH94" i="9"/>
  <c r="BQ367" i="9" s="1"/>
  <c r="BQ129" i="9"/>
  <c r="Y118" i="8"/>
  <c r="S60" i="8"/>
  <c r="T60" i="8" s="1"/>
  <c r="Y25" i="8" s="1"/>
  <c r="S142" i="8"/>
  <c r="T142" i="8" s="1"/>
  <c r="AA43" i="8" s="1"/>
  <c r="AD159" i="9"/>
  <c r="Z136" i="8"/>
  <c r="S110" i="8"/>
  <c r="T110" i="8" s="1"/>
  <c r="Z43" i="8" s="1"/>
  <c r="Z133" i="8"/>
  <c r="S107" i="8"/>
  <c r="T107" i="8" s="1"/>
  <c r="Z40" i="8" s="1"/>
  <c r="Q195" i="16"/>
  <c r="AA66" i="16" s="1"/>
  <c r="AG32" i="16" s="1"/>
  <c r="K195" i="16"/>
  <c r="Q209" i="16"/>
  <c r="AA80" i="16" s="1"/>
  <c r="AG46" i="16" s="1"/>
  <c r="K209" i="16"/>
  <c r="T193" i="9"/>
  <c r="T192" i="9"/>
  <c r="S200" i="9"/>
  <c r="AJ172" i="9"/>
  <c r="BS279" i="9" s="1"/>
  <c r="M197" i="7"/>
  <c r="M189" i="7"/>
  <c r="N206" i="7"/>
  <c r="N195" i="7"/>
  <c r="BI99" i="9"/>
  <c r="BQ406" i="9" s="1"/>
  <c r="BQ168" i="9"/>
  <c r="L194" i="9"/>
  <c r="L200" i="9"/>
  <c r="R200" i="9" s="1"/>
  <c r="K190" i="9"/>
  <c r="K193" i="9"/>
  <c r="BF139" i="9"/>
  <c r="BR312" i="9" s="1"/>
  <c r="BR74" i="9"/>
  <c r="AI158" i="9"/>
  <c r="AE165" i="9"/>
  <c r="AE157" i="9"/>
  <c r="Q182" i="16"/>
  <c r="Z64" i="16"/>
  <c r="Z85" i="16" s="1"/>
  <c r="AC62" i="8"/>
  <c r="AI164" i="9"/>
  <c r="AJ170" i="9"/>
  <c r="BS277" i="9" s="1"/>
  <c r="S203" i="16"/>
  <c r="AA142" i="16" s="1"/>
  <c r="AI40" i="16" s="1"/>
  <c r="M203" i="16"/>
  <c r="S204" i="16"/>
  <c r="AA143" i="16" s="1"/>
  <c r="AI41" i="16" s="1"/>
  <c r="M204" i="16"/>
  <c r="BH127" i="9"/>
  <c r="BR368" i="9" s="1"/>
  <c r="BR130" i="9"/>
  <c r="BG131" i="9"/>
  <c r="BR338" i="9" s="1"/>
  <c r="BR100" i="9"/>
  <c r="BR296" i="9"/>
  <c r="BK134" i="9"/>
  <c r="BR477" i="9" s="1"/>
  <c r="BR239" i="9"/>
  <c r="BK136" i="9"/>
  <c r="BR479" i="9" s="1"/>
  <c r="BR241" i="9"/>
  <c r="BI104" i="9"/>
  <c r="BQ411" i="9" s="1"/>
  <c r="BQ173" i="9"/>
  <c r="AE160" i="9"/>
  <c r="R207" i="16"/>
  <c r="AA112" i="16" s="1"/>
  <c r="AH44" i="16" s="1"/>
  <c r="L207" i="16"/>
  <c r="R198" i="16"/>
  <c r="AA103" i="16" s="1"/>
  <c r="AH35" i="16" s="1"/>
  <c r="L198" i="16"/>
  <c r="BH138" i="9"/>
  <c r="BR379" i="9" s="1"/>
  <c r="BR141" i="9"/>
  <c r="AJ162" i="9"/>
  <c r="BS269" i="9" s="1"/>
  <c r="AD166" i="9"/>
  <c r="AG174" i="9"/>
  <c r="BK107" i="9"/>
  <c r="BQ482" i="9" s="1"/>
  <c r="BQ244" i="9"/>
  <c r="BK99" i="9"/>
  <c r="BQ474" i="9" s="1"/>
  <c r="BQ236" i="9"/>
  <c r="BQ24" i="9"/>
  <c r="BJ137" i="9"/>
  <c r="BR446" i="9" s="1"/>
  <c r="BR208" i="9"/>
  <c r="Y131" i="8"/>
  <c r="S73" i="8"/>
  <c r="T73" i="8" s="1"/>
  <c r="Y38" i="8" s="1"/>
  <c r="BP45" i="9"/>
  <c r="S126" i="8"/>
  <c r="T126" i="8" s="1"/>
  <c r="AA27" i="8" s="1"/>
  <c r="AH159" i="9"/>
  <c r="Z120" i="8"/>
  <c r="S94" i="8"/>
  <c r="T94" i="8" s="1"/>
  <c r="Z27" i="8" s="1"/>
  <c r="Z122" i="8"/>
  <c r="S96" i="8"/>
  <c r="T96" i="8" s="1"/>
  <c r="Z29" i="8" s="1"/>
  <c r="Q208" i="16"/>
  <c r="AA79" i="16" s="1"/>
  <c r="AG45" i="16" s="1"/>
  <c r="K208" i="16"/>
  <c r="Q203" i="16"/>
  <c r="AA74" i="16" s="1"/>
  <c r="AG40" i="16" s="1"/>
  <c r="K203" i="16"/>
  <c r="R182" i="16"/>
  <c r="Z98" i="16"/>
  <c r="Z119" i="16" s="1"/>
  <c r="T198" i="9"/>
  <c r="AE172" i="9"/>
  <c r="N172" i="16"/>
  <c r="O172" i="16" s="1"/>
  <c r="Z41" i="16" s="1"/>
  <c r="M194" i="7"/>
  <c r="N194" i="7"/>
  <c r="N203" i="7"/>
  <c r="BG132" i="9"/>
  <c r="BR339" i="9" s="1"/>
  <c r="BR101" i="9"/>
  <c r="L193" i="9"/>
  <c r="R193" i="9" s="1"/>
  <c r="L203" i="9"/>
  <c r="R203" i="9" s="1"/>
  <c r="K189" i="9"/>
  <c r="AJ184" i="9"/>
  <c r="AF184" i="9"/>
  <c r="BH184" i="9" s="1"/>
  <c r="AE184" i="9"/>
  <c r="BG184" i="9" s="1"/>
  <c r="AF161" i="9"/>
  <c r="BI109" i="9"/>
  <c r="BQ416" i="9" s="1"/>
  <c r="BQ178" i="9"/>
  <c r="BI138" i="9"/>
  <c r="BR413" i="9" s="1"/>
  <c r="BR175" i="9"/>
  <c r="AG158" i="9"/>
  <c r="AC73" i="8"/>
  <c r="AD165" i="9"/>
  <c r="Y119" i="16"/>
  <c r="AF164" i="9"/>
  <c r="AH170" i="9"/>
  <c r="S201" i="16"/>
  <c r="AA140" i="16" s="1"/>
  <c r="AI38" i="16" s="1"/>
  <c r="M201" i="16"/>
  <c r="AD144" i="9"/>
  <c r="AJ169" i="9"/>
  <c r="BS276" i="9" s="1"/>
  <c r="BI134" i="9"/>
  <c r="BR409" i="9" s="1"/>
  <c r="BR171" i="9"/>
  <c r="AD168" i="9"/>
  <c r="N171" i="16"/>
  <c r="O171" i="16" s="1"/>
  <c r="Z40" i="16" s="1"/>
  <c r="BR283" i="9"/>
  <c r="AF160" i="9"/>
  <c r="R212" i="16"/>
  <c r="AA117" i="16" s="1"/>
  <c r="AH49" i="16" s="1"/>
  <c r="L212" i="16"/>
  <c r="R202" i="16"/>
  <c r="AA107" i="16" s="1"/>
  <c r="AH39" i="16" s="1"/>
  <c r="L202" i="16"/>
  <c r="BJ133" i="9"/>
  <c r="BR442" i="9" s="1"/>
  <c r="BR204" i="9"/>
  <c r="AH162" i="9"/>
  <c r="R155" i="9"/>
  <c r="AD174" i="9"/>
  <c r="S137" i="8"/>
  <c r="T137" i="8" s="1"/>
  <c r="AA38" i="8" s="1"/>
  <c r="AC60" i="8"/>
  <c r="AG60" i="8" s="1"/>
  <c r="AE60" i="8" s="1"/>
  <c r="Y122" i="8"/>
  <c r="S64" i="8"/>
  <c r="T64" i="8" s="1"/>
  <c r="Y29" i="8" s="1"/>
  <c r="AB80" i="9"/>
  <c r="N190" i="16"/>
  <c r="O190" i="16" s="1"/>
  <c r="BI133" i="9"/>
  <c r="BR408" i="9" s="1"/>
  <c r="BR170" i="9"/>
  <c r="Z128" i="8"/>
  <c r="S102" i="8"/>
  <c r="T102" i="8" s="1"/>
  <c r="Z35" i="8" s="1"/>
  <c r="Z125" i="8"/>
  <c r="S99" i="8"/>
  <c r="T99" i="8" s="1"/>
  <c r="Z32" i="8" s="1"/>
  <c r="Q212" i="16"/>
  <c r="AA83" i="16" s="1"/>
  <c r="AG49" i="16" s="1"/>
  <c r="K212" i="16"/>
  <c r="Q207" i="16"/>
  <c r="AA78" i="16" s="1"/>
  <c r="AG44" i="16" s="1"/>
  <c r="K207" i="16"/>
  <c r="BG139" i="9"/>
  <c r="BR346" i="9" s="1"/>
  <c r="BR108" i="9"/>
  <c r="T205" i="9"/>
  <c r="S194" i="9"/>
  <c r="BJ95" i="9"/>
  <c r="BQ436" i="9" s="1"/>
  <c r="BQ198" i="9"/>
  <c r="M192" i="7"/>
  <c r="N204" i="7"/>
  <c r="N193" i="7"/>
  <c r="L201" i="9"/>
  <c r="L202" i="9"/>
  <c r="K199" i="9"/>
  <c r="BP147" i="9"/>
  <c r="BG133" i="9"/>
  <c r="BR340" i="9" s="1"/>
  <c r="BR102" i="9"/>
  <c r="BJ130" i="9"/>
  <c r="BR439" i="9" s="1"/>
  <c r="BR201" i="9"/>
  <c r="AI165" i="9"/>
  <c r="BJ94" i="9"/>
  <c r="BQ435" i="9" s="1"/>
  <c r="BQ197" i="9"/>
  <c r="BH130" i="9"/>
  <c r="BR371" i="9" s="1"/>
  <c r="BR133" i="9"/>
  <c r="AI170" i="9"/>
  <c r="S138" i="8"/>
  <c r="T138" i="8" s="1"/>
  <c r="AA39" i="8" s="1"/>
  <c r="S195" i="16"/>
  <c r="AA134" i="16" s="1"/>
  <c r="AI32" i="16" s="1"/>
  <c r="M195" i="16"/>
  <c r="BK131" i="9"/>
  <c r="BR474" i="9" s="1"/>
  <c r="BR236" i="9"/>
  <c r="AF173" i="9"/>
  <c r="AG169" i="9"/>
  <c r="BG134" i="9"/>
  <c r="BR341" i="9" s="1"/>
  <c r="BR103" i="9"/>
  <c r="BI136" i="9"/>
  <c r="BR411" i="9" s="1"/>
  <c r="BR173" i="9"/>
  <c r="BP249" i="9"/>
  <c r="AC107" i="8"/>
  <c r="AG86" i="8"/>
  <c r="AE86" i="8" s="1"/>
  <c r="BH100" i="9"/>
  <c r="BQ373" i="9" s="1"/>
  <c r="BQ135" i="9"/>
  <c r="AI160" i="9"/>
  <c r="R201" i="16"/>
  <c r="AA106" i="16" s="1"/>
  <c r="AH38" i="16" s="1"/>
  <c r="L201" i="16"/>
  <c r="R196" i="16"/>
  <c r="AA101" i="16" s="1"/>
  <c r="AH33" i="16" s="1"/>
  <c r="L196" i="16"/>
  <c r="AI162" i="9"/>
  <c r="BI129" i="9"/>
  <c r="BR404" i="9" s="1"/>
  <c r="BR166" i="9"/>
  <c r="BJ100" i="9"/>
  <c r="BQ441" i="9" s="1"/>
  <c r="BQ203" i="9"/>
  <c r="T112" i="7"/>
  <c r="Y58" i="7"/>
  <c r="Y79" i="7" s="1"/>
  <c r="K184" i="8"/>
  <c r="O187" i="7"/>
  <c r="O206" i="7"/>
  <c r="O204" i="7"/>
  <c r="O202" i="7"/>
  <c r="O200" i="7"/>
  <c r="O198" i="7"/>
  <c r="O190" i="7"/>
  <c r="O192" i="7"/>
  <c r="O196" i="7"/>
  <c r="O194" i="7"/>
  <c r="O188" i="7"/>
  <c r="O195" i="7"/>
  <c r="O203" i="7"/>
  <c r="O189" i="7"/>
  <c r="O197" i="7"/>
  <c r="O205" i="7"/>
  <c r="O191" i="7"/>
  <c r="O199" i="7"/>
  <c r="O193" i="7"/>
  <c r="O201" i="7"/>
  <c r="Y117" i="8"/>
  <c r="S59" i="8"/>
  <c r="T59" i="8" s="1"/>
  <c r="Y126" i="8"/>
  <c r="S68" i="8"/>
  <c r="T68" i="8" s="1"/>
  <c r="Y33" i="8" s="1"/>
  <c r="BH129" i="9"/>
  <c r="BR370" i="9" s="1"/>
  <c r="BR132" i="9"/>
  <c r="BK109" i="9"/>
  <c r="BQ484" i="9" s="1"/>
  <c r="BQ246" i="9"/>
  <c r="Z131" i="8"/>
  <c r="S105" i="8"/>
  <c r="T105" i="8" s="1"/>
  <c r="Z38" i="8" s="1"/>
  <c r="Z134" i="8"/>
  <c r="S108" i="8"/>
  <c r="T108" i="8" s="1"/>
  <c r="Z41" i="8" s="1"/>
  <c r="Q193" i="16"/>
  <c r="K193" i="16"/>
  <c r="S131" i="8"/>
  <c r="T131" i="8" s="1"/>
  <c r="AA32" i="8" s="1"/>
  <c r="T197" i="9"/>
  <c r="M190" i="7"/>
  <c r="N192" i="7"/>
  <c r="N205" i="7"/>
  <c r="AC57" i="8"/>
  <c r="AG57" i="8" s="1"/>
  <c r="AE57" i="8" s="1"/>
  <c r="L206" i="9"/>
  <c r="R206" i="9" s="1"/>
  <c r="L192" i="9"/>
  <c r="K206" i="9"/>
  <c r="Q206" i="9" s="1"/>
  <c r="BH80" i="9"/>
  <c r="BP364" i="9"/>
  <c r="BH141" i="9"/>
  <c r="BR382" i="9" s="1"/>
  <c r="BR144" i="9"/>
  <c r="BK98" i="9"/>
  <c r="BQ473" i="9" s="1"/>
  <c r="BQ235" i="9"/>
  <c r="AC58" i="8"/>
  <c r="AG58" i="8" s="1"/>
  <c r="AE58" i="8" s="1"/>
  <c r="BH132" i="9"/>
  <c r="BR373" i="9" s="1"/>
  <c r="BR135" i="9"/>
  <c r="BF105" i="9"/>
  <c r="BQ310" i="9" s="1"/>
  <c r="BQ72" i="9"/>
  <c r="BJ132" i="9"/>
  <c r="BR441" i="9" s="1"/>
  <c r="BR203" i="9"/>
  <c r="AJ164" i="9"/>
  <c r="BS271" i="9" s="1"/>
  <c r="AF170" i="9"/>
  <c r="S199" i="16"/>
  <c r="AA138" i="16" s="1"/>
  <c r="AI36" i="16" s="1"/>
  <c r="M199" i="16"/>
  <c r="BH131" i="9"/>
  <c r="BR372" i="9" s="1"/>
  <c r="BR134" i="9"/>
  <c r="AE173" i="9"/>
  <c r="AH169" i="9"/>
  <c r="BH134" i="9"/>
  <c r="BR375" i="9" s="1"/>
  <c r="BR137" i="9"/>
  <c r="R199" i="16"/>
  <c r="AA104" i="16" s="1"/>
  <c r="AH36" i="16" s="1"/>
  <c r="L199" i="16"/>
  <c r="R194" i="16"/>
  <c r="AA99" i="16" s="1"/>
  <c r="AH31" i="16" s="1"/>
  <c r="L194" i="16"/>
  <c r="AC66" i="8"/>
  <c r="BP283" i="9"/>
  <c r="BH104" i="9"/>
  <c r="BQ377" i="9" s="1"/>
  <c r="BQ139" i="9"/>
  <c r="BJ92" i="9"/>
  <c r="BQ433" i="9" s="1"/>
  <c r="BQ195" i="9"/>
  <c r="Y136" i="8"/>
  <c r="S78" i="8"/>
  <c r="T78" i="8" s="1"/>
  <c r="Y43" i="8" s="1"/>
  <c r="Y121" i="8"/>
  <c r="S63" i="8"/>
  <c r="T63" i="8" s="1"/>
  <c r="Y28" i="8" s="1"/>
  <c r="S136" i="8"/>
  <c r="T136" i="8" s="1"/>
  <c r="AA37" i="8" s="1"/>
  <c r="AC71" i="8"/>
  <c r="BF99" i="9"/>
  <c r="BQ304" i="9" s="1"/>
  <c r="BQ66" i="9"/>
  <c r="BI102" i="9"/>
  <c r="BQ409" i="9" s="1"/>
  <c r="BQ171" i="9"/>
  <c r="Z119" i="8"/>
  <c r="S93" i="8"/>
  <c r="T93" i="8" s="1"/>
  <c r="Z26" i="8" s="1"/>
  <c r="Z117" i="8"/>
  <c r="S91" i="8"/>
  <c r="T91" i="8" s="1"/>
  <c r="N163" i="16"/>
  <c r="O163" i="16" s="1"/>
  <c r="Z32" i="16" s="1"/>
  <c r="S182" i="16"/>
  <c r="Z132" i="16"/>
  <c r="Q198" i="16"/>
  <c r="AA69" i="16" s="1"/>
  <c r="AG35" i="16" s="1"/>
  <c r="K198" i="16"/>
  <c r="AC61" i="8"/>
  <c r="AG61" i="8" s="1"/>
  <c r="AE61" i="8" s="1"/>
  <c r="T199" i="9"/>
  <c r="BI91" i="9"/>
  <c r="AG112" i="9"/>
  <c r="BQ160" i="9"/>
  <c r="M198" i="7"/>
  <c r="N202" i="7"/>
  <c r="N191" i="7"/>
  <c r="S135" i="8"/>
  <c r="T135" i="8" s="1"/>
  <c r="AA36" i="8" s="1"/>
  <c r="L205" i="9"/>
  <c r="L187" i="9"/>
  <c r="K198" i="9"/>
  <c r="BJ91" i="9"/>
  <c r="AH112" i="9"/>
  <c r="BQ194" i="9"/>
  <c r="S212" i="16"/>
  <c r="AA151" i="16" s="1"/>
  <c r="AI49" i="16" s="1"/>
  <c r="M212" i="16"/>
  <c r="AC65" i="8"/>
  <c r="BK96" i="9"/>
  <c r="BQ471" i="9" s="1"/>
  <c r="BQ233" i="9"/>
  <c r="AC67" i="8"/>
  <c r="AI46" i="9"/>
  <c r="AI48" i="9" s="1"/>
  <c r="R193" i="16"/>
  <c r="L193" i="16"/>
  <c r="R211" i="16"/>
  <c r="AA116" i="16" s="1"/>
  <c r="AH48" i="16" s="1"/>
  <c r="L211" i="16"/>
  <c r="AH144" i="9"/>
  <c r="BJ123" i="9"/>
  <c r="BR194" i="9"/>
  <c r="AA76" i="8"/>
  <c r="BK100" i="9"/>
  <c r="BQ475" i="9" s="1"/>
  <c r="BQ237" i="9"/>
  <c r="Y119" i="8"/>
  <c r="S61" i="8"/>
  <c r="T61" i="8" s="1"/>
  <c r="Y26" i="8" s="1"/>
  <c r="Y134" i="8"/>
  <c r="S76" i="8"/>
  <c r="T76" i="8" s="1"/>
  <c r="Y41" i="8" s="1"/>
  <c r="BK130" i="9"/>
  <c r="BR473" i="9" s="1"/>
  <c r="BR235" i="9"/>
  <c r="BK141" i="9"/>
  <c r="BR484" i="9" s="1"/>
  <c r="BR246" i="9"/>
  <c r="Z126" i="8"/>
  <c r="S100" i="8"/>
  <c r="T100" i="8" s="1"/>
  <c r="Z33" i="8" s="1"/>
  <c r="Z118" i="8"/>
  <c r="S92" i="8"/>
  <c r="T92" i="8" s="1"/>
  <c r="Z25" i="8" s="1"/>
  <c r="Q206" i="16"/>
  <c r="AA77" i="16" s="1"/>
  <c r="AG43" i="16" s="1"/>
  <c r="K206" i="16"/>
  <c r="S132" i="8"/>
  <c r="T132" i="8" s="1"/>
  <c r="AA33" i="8" s="1"/>
  <c r="T203" i="9"/>
  <c r="T189" i="9"/>
  <c r="BG100" i="9"/>
  <c r="BQ339" i="9" s="1"/>
  <c r="BQ101" i="9"/>
  <c r="M203" i="7"/>
  <c r="M188" i="7"/>
  <c r="N190" i="7"/>
  <c r="N199" i="7"/>
  <c r="L197" i="9"/>
  <c r="K203" i="9"/>
  <c r="K200" i="9"/>
  <c r="AC69" i="8"/>
  <c r="BF108" i="9"/>
  <c r="BQ313" i="9" s="1"/>
  <c r="BQ75" i="9"/>
  <c r="S198" i="16"/>
  <c r="AA137" i="16" s="1"/>
  <c r="AI35" i="16" s="1"/>
  <c r="M198" i="16"/>
  <c r="S193" i="16"/>
  <c r="M193" i="16"/>
  <c r="BG96" i="9"/>
  <c r="BQ335" i="9" s="1"/>
  <c r="BQ97" i="9"/>
  <c r="AM24" i="18"/>
  <c r="BO178" i="9"/>
  <c r="BO280" i="9"/>
  <c r="BI45" i="9"/>
  <c r="BO416" i="9" s="1"/>
  <c r="BO110" i="9"/>
  <c r="BG45" i="9"/>
  <c r="BO348" i="9" s="1"/>
  <c r="BO246" i="9"/>
  <c r="BK45" i="9"/>
  <c r="BO484" i="9" s="1"/>
  <c r="BO144" i="9"/>
  <c r="BH45" i="9"/>
  <c r="BO382" i="9" s="1"/>
  <c r="BO212" i="9"/>
  <c r="BJ45" i="9"/>
  <c r="BO450" i="9" s="1"/>
  <c r="BO76" i="9"/>
  <c r="BF45" i="9"/>
  <c r="BO314" i="9" s="1"/>
  <c r="X117" i="8"/>
  <c r="S27" i="8"/>
  <c r="T27" i="8" s="1"/>
  <c r="X24" i="8" s="1"/>
  <c r="S28" i="8"/>
  <c r="T28" i="8" s="1"/>
  <c r="X25" i="8" s="1"/>
  <c r="X118" i="8"/>
  <c r="S29" i="8"/>
  <c r="T29" i="8" s="1"/>
  <c r="X26" i="8" s="1"/>
  <c r="X119" i="8"/>
  <c r="S33" i="8"/>
  <c r="T33" i="8" s="1"/>
  <c r="X30" i="8" s="1"/>
  <c r="X121" i="8"/>
  <c r="S31" i="8"/>
  <c r="T31" i="8" s="1"/>
  <c r="X28" i="8" s="1"/>
  <c r="X120" i="8"/>
  <c r="S30" i="8"/>
  <c r="T30" i="8" s="1"/>
  <c r="X27" i="8" s="1"/>
  <c r="X122" i="8"/>
  <c r="S32" i="8"/>
  <c r="T32" i="8" s="1"/>
  <c r="X29" i="8" s="1"/>
  <c r="AL26" i="19"/>
  <c r="AN26" i="19" s="1"/>
  <c r="AD34" i="10" s="1"/>
  <c r="AN34" i="19"/>
  <c r="AD42" i="10" s="1"/>
  <c r="AL30" i="19"/>
  <c r="D38" i="10" s="1"/>
  <c r="AL33" i="19"/>
  <c r="AN33" i="19" s="1"/>
  <c r="AD41" i="10" s="1"/>
  <c r="AN32" i="19"/>
  <c r="AD40" i="10" s="1"/>
  <c r="D36" i="10"/>
  <c r="D39" i="10"/>
  <c r="AN31" i="19"/>
  <c r="AD39" i="10" s="1"/>
  <c r="N50" i="19"/>
  <c r="AE47" i="19"/>
  <c r="AN29" i="19"/>
  <c r="AD37" i="10" s="1"/>
  <c r="D37" i="10"/>
  <c r="R131" i="18"/>
  <c r="S131" i="18" s="1"/>
  <c r="T131" i="18" s="1"/>
  <c r="AI29" i="18" s="1"/>
  <c r="AN27" i="19"/>
  <c r="AD35" i="10" s="1"/>
  <c r="D35" i="10"/>
  <c r="AB41" i="19"/>
  <c r="AE68" i="19" s="1"/>
  <c r="AL35" i="19" s="1"/>
  <c r="D43" i="10" s="1"/>
  <c r="R65" i="18"/>
  <c r="S65" i="18" s="1"/>
  <c r="T65" i="18" s="1"/>
  <c r="AG29" i="18" s="1"/>
  <c r="M39" i="7"/>
  <c r="M132" i="18"/>
  <c r="Z44" i="4"/>
  <c r="R97" i="18"/>
  <c r="S97" i="18" s="1"/>
  <c r="T97" i="18" s="1"/>
  <c r="AH28" i="18" s="1"/>
  <c r="R34" i="18"/>
  <c r="S34" i="18" s="1"/>
  <c r="T34" i="18" s="1"/>
  <c r="AF31" i="18" s="1"/>
  <c r="N39" i="7"/>
  <c r="AA42" i="19"/>
  <c r="AM26" i="18"/>
  <c r="M66" i="18"/>
  <c r="N98" i="18"/>
  <c r="E40" i="7"/>
  <c r="B41" i="7"/>
  <c r="G40" i="7"/>
  <c r="J40" i="7"/>
  <c r="D40" i="7"/>
  <c r="L40" i="7"/>
  <c r="K40" i="7"/>
  <c r="F40" i="7"/>
  <c r="I40" i="7"/>
  <c r="C40" i="7"/>
  <c r="H40" i="7"/>
  <c r="O40" i="7"/>
  <c r="T40" i="7"/>
  <c r="W71" i="7" s="1"/>
  <c r="N132" i="18"/>
  <c r="Q35" i="8"/>
  <c r="X94" i="8" s="1"/>
  <c r="AG94" i="8" s="1"/>
  <c r="AE94" i="8" s="1"/>
  <c r="V32" i="4"/>
  <c r="AE31" i="4"/>
  <c r="X41" i="10" s="1"/>
  <c r="M98" i="18"/>
  <c r="B100" i="18"/>
  <c r="L99" i="18"/>
  <c r="O99" i="18"/>
  <c r="H99" i="18"/>
  <c r="P99" i="18"/>
  <c r="C99" i="18"/>
  <c r="Q99" i="18"/>
  <c r="G99" i="18"/>
  <c r="K99" i="18"/>
  <c r="D99" i="18"/>
  <c r="M35" i="18"/>
  <c r="R35" i="8"/>
  <c r="X125" i="8" s="1"/>
  <c r="N66" i="18"/>
  <c r="N35" i="18"/>
  <c r="AG28" i="18"/>
  <c r="Y28" i="10"/>
  <c r="H133" i="18"/>
  <c r="C133" i="18"/>
  <c r="B134" i="18"/>
  <c r="K133" i="18"/>
  <c r="G133" i="18"/>
  <c r="D133" i="18"/>
  <c r="L133" i="18"/>
  <c r="I133" i="18"/>
  <c r="P133" i="18"/>
  <c r="O133" i="18"/>
  <c r="E133" i="18"/>
  <c r="J133" i="18"/>
  <c r="F133" i="18"/>
  <c r="Q133" i="18"/>
  <c r="AX31" i="10"/>
  <c r="AY31" i="10" s="1"/>
  <c r="AE21" i="4"/>
  <c r="X31" i="10" s="1"/>
  <c r="Y31" i="10" s="1"/>
  <c r="AE22" i="4"/>
  <c r="X32" i="10" s="1"/>
  <c r="Y32" i="10" s="1"/>
  <c r="AX32" i="10"/>
  <c r="AY32" i="10" s="1"/>
  <c r="AX30" i="10"/>
  <c r="AE20" i="4"/>
  <c r="AD44" i="4"/>
  <c r="B37" i="8"/>
  <c r="I36" i="8"/>
  <c r="M36" i="8"/>
  <c r="C36" i="8"/>
  <c r="F36" i="8"/>
  <c r="N36" i="8"/>
  <c r="L36" i="8"/>
  <c r="D36" i="8"/>
  <c r="J36" i="8"/>
  <c r="O36" i="8"/>
  <c r="E36" i="8"/>
  <c r="K36" i="8"/>
  <c r="G36" i="18"/>
  <c r="D36" i="18"/>
  <c r="B37" i="18"/>
  <c r="K36" i="18"/>
  <c r="P36" i="18"/>
  <c r="O36" i="18"/>
  <c r="H36" i="18"/>
  <c r="L36" i="18"/>
  <c r="C36" i="18"/>
  <c r="Q36" i="18"/>
  <c r="K67" i="18"/>
  <c r="B68" i="18"/>
  <c r="G67" i="18"/>
  <c r="D67" i="18"/>
  <c r="H67" i="18"/>
  <c r="O67" i="18"/>
  <c r="P67" i="18"/>
  <c r="C67" i="18"/>
  <c r="L67" i="18"/>
  <c r="Q67" i="18"/>
  <c r="BH158" i="9" l="1"/>
  <c r="BS367" i="9" s="1"/>
  <c r="BS173" i="9"/>
  <c r="BJ168" i="9"/>
  <c r="BS445" i="9" s="1"/>
  <c r="BO281" i="9"/>
  <c r="BS172" i="9"/>
  <c r="BI162" i="9"/>
  <c r="BS405" i="9" s="1"/>
  <c r="BS67" i="9"/>
  <c r="BS93" i="9"/>
  <c r="AA79" i="7"/>
  <c r="AE190" i="9"/>
  <c r="BT95" i="9" s="1"/>
  <c r="T176" i="7"/>
  <c r="P197" i="7"/>
  <c r="Q197" i="7" s="1"/>
  <c r="R197" i="7" s="1"/>
  <c r="AB34" i="7" s="1"/>
  <c r="AD34" i="7" s="1"/>
  <c r="AF34" i="7" s="1"/>
  <c r="T189" i="7"/>
  <c r="AB60" i="7" s="1"/>
  <c r="AH26" i="7" s="1"/>
  <c r="S34" i="8"/>
  <c r="T34" i="8" s="1"/>
  <c r="X31" i="8" s="1"/>
  <c r="P35" i="8"/>
  <c r="X63" i="8" s="1"/>
  <c r="AH191" i="9"/>
  <c r="BJ191" i="9" s="1"/>
  <c r="BT436" i="9" s="1"/>
  <c r="BS176" i="9"/>
  <c r="T203" i="7"/>
  <c r="AB74" i="7" s="1"/>
  <c r="AI198" i="9"/>
  <c r="BK198" i="9" s="1"/>
  <c r="BT477" i="9" s="1"/>
  <c r="N210" i="16"/>
  <c r="O210" i="16" s="1"/>
  <c r="AA47" i="16" s="1"/>
  <c r="AC47" i="16" s="1"/>
  <c r="AE47" i="16" s="1"/>
  <c r="AF51" i="10" s="1"/>
  <c r="G36" i="8"/>
  <c r="BS211" i="9"/>
  <c r="N207" i="16"/>
  <c r="O207" i="16" s="1"/>
  <c r="AA44" i="16" s="1"/>
  <c r="AC44" i="16" s="1"/>
  <c r="AE44" i="16" s="1"/>
  <c r="AF48" i="10" s="1"/>
  <c r="N206" i="16"/>
  <c r="O206" i="16" s="1"/>
  <c r="AA43" i="16" s="1"/>
  <c r="AC43" i="16" s="1"/>
  <c r="N208" i="16"/>
  <c r="O208" i="16" s="1"/>
  <c r="AA45" i="16" s="1"/>
  <c r="AC45" i="16" s="1"/>
  <c r="F49" i="10" s="1"/>
  <c r="N203" i="16"/>
  <c r="O203" i="16" s="1"/>
  <c r="AA40" i="16" s="1"/>
  <c r="AC40" i="16" s="1"/>
  <c r="AE40" i="16" s="1"/>
  <c r="AF44" i="10" s="1"/>
  <c r="N209" i="16"/>
  <c r="O209" i="16" s="1"/>
  <c r="AA46" i="16" s="1"/>
  <c r="AC46" i="16" s="1"/>
  <c r="F50" i="10" s="1"/>
  <c r="N197" i="16"/>
  <c r="O197" i="16" s="1"/>
  <c r="AA34" i="16" s="1"/>
  <c r="AC34" i="16" s="1"/>
  <c r="AE34" i="16" s="1"/>
  <c r="AF38" i="10" s="1"/>
  <c r="N198" i="16"/>
  <c r="O198" i="16" s="1"/>
  <c r="AA35" i="16" s="1"/>
  <c r="AC35" i="16" s="1"/>
  <c r="T187" i="7"/>
  <c r="AB58" i="7" s="1"/>
  <c r="T197" i="7"/>
  <c r="AB68" i="7" s="1"/>
  <c r="AH34" i="7" s="1"/>
  <c r="T205" i="7"/>
  <c r="AB76" i="7" s="1"/>
  <c r="BS92" i="9"/>
  <c r="BS202" i="9"/>
  <c r="AI189" i="9"/>
  <c r="BK189" i="9" s="1"/>
  <c r="BT468" i="9" s="1"/>
  <c r="AA169" i="9"/>
  <c r="AB169" i="9" s="1"/>
  <c r="BS38" i="9" s="1"/>
  <c r="BG168" i="9"/>
  <c r="BS343" i="9" s="1"/>
  <c r="BS75" i="9"/>
  <c r="T199" i="7"/>
  <c r="AB70" i="7" s="1"/>
  <c r="AH36" i="7" s="1"/>
  <c r="H36" i="8"/>
  <c r="BS74" i="9"/>
  <c r="AG205" i="9"/>
  <c r="BT178" i="9" s="1"/>
  <c r="BF160" i="9"/>
  <c r="BS301" i="9" s="1"/>
  <c r="BS140" i="9"/>
  <c r="AA158" i="9"/>
  <c r="AB158" i="9" s="1"/>
  <c r="BS27" i="9" s="1"/>
  <c r="BS136" i="9"/>
  <c r="AA155" i="9"/>
  <c r="AB155" i="9" s="1"/>
  <c r="BS24" i="9" s="1"/>
  <c r="BS162" i="9"/>
  <c r="T202" i="7"/>
  <c r="AB73" i="7" s="1"/>
  <c r="T196" i="7"/>
  <c r="AB67" i="7" s="1"/>
  <c r="AH33" i="7" s="1"/>
  <c r="T190" i="7"/>
  <c r="AB61" i="7" s="1"/>
  <c r="AH27" i="7" s="1"/>
  <c r="BS139" i="9"/>
  <c r="T191" i="7"/>
  <c r="AB62" i="7" s="1"/>
  <c r="AH28" i="7" s="1"/>
  <c r="T200" i="7"/>
  <c r="AB71" i="7" s="1"/>
  <c r="AH37" i="7" s="1"/>
  <c r="P206" i="7"/>
  <c r="Q206" i="7" s="1"/>
  <c r="R206" i="7" s="1"/>
  <c r="AB43" i="7" s="1"/>
  <c r="T206" i="7"/>
  <c r="AB77" i="7" s="1"/>
  <c r="T188" i="7"/>
  <c r="AB59" i="7" s="1"/>
  <c r="AH25" i="7" s="1"/>
  <c r="T194" i="7"/>
  <c r="AB65" i="7" s="1"/>
  <c r="AH31" i="7" s="1"/>
  <c r="T195" i="7"/>
  <c r="AB66" i="7" s="1"/>
  <c r="AH32" i="7" s="1"/>
  <c r="T201" i="7"/>
  <c r="AB72" i="7" s="1"/>
  <c r="T198" i="7"/>
  <c r="AB69" i="7" s="1"/>
  <c r="AH35" i="7" s="1"/>
  <c r="T204" i="7"/>
  <c r="AB75" i="7" s="1"/>
  <c r="T193" i="7"/>
  <c r="AB64" i="7" s="1"/>
  <c r="AH30" i="7" s="1"/>
  <c r="T192" i="7"/>
  <c r="AB63" i="7" s="1"/>
  <c r="AH29" i="7" s="1"/>
  <c r="AA159" i="9"/>
  <c r="AB159" i="9" s="1"/>
  <c r="BS28" i="9" s="1"/>
  <c r="BJ171" i="9"/>
  <c r="BS448" i="9" s="1"/>
  <c r="BH162" i="9"/>
  <c r="BS371" i="9" s="1"/>
  <c r="AG201" i="9"/>
  <c r="BT174" i="9" s="1"/>
  <c r="AG203" i="9"/>
  <c r="BI203" i="9" s="1"/>
  <c r="BT414" i="9" s="1"/>
  <c r="CJ40" i="9" s="1"/>
  <c r="AI197" i="9"/>
  <c r="BK197" i="9" s="1"/>
  <c r="BT476" i="9" s="1"/>
  <c r="AE187" i="9"/>
  <c r="BT92" i="9" s="1"/>
  <c r="AG194" i="9"/>
  <c r="BI194" i="9" s="1"/>
  <c r="BT405" i="9" s="1"/>
  <c r="BS178" i="9"/>
  <c r="AG62" i="8"/>
  <c r="AE62" i="8" s="1"/>
  <c r="R176" i="7"/>
  <c r="BS245" i="9"/>
  <c r="AE193" i="9"/>
  <c r="BT98" i="9" s="1"/>
  <c r="BR45" i="9"/>
  <c r="AB144" i="9"/>
  <c r="P188" i="7"/>
  <c r="Q188" i="7" s="1"/>
  <c r="R188" i="7" s="1"/>
  <c r="AB25" i="7" s="1"/>
  <c r="AD25" i="7" s="1"/>
  <c r="C35" i="10" s="1"/>
  <c r="AG202" i="9"/>
  <c r="BI202" i="9" s="1"/>
  <c r="BT413" i="9" s="1"/>
  <c r="AA165" i="9"/>
  <c r="AB165" i="9" s="1"/>
  <c r="BS34" i="9" s="1"/>
  <c r="BS229" i="9"/>
  <c r="BS247" i="9"/>
  <c r="AD200" i="9"/>
  <c r="BT71" i="9" s="1"/>
  <c r="Q193" i="9"/>
  <c r="AA193" i="9" s="1"/>
  <c r="AB193" i="9" s="1"/>
  <c r="BT30" i="9" s="1"/>
  <c r="BV30" i="9" s="1"/>
  <c r="BS204" i="9"/>
  <c r="R187" i="9"/>
  <c r="AA187" i="9" s="1"/>
  <c r="AB187" i="9" s="1"/>
  <c r="BT24" i="9" s="1"/>
  <c r="BH171" i="9"/>
  <c r="BS380" i="9" s="1"/>
  <c r="P200" i="7"/>
  <c r="Q200" i="7" s="1"/>
  <c r="R200" i="7" s="1"/>
  <c r="AB37" i="7" s="1"/>
  <c r="BI170" i="9"/>
  <c r="BS413" i="9" s="1"/>
  <c r="BS242" i="9"/>
  <c r="BS240" i="9"/>
  <c r="BS160" i="9"/>
  <c r="AD204" i="9"/>
  <c r="BF204" i="9" s="1"/>
  <c r="BT313" i="9" s="1"/>
  <c r="CG41" i="9" s="1"/>
  <c r="BS205" i="9"/>
  <c r="BQ45" i="9"/>
  <c r="AB112" i="9"/>
  <c r="BS108" i="9"/>
  <c r="AF195" i="9"/>
  <c r="BH195" i="9" s="1"/>
  <c r="BT372" i="9" s="1"/>
  <c r="BS130" i="9"/>
  <c r="P203" i="7"/>
  <c r="Q203" i="7" s="1"/>
  <c r="R203" i="7" s="1"/>
  <c r="AB40" i="7" s="1"/>
  <c r="AG192" i="9"/>
  <c r="BI192" i="9" s="1"/>
  <c r="BT403" i="9" s="1"/>
  <c r="AJ199" i="9"/>
  <c r="BT274" i="9" s="1"/>
  <c r="CF36" i="9" s="1"/>
  <c r="P204" i="7"/>
  <c r="Q204" i="7" s="1"/>
  <c r="R204" i="7" s="1"/>
  <c r="AB41" i="7" s="1"/>
  <c r="BS161" i="9"/>
  <c r="BS164" i="9"/>
  <c r="AH188" i="9"/>
  <c r="BJ188" i="9" s="1"/>
  <c r="BT433" i="9" s="1"/>
  <c r="BS228" i="9"/>
  <c r="BR317" i="9"/>
  <c r="BS177" i="9"/>
  <c r="P39" i="7"/>
  <c r="Q39" i="7" s="1"/>
  <c r="R39" i="7" s="1"/>
  <c r="W36" i="7" s="1"/>
  <c r="P196" i="7"/>
  <c r="Q196" i="7" s="1"/>
  <c r="R196" i="7" s="1"/>
  <c r="AB33" i="7" s="1"/>
  <c r="AD33" i="7" s="1"/>
  <c r="AF33" i="7" s="1"/>
  <c r="P201" i="7"/>
  <c r="Q201" i="7" s="1"/>
  <c r="R201" i="7" s="1"/>
  <c r="AB38" i="7" s="1"/>
  <c r="AF203" i="9"/>
  <c r="BH203" i="9" s="1"/>
  <c r="BT380" i="9" s="1"/>
  <c r="BQ79" i="9"/>
  <c r="AH189" i="9"/>
  <c r="BT196" i="9" s="1"/>
  <c r="AI203" i="9"/>
  <c r="BK203" i="9" s="1"/>
  <c r="BT482" i="9" s="1"/>
  <c r="AH203" i="9"/>
  <c r="BJ203" i="9" s="1"/>
  <c r="BT448" i="9" s="1"/>
  <c r="AJ189" i="9"/>
  <c r="BT264" i="9" s="1"/>
  <c r="CF26" i="9" s="1"/>
  <c r="BR79" i="9"/>
  <c r="AE203" i="9"/>
  <c r="BT108" i="9" s="1"/>
  <c r="AF193" i="9"/>
  <c r="BH193" i="9" s="1"/>
  <c r="BT370" i="9" s="1"/>
  <c r="AG195" i="9"/>
  <c r="BI195" i="9" s="1"/>
  <c r="BT406" i="9" s="1"/>
  <c r="AH195" i="9"/>
  <c r="BT202" i="9" s="1"/>
  <c r="Q203" i="9"/>
  <c r="AA203" i="9" s="1"/>
  <c r="AB203" i="9" s="1"/>
  <c r="BT40" i="9" s="1"/>
  <c r="BV40" i="9" s="1"/>
  <c r="AD203" i="9"/>
  <c r="BF203" i="9" s="1"/>
  <c r="BT312" i="9" s="1"/>
  <c r="CG40" i="9" s="1"/>
  <c r="R192" i="9"/>
  <c r="AD193" i="9"/>
  <c r="BF193" i="9" s="1"/>
  <c r="BT302" i="9" s="1"/>
  <c r="CG30" i="9" s="1"/>
  <c r="R197" i="9"/>
  <c r="AA197" i="9" s="1"/>
  <c r="AB197" i="9" s="1"/>
  <c r="BT34" i="9" s="1"/>
  <c r="P193" i="7"/>
  <c r="Q193" i="7" s="1"/>
  <c r="R193" i="7" s="1"/>
  <c r="AB30" i="7" s="1"/>
  <c r="AD30" i="7" s="1"/>
  <c r="AF30" i="7" s="1"/>
  <c r="BS197" i="9"/>
  <c r="AJ200" i="9"/>
  <c r="BT275" i="9" s="1"/>
  <c r="CF37" i="9" s="1"/>
  <c r="AF200" i="9"/>
  <c r="BT139" i="9" s="1"/>
  <c r="P205" i="7"/>
  <c r="Q205" i="7" s="1"/>
  <c r="R205" i="7" s="1"/>
  <c r="AB42" i="7" s="1"/>
  <c r="AD189" i="9"/>
  <c r="BT60" i="9" s="1"/>
  <c r="R194" i="9"/>
  <c r="AA194" i="9" s="1"/>
  <c r="AB194" i="9" s="1"/>
  <c r="BT31" i="9" s="1"/>
  <c r="BV31" i="9" s="1"/>
  <c r="AG198" i="9"/>
  <c r="BI198" i="9" s="1"/>
  <c r="BT409" i="9" s="1"/>
  <c r="P190" i="7"/>
  <c r="Q190" i="7" s="1"/>
  <c r="R190" i="7" s="1"/>
  <c r="AB27" i="7" s="1"/>
  <c r="AD27" i="7" s="1"/>
  <c r="AF27" i="7" s="1"/>
  <c r="AC37" i="10" s="1"/>
  <c r="P192" i="7"/>
  <c r="Q192" i="7" s="1"/>
  <c r="R192" i="7" s="1"/>
  <c r="AB29" i="7" s="1"/>
  <c r="AD29" i="7" s="1"/>
  <c r="AF29" i="7" s="1"/>
  <c r="Q189" i="9"/>
  <c r="AA189" i="9" s="1"/>
  <c r="AB189" i="9" s="1"/>
  <c r="BT26" i="9" s="1"/>
  <c r="BV26" i="9" s="1"/>
  <c r="AF192" i="9"/>
  <c r="BH192" i="9" s="1"/>
  <c r="BT369" i="9" s="1"/>
  <c r="AJ204" i="9"/>
  <c r="BT279" i="9" s="1"/>
  <c r="CF41" i="9" s="1"/>
  <c r="P195" i="7"/>
  <c r="Q195" i="7" s="1"/>
  <c r="R195" i="7" s="1"/>
  <c r="AB32" i="7" s="1"/>
  <c r="AD32" i="7" s="1"/>
  <c r="AF32" i="7" s="1"/>
  <c r="AE200" i="9"/>
  <c r="BG200" i="9" s="1"/>
  <c r="BT343" i="9" s="1"/>
  <c r="Q198" i="9"/>
  <c r="AA198" i="9" s="1"/>
  <c r="AB198" i="9" s="1"/>
  <c r="BT35" i="9" s="1"/>
  <c r="BV35" i="9" s="1"/>
  <c r="G45" i="10" s="1"/>
  <c r="AI188" i="9"/>
  <c r="BK188" i="9" s="1"/>
  <c r="BT467" i="9" s="1"/>
  <c r="CL25" i="9" s="1"/>
  <c r="AG176" i="9"/>
  <c r="P187" i="7"/>
  <c r="Q187" i="7" s="1"/>
  <c r="R187" i="7" s="1"/>
  <c r="AB24" i="7" s="1"/>
  <c r="AJ198" i="9"/>
  <c r="BT273" i="9" s="1"/>
  <c r="CF35" i="9" s="1"/>
  <c r="AG189" i="9"/>
  <c r="BI189" i="9" s="1"/>
  <c r="BT400" i="9" s="1"/>
  <c r="CJ26" i="9" s="1"/>
  <c r="P189" i="7"/>
  <c r="Q189" i="7" s="1"/>
  <c r="R189" i="7" s="1"/>
  <c r="AB26" i="7" s="1"/>
  <c r="AD26" i="7" s="1"/>
  <c r="AF26" i="7" s="1"/>
  <c r="AC36" i="10" s="1"/>
  <c r="Q188" i="9"/>
  <c r="AA188" i="9" s="1"/>
  <c r="AB188" i="9" s="1"/>
  <c r="BT25" i="9" s="1"/>
  <c r="BV25" i="9" s="1"/>
  <c r="AE196" i="9"/>
  <c r="BG196" i="9" s="1"/>
  <c r="BT339" i="9" s="1"/>
  <c r="AJ203" i="9"/>
  <c r="BT278" i="9" s="1"/>
  <c r="CF40" i="9" s="1"/>
  <c r="AH198" i="9"/>
  <c r="BJ198" i="9" s="1"/>
  <c r="BT443" i="9" s="1"/>
  <c r="CK35" i="9" s="1"/>
  <c r="AH206" i="9"/>
  <c r="BJ206" i="9" s="1"/>
  <c r="BT451" i="9" s="1"/>
  <c r="AF189" i="9"/>
  <c r="BH189" i="9" s="1"/>
  <c r="BT366" i="9" s="1"/>
  <c r="P194" i="7"/>
  <c r="Q194" i="7" s="1"/>
  <c r="R194" i="7" s="1"/>
  <c r="AB31" i="7" s="1"/>
  <c r="AD31" i="7" s="1"/>
  <c r="AF31" i="7" s="1"/>
  <c r="AI193" i="9"/>
  <c r="BK193" i="9" s="1"/>
  <c r="BT472" i="9" s="1"/>
  <c r="Q190" i="9"/>
  <c r="AA190" i="9" s="1"/>
  <c r="AB190" i="9" s="1"/>
  <c r="BT27" i="9" s="1"/>
  <c r="AD201" i="9"/>
  <c r="BF201" i="9" s="1"/>
  <c r="BT310" i="9" s="1"/>
  <c r="R191" i="9"/>
  <c r="AE188" i="9"/>
  <c r="BG188" i="9" s="1"/>
  <c r="BT331" i="9" s="1"/>
  <c r="CH25" i="9" s="1"/>
  <c r="AE176" i="9"/>
  <c r="BR147" i="9"/>
  <c r="AE189" i="9"/>
  <c r="BG189" i="9" s="1"/>
  <c r="BT332" i="9" s="1"/>
  <c r="AD194" i="9"/>
  <c r="BF194" i="9" s="1"/>
  <c r="BT303" i="9" s="1"/>
  <c r="AF191" i="9"/>
  <c r="BH191" i="9" s="1"/>
  <c r="BT368" i="9" s="1"/>
  <c r="CI28" i="9" s="1"/>
  <c r="P199" i="7"/>
  <c r="Q199" i="7" s="1"/>
  <c r="R199" i="7" s="1"/>
  <c r="AB36" i="7" s="1"/>
  <c r="AJ205" i="9"/>
  <c r="BT280" i="9" s="1"/>
  <c r="CF42" i="9" s="1"/>
  <c r="AH200" i="9"/>
  <c r="BJ200" i="9" s="1"/>
  <c r="BT445" i="9" s="1"/>
  <c r="AG200" i="9"/>
  <c r="BT173" i="9" s="1"/>
  <c r="BR215" i="9"/>
  <c r="P191" i="7"/>
  <c r="Q191" i="7" s="1"/>
  <c r="R191" i="7" s="1"/>
  <c r="AB28" i="7" s="1"/>
  <c r="AD28" i="7" s="1"/>
  <c r="AF28" i="7" s="1"/>
  <c r="Q204" i="9"/>
  <c r="AI200" i="9"/>
  <c r="BK200" i="9" s="1"/>
  <c r="BT479" i="9" s="1"/>
  <c r="AF198" i="9"/>
  <c r="P198" i="7"/>
  <c r="Q198" i="7" s="1"/>
  <c r="R198" i="7" s="1"/>
  <c r="AB35" i="7" s="1"/>
  <c r="AD35" i="7" s="1"/>
  <c r="AF35" i="7" s="1"/>
  <c r="P202" i="7"/>
  <c r="Q202" i="7" s="1"/>
  <c r="R202" i="7" s="1"/>
  <c r="AB39" i="7" s="1"/>
  <c r="AH193" i="9"/>
  <c r="BJ193" i="9" s="1"/>
  <c r="BT438" i="9" s="1"/>
  <c r="AH204" i="9"/>
  <c r="BJ204" i="9" s="1"/>
  <c r="BT449" i="9" s="1"/>
  <c r="CK41" i="9" s="1"/>
  <c r="AA206" i="9"/>
  <c r="AB206" i="9" s="1"/>
  <c r="BT43" i="9" s="1"/>
  <c r="BV43" i="9" s="1"/>
  <c r="BG190" i="9"/>
  <c r="BT333" i="9" s="1"/>
  <c r="Z153" i="16"/>
  <c r="BS330" i="9"/>
  <c r="BH170" i="9"/>
  <c r="BS379" i="9" s="1"/>
  <c r="BS141" i="9"/>
  <c r="AF206" i="9"/>
  <c r="BK162" i="9"/>
  <c r="BS473" i="9" s="1"/>
  <c r="BS235" i="9"/>
  <c r="BG160" i="9"/>
  <c r="BS335" i="9" s="1"/>
  <c r="BS97" i="9"/>
  <c r="BF144" i="9"/>
  <c r="BK164" i="9"/>
  <c r="BS475" i="9" s="1"/>
  <c r="BS237" i="9"/>
  <c r="AD190" i="9"/>
  <c r="O182" i="16"/>
  <c r="Z30" i="16"/>
  <c r="Z51" i="16" s="1"/>
  <c r="AH202" i="9"/>
  <c r="Q195" i="9"/>
  <c r="AA195" i="9" s="1"/>
  <c r="AB195" i="9" s="1"/>
  <c r="BT32" i="9" s="1"/>
  <c r="BV32" i="9" s="1"/>
  <c r="AB135" i="8"/>
  <c r="S173" i="8"/>
  <c r="T173" i="8" s="1"/>
  <c r="AB42" i="8" s="1"/>
  <c r="AG188" i="9"/>
  <c r="BR249" i="9"/>
  <c r="AD205" i="9"/>
  <c r="R204" i="9"/>
  <c r="AH187" i="9"/>
  <c r="AD196" i="9"/>
  <c r="BK168" i="9"/>
  <c r="BS479" i="9" s="1"/>
  <c r="BS241" i="9"/>
  <c r="BG169" i="9"/>
  <c r="BS344" i="9" s="1"/>
  <c r="BS106" i="9"/>
  <c r="AI194" i="9"/>
  <c r="N204" i="16"/>
  <c r="O204" i="16" s="1"/>
  <c r="AA41" i="16" s="1"/>
  <c r="AC41" i="16" s="1"/>
  <c r="AE206" i="9"/>
  <c r="S214" i="16"/>
  <c r="AA132" i="16"/>
  <c r="AA153" i="16" s="1"/>
  <c r="Q200" i="9"/>
  <c r="AA200" i="9" s="1"/>
  <c r="AB200" i="9" s="1"/>
  <c r="BT37" i="9" s="1"/>
  <c r="BV37" i="9" s="1"/>
  <c r="AD198" i="9"/>
  <c r="AG206" i="9"/>
  <c r="BK170" i="9"/>
  <c r="BS481" i="9" s="1"/>
  <c r="BS243" i="9"/>
  <c r="AD199" i="9"/>
  <c r="R201" i="9"/>
  <c r="N212" i="16"/>
  <c r="O212" i="16" s="1"/>
  <c r="AA49" i="16" s="1"/>
  <c r="AC49" i="16" s="1"/>
  <c r="BF165" i="9"/>
  <c r="BS306" i="9" s="1"/>
  <c r="BS68" i="9"/>
  <c r="AG193" i="9"/>
  <c r="AH190" i="9"/>
  <c r="BI161" i="9"/>
  <c r="BS404" i="9" s="1"/>
  <c r="BS166" i="9"/>
  <c r="AE202" i="9"/>
  <c r="N211" i="16"/>
  <c r="O211" i="16" s="1"/>
  <c r="AA48" i="16" s="1"/>
  <c r="AC48" i="16" s="1"/>
  <c r="AD195" i="9"/>
  <c r="N199" i="16"/>
  <c r="O199" i="16" s="1"/>
  <c r="AA36" i="16" s="1"/>
  <c r="AC36" i="16" s="1"/>
  <c r="AB136" i="8"/>
  <c r="S174" i="8"/>
  <c r="T174" i="8" s="1"/>
  <c r="AB43" i="8" s="1"/>
  <c r="AF188" i="9"/>
  <c r="BK144" i="9"/>
  <c r="BR466" i="9"/>
  <c r="BR487" i="9" s="1"/>
  <c r="AI205" i="9"/>
  <c r="AD187" i="9"/>
  <c r="AI196" i="9"/>
  <c r="N202" i="16"/>
  <c r="O202" i="16" s="1"/>
  <c r="AA39" i="16" s="1"/>
  <c r="AC39" i="16" s="1"/>
  <c r="BH163" i="9"/>
  <c r="BS372" i="9" s="1"/>
  <c r="BS134" i="9"/>
  <c r="BK173" i="9"/>
  <c r="BS484" i="9" s="1"/>
  <c r="BS246" i="9"/>
  <c r="BI164" i="9"/>
  <c r="BS407" i="9" s="1"/>
  <c r="BS169" i="9"/>
  <c r="AJ191" i="9"/>
  <c r="BT266" i="9" s="1"/>
  <c r="CF28" i="9" s="1"/>
  <c r="BK166" i="9"/>
  <c r="BS477" i="9" s="1"/>
  <c r="BS239" i="9"/>
  <c r="BS398" i="9"/>
  <c r="AE198" i="9"/>
  <c r="BQ181" i="9"/>
  <c r="AI206" i="9"/>
  <c r="AF199" i="9"/>
  <c r="AJ193" i="9"/>
  <c r="BT268" i="9" s="1"/>
  <c r="CF30" i="9" s="1"/>
  <c r="AG190" i="9"/>
  <c r="AE201" i="9"/>
  <c r="AJ202" i="9"/>
  <c r="BT277" i="9" s="1"/>
  <c r="CF39" i="9" s="1"/>
  <c r="BG166" i="9"/>
  <c r="BS341" i="9" s="1"/>
  <c r="BS103" i="9"/>
  <c r="BG161" i="9"/>
  <c r="BS336" i="9" s="1"/>
  <c r="BS98" i="9"/>
  <c r="AI195" i="9"/>
  <c r="AB130" i="8"/>
  <c r="S168" i="8"/>
  <c r="T168" i="8" s="1"/>
  <c r="AB37" i="8" s="1"/>
  <c r="AB129" i="8"/>
  <c r="S167" i="8"/>
  <c r="T167" i="8" s="1"/>
  <c r="AB36" i="8" s="1"/>
  <c r="BK163" i="9"/>
  <c r="BS474" i="9" s="1"/>
  <c r="BS236" i="9"/>
  <c r="AE204" i="9"/>
  <c r="AF187" i="9"/>
  <c r="AF196" i="9"/>
  <c r="BH166" i="9"/>
  <c r="BS375" i="9" s="1"/>
  <c r="BS137" i="9"/>
  <c r="BP351" i="9"/>
  <c r="BH157" i="9"/>
  <c r="BS366" i="9" s="1"/>
  <c r="BS128" i="9"/>
  <c r="AD191" i="9"/>
  <c r="BQ215" i="9"/>
  <c r="T112" i="8"/>
  <c r="Z24" i="8"/>
  <c r="Z45" i="8" s="1"/>
  <c r="AG199" i="9"/>
  <c r="BH160" i="9"/>
  <c r="BS369" i="9" s="1"/>
  <c r="BS131" i="9"/>
  <c r="BI174" i="9"/>
  <c r="BS417" i="9" s="1"/>
  <c r="BS179" i="9"/>
  <c r="AI190" i="9"/>
  <c r="BF159" i="9"/>
  <c r="BS300" i="9" s="1"/>
  <c r="BS62" i="9"/>
  <c r="BP317" i="9"/>
  <c r="BF157" i="9"/>
  <c r="BS298" i="9" s="1"/>
  <c r="BS60" i="9"/>
  <c r="AH201" i="9"/>
  <c r="BF162" i="9"/>
  <c r="BS303" i="9" s="1"/>
  <c r="BS65" i="9"/>
  <c r="AJ192" i="9"/>
  <c r="BT267" i="9" s="1"/>
  <c r="CF29" i="9" s="1"/>
  <c r="AJ195" i="9"/>
  <c r="BT270" i="9" s="1"/>
  <c r="CF32" i="9" s="1"/>
  <c r="AB127" i="8"/>
  <c r="S165" i="8"/>
  <c r="T165" i="8" s="1"/>
  <c r="AB34" i="8" s="1"/>
  <c r="AB131" i="8"/>
  <c r="S169" i="8"/>
  <c r="T169" i="8" s="1"/>
  <c r="AB38" i="8" s="1"/>
  <c r="AE197" i="9"/>
  <c r="BH172" i="9"/>
  <c r="BS381" i="9" s="1"/>
  <c r="BS143" i="9"/>
  <c r="BK159" i="9"/>
  <c r="BS470" i="9" s="1"/>
  <c r="BS232" i="9"/>
  <c r="AG204" i="9"/>
  <c r="N201" i="16"/>
  <c r="O201" i="16" s="1"/>
  <c r="AA38" i="16" s="1"/>
  <c r="AC38" i="16" s="1"/>
  <c r="BR385" i="9"/>
  <c r="BR181" i="9"/>
  <c r="BK161" i="9"/>
  <c r="BS472" i="9" s="1"/>
  <c r="BS234" i="9"/>
  <c r="AE191" i="9"/>
  <c r="BJ144" i="9"/>
  <c r="BR432" i="9"/>
  <c r="BR453" i="9" s="1"/>
  <c r="BI112" i="9"/>
  <c r="BQ398" i="9"/>
  <c r="BQ419" i="9" s="1"/>
  <c r="Z138" i="8"/>
  <c r="BP385" i="9"/>
  <c r="N193" i="16"/>
  <c r="O193" i="16" s="1"/>
  <c r="K196" i="8"/>
  <c r="R196" i="8" s="1"/>
  <c r="K187" i="8"/>
  <c r="R187" i="8" s="1"/>
  <c r="K188" i="8"/>
  <c r="R188" i="8" s="1"/>
  <c r="K199" i="8"/>
  <c r="R199" i="8" s="1"/>
  <c r="K201" i="8"/>
  <c r="R201" i="8" s="1"/>
  <c r="K198" i="8"/>
  <c r="R198" i="8" s="1"/>
  <c r="K205" i="8"/>
  <c r="R205" i="8" s="1"/>
  <c r="K200" i="8"/>
  <c r="R200" i="8" s="1"/>
  <c r="K204" i="8"/>
  <c r="R204" i="8" s="1"/>
  <c r="K191" i="8"/>
  <c r="R191" i="8" s="1"/>
  <c r="K192" i="8"/>
  <c r="R192" i="8" s="1"/>
  <c r="K189" i="8"/>
  <c r="R189" i="8" s="1"/>
  <c r="K206" i="8"/>
  <c r="R206" i="8" s="1"/>
  <c r="K197" i="8"/>
  <c r="R197" i="8" s="1"/>
  <c r="K190" i="8"/>
  <c r="R190" i="8" s="1"/>
  <c r="K202" i="8"/>
  <c r="R202" i="8" s="1"/>
  <c r="K195" i="8"/>
  <c r="R195" i="8" s="1"/>
  <c r="K193" i="8"/>
  <c r="R193" i="8" s="1"/>
  <c r="K194" i="8"/>
  <c r="R194" i="8" s="1"/>
  <c r="K203" i="8"/>
  <c r="R203" i="8" s="1"/>
  <c r="R184" i="8"/>
  <c r="S184" i="8" s="1"/>
  <c r="T184" i="8" s="1"/>
  <c r="AH199" i="9"/>
  <c r="BI158" i="9"/>
  <c r="BS401" i="9" s="1"/>
  <c r="BS163" i="9"/>
  <c r="BF166" i="9"/>
  <c r="BS307" i="9" s="1"/>
  <c r="BS69" i="9"/>
  <c r="BI163" i="9"/>
  <c r="BS406" i="9" s="1"/>
  <c r="BS168" i="9"/>
  <c r="AJ201" i="9"/>
  <c r="BT276" i="9" s="1"/>
  <c r="CF38" i="9" s="1"/>
  <c r="AD202" i="9"/>
  <c r="Q192" i="9"/>
  <c r="AB117" i="8"/>
  <c r="S155" i="8"/>
  <c r="T155" i="8" s="1"/>
  <c r="AB133" i="8"/>
  <c r="S171" i="8"/>
  <c r="T171" i="8" s="1"/>
  <c r="AB40" i="8" s="1"/>
  <c r="AF197" i="9"/>
  <c r="AD188" i="9"/>
  <c r="BI165" i="9"/>
  <c r="BS408" i="9" s="1"/>
  <c r="BS170" i="9"/>
  <c r="BJ161" i="9"/>
  <c r="BS438" i="9" s="1"/>
  <c r="BS200" i="9"/>
  <c r="AF204" i="9"/>
  <c r="BR113" i="9"/>
  <c r="AI187" i="9"/>
  <c r="BH144" i="9"/>
  <c r="AI191" i="9"/>
  <c r="BJ112" i="9"/>
  <c r="BQ432" i="9"/>
  <c r="BJ169" i="9"/>
  <c r="BS446" i="9" s="1"/>
  <c r="BS208" i="9"/>
  <c r="Q214" i="16"/>
  <c r="AA64" i="16"/>
  <c r="AA85" i="16" s="1"/>
  <c r="AG51" i="16" s="1"/>
  <c r="C68" i="10" s="1"/>
  <c r="Q22" i="6" s="1"/>
  <c r="BK160" i="9"/>
  <c r="BS471" i="9" s="1"/>
  <c r="BS233" i="9"/>
  <c r="AE199" i="9"/>
  <c r="BJ189" i="9"/>
  <c r="BT434" i="9" s="1"/>
  <c r="BG157" i="9"/>
  <c r="BS332" i="9" s="1"/>
  <c r="BS94" i="9"/>
  <c r="Q201" i="9"/>
  <c r="AA45" i="7"/>
  <c r="AD192" i="9"/>
  <c r="AE195" i="9"/>
  <c r="AB126" i="8"/>
  <c r="S164" i="8"/>
  <c r="T164" i="8" s="1"/>
  <c r="AB33" i="8" s="1"/>
  <c r="AB132" i="8"/>
  <c r="S170" i="8"/>
  <c r="T170" i="8" s="1"/>
  <c r="AB39" i="8" s="1"/>
  <c r="AH197" i="9"/>
  <c r="AJ188" i="9"/>
  <c r="BT263" i="9" s="1"/>
  <c r="CF25" i="9" s="1"/>
  <c r="Q205" i="9"/>
  <c r="AI204" i="9"/>
  <c r="BG144" i="9"/>
  <c r="BR330" i="9"/>
  <c r="BR351" i="9" s="1"/>
  <c r="BS283" i="9"/>
  <c r="BJ164" i="9"/>
  <c r="BS441" i="9" s="1"/>
  <c r="BS203" i="9"/>
  <c r="BQ249" i="9"/>
  <c r="AJ187" i="9"/>
  <c r="BQ317" i="9"/>
  <c r="BI144" i="9"/>
  <c r="BR398" i="9"/>
  <c r="BR419" i="9" s="1"/>
  <c r="AE194" i="9"/>
  <c r="Q191" i="9"/>
  <c r="BG173" i="9"/>
  <c r="BS348" i="9" s="1"/>
  <c r="BS110" i="9"/>
  <c r="T80" i="8"/>
  <c r="Y24" i="8"/>
  <c r="Y45" i="8" s="1"/>
  <c r="BI169" i="9"/>
  <c r="BS412" i="9" s="1"/>
  <c r="BS174" i="9"/>
  <c r="BK165" i="9"/>
  <c r="BS476" i="9" s="1"/>
  <c r="BS238" i="9"/>
  <c r="BF174" i="9"/>
  <c r="BS315" i="9" s="1"/>
  <c r="BS77" i="9"/>
  <c r="BF168" i="9"/>
  <c r="BS309" i="9" s="1"/>
  <c r="BS71" i="9"/>
  <c r="BG165" i="9"/>
  <c r="BS340" i="9" s="1"/>
  <c r="BS102" i="9"/>
  <c r="BG162" i="9"/>
  <c r="BS337" i="9" s="1"/>
  <c r="BS99" i="9"/>
  <c r="AF202" i="9"/>
  <c r="AE192" i="9"/>
  <c r="BF173" i="9"/>
  <c r="BS314" i="9" s="1"/>
  <c r="BS76" i="9"/>
  <c r="AB122" i="8"/>
  <c r="S160" i="8"/>
  <c r="T160" i="8" s="1"/>
  <c r="AB29" i="8" s="1"/>
  <c r="AB118" i="8"/>
  <c r="S156" i="8"/>
  <c r="T156" i="8" s="1"/>
  <c r="AB25" i="8" s="1"/>
  <c r="AD197" i="9"/>
  <c r="AF205" i="9"/>
  <c r="AJ176" i="9"/>
  <c r="BJ157" i="9"/>
  <c r="BS434" i="9" s="1"/>
  <c r="BS196" i="9"/>
  <c r="BK112" i="9"/>
  <c r="BQ466" i="9"/>
  <c r="BQ487" i="9" s="1"/>
  <c r="AG196" i="9"/>
  <c r="BF112" i="9"/>
  <c r="AF194" i="9"/>
  <c r="AG191" i="9"/>
  <c r="BH173" i="9"/>
  <c r="BS382" i="9" s="1"/>
  <c r="BS144" i="9"/>
  <c r="Q199" i="9"/>
  <c r="AA199" i="9" s="1"/>
  <c r="AB199" i="9" s="1"/>
  <c r="BT36" i="9" s="1"/>
  <c r="BV36" i="9" s="1"/>
  <c r="AC76" i="8"/>
  <c r="BF169" i="9"/>
  <c r="BS310" i="9" s="1"/>
  <c r="BS72" i="9"/>
  <c r="AI202" i="9"/>
  <c r="BK157" i="9"/>
  <c r="BS468" i="9" s="1"/>
  <c r="BS230" i="9"/>
  <c r="AB120" i="8"/>
  <c r="S158" i="8"/>
  <c r="T158" i="8" s="1"/>
  <c r="AB27" i="8" s="1"/>
  <c r="AB119" i="8"/>
  <c r="S157" i="8"/>
  <c r="T157" i="8" s="1"/>
  <c r="AB26" i="8" s="1"/>
  <c r="AG197" i="9"/>
  <c r="AE205" i="9"/>
  <c r="BG174" i="9"/>
  <c r="BS349" i="9" s="1"/>
  <c r="BS111" i="9"/>
  <c r="BJ160" i="9"/>
  <c r="BS437" i="9" s="1"/>
  <c r="BS199" i="9"/>
  <c r="AH194" i="9"/>
  <c r="BS466" i="9"/>
  <c r="Y138" i="8"/>
  <c r="R205" i="9"/>
  <c r="AJ206" i="9"/>
  <c r="BT281" i="9" s="1"/>
  <c r="AI199" i="9"/>
  <c r="BJ162" i="9"/>
  <c r="BS439" i="9" s="1"/>
  <c r="BS201" i="9"/>
  <c r="BK158" i="9"/>
  <c r="BS469" i="9" s="1"/>
  <c r="BS231" i="9"/>
  <c r="AF190" i="9"/>
  <c r="BG170" i="9"/>
  <c r="BS345" i="9" s="1"/>
  <c r="BS107" i="9"/>
  <c r="BG158" i="9"/>
  <c r="BS333" i="9" s="1"/>
  <c r="BS95" i="9"/>
  <c r="AI201" i="9"/>
  <c r="BJ167" i="9"/>
  <c r="BS444" i="9" s="1"/>
  <c r="BS206" i="9"/>
  <c r="BF156" i="9"/>
  <c r="BS297" i="9" s="1"/>
  <c r="BS59" i="9"/>
  <c r="AI192" i="9"/>
  <c r="AB125" i="8"/>
  <c r="S163" i="8"/>
  <c r="T163" i="8" s="1"/>
  <c r="AB32" i="8" s="1"/>
  <c r="AB121" i="8"/>
  <c r="S159" i="8"/>
  <c r="T159" i="8" s="1"/>
  <c r="AB28" i="8" s="1"/>
  <c r="BQ147" i="9"/>
  <c r="AH196" i="9"/>
  <c r="BF167" i="9"/>
  <c r="BS308" i="9" s="1"/>
  <c r="BS70" i="9"/>
  <c r="AJ194" i="9"/>
  <c r="BT269" i="9" s="1"/>
  <c r="CF31" i="9" s="1"/>
  <c r="AA45" i="8"/>
  <c r="AI176" i="9"/>
  <c r="R214" i="16"/>
  <c r="AA98" i="16"/>
  <c r="BH198" i="9"/>
  <c r="BT375" i="9" s="1"/>
  <c r="BT137" i="9"/>
  <c r="AD206" i="9"/>
  <c r="BJ170" i="9"/>
  <c r="BS447" i="9" s="1"/>
  <c r="BS209" i="9"/>
  <c r="AJ190" i="9"/>
  <c r="BT265" i="9" s="1"/>
  <c r="CF27" i="9" s="1"/>
  <c r="N195" i="16"/>
  <c r="O195" i="16" s="1"/>
  <c r="AA32" i="16" s="1"/>
  <c r="AC32" i="16" s="1"/>
  <c r="BG164" i="9"/>
  <c r="BS339" i="9" s="1"/>
  <c r="BS101" i="9"/>
  <c r="AF201" i="9"/>
  <c r="AH176" i="9"/>
  <c r="BJ155" i="9"/>
  <c r="BS194" i="9"/>
  <c r="BF170" i="9"/>
  <c r="BS311" i="9" s="1"/>
  <c r="BS73" i="9"/>
  <c r="BF158" i="9"/>
  <c r="BS299" i="9" s="1"/>
  <c r="BS61" i="9"/>
  <c r="AH192" i="9"/>
  <c r="BQ113" i="9"/>
  <c r="AF176" i="9"/>
  <c r="BH155" i="9"/>
  <c r="BS126" i="9"/>
  <c r="AB134" i="8"/>
  <c r="S172" i="8"/>
  <c r="T172" i="8" s="1"/>
  <c r="AB41" i="8" s="1"/>
  <c r="AB128" i="8"/>
  <c r="S166" i="8"/>
  <c r="T166" i="8" s="1"/>
  <c r="AB35" i="8" s="1"/>
  <c r="AJ197" i="9"/>
  <c r="BT272" i="9" s="1"/>
  <c r="CF34" i="9" s="1"/>
  <c r="N200" i="16"/>
  <c r="O200" i="16" s="1"/>
  <c r="AA37" i="16" s="1"/>
  <c r="AC37" i="16" s="1"/>
  <c r="BH112" i="9"/>
  <c r="BQ364" i="9"/>
  <c r="BQ385" i="9" s="1"/>
  <c r="AH205" i="9"/>
  <c r="N196" i="16"/>
  <c r="O196" i="16" s="1"/>
  <c r="AA33" i="16" s="1"/>
  <c r="AC33" i="16" s="1"/>
  <c r="Y51" i="16"/>
  <c r="AG187" i="9"/>
  <c r="AJ196" i="9"/>
  <c r="BT271" i="9" s="1"/>
  <c r="CF33" i="9" s="1"/>
  <c r="BP487" i="9"/>
  <c r="BJ156" i="9"/>
  <c r="BS433" i="9" s="1"/>
  <c r="BS195" i="9"/>
  <c r="T144" i="8"/>
  <c r="R202" i="9"/>
  <c r="AA202" i="9" s="1"/>
  <c r="AB202" i="9" s="1"/>
  <c r="BT39" i="9" s="1"/>
  <c r="BV39" i="9" s="1"/>
  <c r="BH164" i="9"/>
  <c r="BS373" i="9" s="1"/>
  <c r="BS135" i="9"/>
  <c r="BH161" i="9"/>
  <c r="BS370" i="9" s="1"/>
  <c r="BS132" i="9"/>
  <c r="BH174" i="9"/>
  <c r="BS383" i="9" s="1"/>
  <c r="BS145" i="9"/>
  <c r="BP419" i="9"/>
  <c r="BJ174" i="9"/>
  <c r="BS451" i="9" s="1"/>
  <c r="BS213" i="9"/>
  <c r="BF163" i="9"/>
  <c r="BS304" i="9" s="1"/>
  <c r="BS66" i="9"/>
  <c r="BH156" i="9"/>
  <c r="BS365" i="9" s="1"/>
  <c r="BS127" i="9"/>
  <c r="AB123" i="8"/>
  <c r="S161" i="8"/>
  <c r="T161" i="8" s="1"/>
  <c r="AB30" i="8" s="1"/>
  <c r="BI160" i="9"/>
  <c r="BS403" i="9" s="1"/>
  <c r="BS165" i="9"/>
  <c r="AD176" i="9"/>
  <c r="BF155" i="9"/>
  <c r="BS58" i="9"/>
  <c r="BG172" i="9"/>
  <c r="BS347" i="9" s="1"/>
  <c r="BS109" i="9"/>
  <c r="BJ159" i="9"/>
  <c r="BS436" i="9" s="1"/>
  <c r="BS198" i="9"/>
  <c r="BK171" i="9"/>
  <c r="BS482" i="9" s="1"/>
  <c r="BS244" i="9"/>
  <c r="BH167" i="9"/>
  <c r="BS376" i="9" s="1"/>
  <c r="BS138" i="9"/>
  <c r="BJ173" i="9"/>
  <c r="BS450" i="9" s="1"/>
  <c r="BS212" i="9"/>
  <c r="N194" i="16"/>
  <c r="O194" i="16" s="1"/>
  <c r="AA31" i="16" s="1"/>
  <c r="AC31" i="16" s="1"/>
  <c r="BG112" i="9"/>
  <c r="BQ330" i="9"/>
  <c r="BQ351" i="9" s="1"/>
  <c r="BI166" i="9"/>
  <c r="BS409" i="9" s="1"/>
  <c r="BS171" i="9"/>
  <c r="AB124" i="8"/>
  <c r="S162" i="8"/>
  <c r="T162" i="8" s="1"/>
  <c r="AB31" i="8" s="1"/>
  <c r="BG167" i="9"/>
  <c r="BS342" i="9" s="1"/>
  <c r="BS104" i="9"/>
  <c r="N205" i="16"/>
  <c r="O205" i="16" s="1"/>
  <c r="AA42" i="16" s="1"/>
  <c r="AC42" i="16" s="1"/>
  <c r="AA196" i="9"/>
  <c r="AB196" i="9" s="1"/>
  <c r="BT33" i="9" s="1"/>
  <c r="BV33" i="9" s="1"/>
  <c r="BG159" i="9"/>
  <c r="BS334" i="9" s="1"/>
  <c r="BS96" i="9"/>
  <c r="R98" i="18"/>
  <c r="S98" i="18" s="1"/>
  <c r="T98" i="18" s="1"/>
  <c r="AH29" i="18" s="1"/>
  <c r="BO111" i="9"/>
  <c r="BG46" i="9"/>
  <c r="BO349" i="9" s="1"/>
  <c r="BO247" i="9"/>
  <c r="BK46" i="9"/>
  <c r="BO485" i="9" s="1"/>
  <c r="BO77" i="9"/>
  <c r="BF46" i="9"/>
  <c r="BO315" i="9" s="1"/>
  <c r="BO145" i="9"/>
  <c r="BH46" i="9"/>
  <c r="BO383" i="9" s="1"/>
  <c r="BO179" i="9"/>
  <c r="BI46" i="9"/>
  <c r="BO417" i="9" s="1"/>
  <c r="BO213" i="9"/>
  <c r="BJ46" i="9"/>
  <c r="BO451" i="9" s="1"/>
  <c r="D34" i="10"/>
  <c r="AN35" i="19"/>
  <c r="AD43" i="10" s="1"/>
  <c r="AN30" i="19"/>
  <c r="AD38" i="10" s="1"/>
  <c r="D41" i="10"/>
  <c r="R132" i="18"/>
  <c r="S132" i="18" s="1"/>
  <c r="T132" i="18" s="1"/>
  <c r="AI30" i="18" s="1"/>
  <c r="AB42" i="19"/>
  <c r="AE69" i="19" s="1"/>
  <c r="AL36" i="19" s="1"/>
  <c r="R66" i="18"/>
  <c r="S66" i="18" s="1"/>
  <c r="T66" i="18" s="1"/>
  <c r="AG30" i="18" s="1"/>
  <c r="M36" i="18"/>
  <c r="AA43" i="19"/>
  <c r="M40" i="7"/>
  <c r="N40" i="7"/>
  <c r="N99" i="18"/>
  <c r="I41" i="7"/>
  <c r="B42" i="7"/>
  <c r="G41" i="7"/>
  <c r="K41" i="7"/>
  <c r="J41" i="7"/>
  <c r="C41" i="7"/>
  <c r="L41" i="7"/>
  <c r="D41" i="7"/>
  <c r="H41" i="7"/>
  <c r="F41" i="7"/>
  <c r="E41" i="7"/>
  <c r="O41" i="7"/>
  <c r="T41" i="7"/>
  <c r="W72" i="7" s="1"/>
  <c r="M99" i="18"/>
  <c r="D134" i="18"/>
  <c r="K134" i="18"/>
  <c r="G134" i="18"/>
  <c r="H134" i="18"/>
  <c r="L134" i="18"/>
  <c r="B135" i="18"/>
  <c r="C134" i="18"/>
  <c r="E134" i="18"/>
  <c r="P134" i="18"/>
  <c r="O134" i="18"/>
  <c r="F134" i="18"/>
  <c r="J134" i="18"/>
  <c r="I134" i="18"/>
  <c r="Q134" i="18"/>
  <c r="X30" i="10"/>
  <c r="M133" i="18"/>
  <c r="R35" i="18"/>
  <c r="S35" i="18" s="1"/>
  <c r="T35" i="18" s="1"/>
  <c r="V33" i="4"/>
  <c r="AE32" i="4"/>
  <c r="X42" i="10" s="1"/>
  <c r="N67" i="18"/>
  <c r="M67" i="18"/>
  <c r="L37" i="18"/>
  <c r="B38" i="18"/>
  <c r="K37" i="18"/>
  <c r="O37" i="18"/>
  <c r="C37" i="18"/>
  <c r="D37" i="18"/>
  <c r="H37" i="18"/>
  <c r="P37" i="18"/>
  <c r="G37" i="18"/>
  <c r="Q37" i="18"/>
  <c r="B38" i="8"/>
  <c r="I37" i="8"/>
  <c r="D37" i="8"/>
  <c r="J37" i="8"/>
  <c r="N37" i="8"/>
  <c r="E37" i="8"/>
  <c r="F37" i="8"/>
  <c r="M37" i="8"/>
  <c r="L37" i="8"/>
  <c r="C37" i="8"/>
  <c r="O37" i="8"/>
  <c r="K37" i="8"/>
  <c r="S35" i="8"/>
  <c r="T35" i="8" s="1"/>
  <c r="X32" i="8" s="1"/>
  <c r="Q36" i="8"/>
  <c r="X95" i="8" s="1"/>
  <c r="P36" i="8"/>
  <c r="B101" i="18"/>
  <c r="O100" i="18"/>
  <c r="L100" i="18"/>
  <c r="Q100" i="18"/>
  <c r="C100" i="18"/>
  <c r="P100" i="18"/>
  <c r="G100" i="18"/>
  <c r="H100" i="18"/>
  <c r="D100" i="18"/>
  <c r="K100" i="18"/>
  <c r="AY30" i="10"/>
  <c r="AX55" i="10"/>
  <c r="N133" i="18"/>
  <c r="R36" i="8"/>
  <c r="X126" i="8" s="1"/>
  <c r="N36" i="18"/>
  <c r="G68" i="18"/>
  <c r="C68" i="18"/>
  <c r="D68" i="18"/>
  <c r="B69" i="18"/>
  <c r="H68" i="18"/>
  <c r="O68" i="18"/>
  <c r="P68" i="18"/>
  <c r="K68" i="18"/>
  <c r="L68" i="18"/>
  <c r="Q68" i="18"/>
  <c r="AK28" i="18"/>
  <c r="CF43" i="9" l="1"/>
  <c r="CC37" i="9"/>
  <c r="CK37" i="9"/>
  <c r="BT176" i="9"/>
  <c r="CC40" i="9" s="1"/>
  <c r="BT64" i="9"/>
  <c r="BZ30" i="9" s="1"/>
  <c r="BI205" i="9"/>
  <c r="BT416" i="9" s="1"/>
  <c r="CJ42" i="9" s="1"/>
  <c r="BT230" i="9"/>
  <c r="CE26" i="9" s="1"/>
  <c r="CJ31" i="9"/>
  <c r="BI201" i="9"/>
  <c r="BT412" i="9" s="1"/>
  <c r="CJ38" i="9" s="1"/>
  <c r="BG193" i="9"/>
  <c r="BT336" i="9" s="1"/>
  <c r="CH30" i="9" s="1"/>
  <c r="BT239" i="9"/>
  <c r="CE35" i="9" s="1"/>
  <c r="BT198" i="9"/>
  <c r="CD28" i="9" s="1"/>
  <c r="BT162" i="9"/>
  <c r="CC26" i="9" s="1"/>
  <c r="AA191" i="9"/>
  <c r="AB191" i="9" s="1"/>
  <c r="BT28" i="9" s="1"/>
  <c r="BV28" i="9" s="1"/>
  <c r="G38" i="10" s="1"/>
  <c r="BT168" i="9"/>
  <c r="CC32" i="9" s="1"/>
  <c r="BT234" i="9"/>
  <c r="CE30" i="9" s="1"/>
  <c r="F48" i="10"/>
  <c r="BV27" i="9"/>
  <c r="BX27" i="9" s="1"/>
  <c r="AG37" i="10" s="1"/>
  <c r="CA40" i="9"/>
  <c r="BT207" i="9"/>
  <c r="CD37" i="9" s="1"/>
  <c r="BG187" i="9"/>
  <c r="BT330" i="9" s="1"/>
  <c r="CH24" i="9" s="1"/>
  <c r="AE45" i="16"/>
  <c r="AF49" i="10" s="1"/>
  <c r="CD32" i="9"/>
  <c r="CL35" i="9"/>
  <c r="CC42" i="9"/>
  <c r="CB37" i="9"/>
  <c r="CH37" i="9"/>
  <c r="CA24" i="9"/>
  <c r="BG203" i="9"/>
  <c r="BT346" i="9" s="1"/>
  <c r="CH40" i="9" s="1"/>
  <c r="BT213" i="9"/>
  <c r="CD43" i="9" s="1"/>
  <c r="CI35" i="9"/>
  <c r="G37" i="8"/>
  <c r="H37" i="8"/>
  <c r="BF189" i="9"/>
  <c r="BT298" i="9" s="1"/>
  <c r="CG26" i="9" s="1"/>
  <c r="CK40" i="9"/>
  <c r="CA30" i="9"/>
  <c r="BT65" i="9"/>
  <c r="BZ31" i="9" s="1"/>
  <c r="AA201" i="9"/>
  <c r="AB201" i="9" s="1"/>
  <c r="BT38" i="9" s="1"/>
  <c r="BV38" i="9" s="1"/>
  <c r="BX38" i="9" s="1"/>
  <c r="AG48" i="10" s="1"/>
  <c r="AA192" i="9"/>
  <c r="AB192" i="9" s="1"/>
  <c r="BT29" i="9" s="1"/>
  <c r="BV29" i="9" s="1"/>
  <c r="G39" i="10" s="1"/>
  <c r="AB176" i="9"/>
  <c r="BT167" i="9"/>
  <c r="CC31" i="9" s="1"/>
  <c r="AB79" i="7"/>
  <c r="BT244" i="9"/>
  <c r="CE40" i="9" s="1"/>
  <c r="T208" i="7"/>
  <c r="AG30" i="16"/>
  <c r="AH38" i="7"/>
  <c r="CL26" i="9"/>
  <c r="G53" i="10"/>
  <c r="BX43" i="9"/>
  <c r="AG53" i="10" s="1"/>
  <c r="AE46" i="16"/>
  <c r="AF50" i="10" s="1"/>
  <c r="CL34" i="9"/>
  <c r="AA204" i="9"/>
  <c r="AB204" i="9" s="1"/>
  <c r="BT41" i="9" s="1"/>
  <c r="BV41" i="9" s="1"/>
  <c r="G51" i="10" s="1"/>
  <c r="BF200" i="9"/>
  <c r="BT309" i="9" s="1"/>
  <c r="CG37" i="9" s="1"/>
  <c r="BH200" i="9"/>
  <c r="BT377" i="9" s="1"/>
  <c r="CI37" i="9" s="1"/>
  <c r="BS45" i="9"/>
  <c r="F51" i="10"/>
  <c r="F44" i="10"/>
  <c r="BT134" i="9"/>
  <c r="CB32" i="9" s="1"/>
  <c r="BT74" i="9"/>
  <c r="BZ40" i="9" s="1"/>
  <c r="BT238" i="9"/>
  <c r="CE34" i="9" s="1"/>
  <c r="BT175" i="9"/>
  <c r="CC39" i="9" s="1"/>
  <c r="F38" i="10"/>
  <c r="C37" i="10"/>
  <c r="BT75" i="9"/>
  <c r="BZ41" i="9" s="1"/>
  <c r="BX35" i="9"/>
  <c r="AG45" i="10" s="1"/>
  <c r="CC38" i="9"/>
  <c r="CJ39" i="9"/>
  <c r="BJ195" i="9"/>
  <c r="BT440" i="9" s="1"/>
  <c r="CK32" i="9" s="1"/>
  <c r="BT171" i="9"/>
  <c r="CC35" i="9" s="1"/>
  <c r="AF25" i="7"/>
  <c r="AC35" i="10" s="1"/>
  <c r="BT211" i="9"/>
  <c r="CD41" i="9" s="1"/>
  <c r="BT142" i="9"/>
  <c r="CB40" i="9" s="1"/>
  <c r="BV34" i="9"/>
  <c r="BX34" i="9" s="1"/>
  <c r="AG44" i="10" s="1"/>
  <c r="BT195" i="9"/>
  <c r="CD25" i="9" s="1"/>
  <c r="BI200" i="9"/>
  <c r="BT411" i="9" s="1"/>
  <c r="CJ37" i="9" s="1"/>
  <c r="C36" i="10"/>
  <c r="CI32" i="9"/>
  <c r="BT210" i="9"/>
  <c r="CD40" i="9" s="1"/>
  <c r="BT93" i="9"/>
  <c r="CA25" i="9" s="1"/>
  <c r="CD26" i="9"/>
  <c r="CL30" i="9"/>
  <c r="CI40" i="9"/>
  <c r="CK28" i="9"/>
  <c r="BT101" i="9"/>
  <c r="CA33" i="9" s="1"/>
  <c r="CJ29" i="9"/>
  <c r="BT105" i="9"/>
  <c r="CA37" i="9" s="1"/>
  <c r="CL37" i="9"/>
  <c r="BT165" i="9"/>
  <c r="CC29" i="9" s="1"/>
  <c r="CK30" i="9"/>
  <c r="CH27" i="9"/>
  <c r="BT241" i="9"/>
  <c r="CE37" i="9" s="1"/>
  <c r="BT131" i="9"/>
  <c r="CB29" i="9" s="1"/>
  <c r="AD36" i="7"/>
  <c r="AF36" i="7" s="1"/>
  <c r="BT205" i="9"/>
  <c r="CD35" i="9" s="1"/>
  <c r="BT130" i="9"/>
  <c r="CB28" i="9" s="1"/>
  <c r="BT132" i="9"/>
  <c r="CB30" i="9" s="1"/>
  <c r="CI29" i="9"/>
  <c r="AH24" i="7"/>
  <c r="BT72" i="9"/>
  <c r="BZ38" i="9" s="1"/>
  <c r="BT128" i="9"/>
  <c r="CB26" i="9" s="1"/>
  <c r="BT200" i="9"/>
  <c r="CD30" i="9" s="1"/>
  <c r="BV24" i="9"/>
  <c r="G34" i="10" s="1"/>
  <c r="CJ35" i="9"/>
  <c r="CK25" i="9"/>
  <c r="CG31" i="9"/>
  <c r="CG38" i="9"/>
  <c r="R208" i="7"/>
  <c r="BZ37" i="9"/>
  <c r="CH33" i="9"/>
  <c r="BT94" i="9"/>
  <c r="CA26" i="9" s="1"/>
  <c r="BZ26" i="9"/>
  <c r="BS113" i="9"/>
  <c r="AB45" i="7"/>
  <c r="BT229" i="9"/>
  <c r="CE25" i="9" s="1"/>
  <c r="CL40" i="9"/>
  <c r="CI30" i="9"/>
  <c r="CK43" i="9"/>
  <c r="CJ32" i="9"/>
  <c r="AD24" i="7"/>
  <c r="AF24" i="7" s="1"/>
  <c r="AC34" i="10" s="1"/>
  <c r="CA27" i="9"/>
  <c r="G49" i="10"/>
  <c r="BX39" i="9"/>
  <c r="AG49" i="10" s="1"/>
  <c r="G36" i="10"/>
  <c r="BX26" i="9"/>
  <c r="AG36" i="10" s="1"/>
  <c r="F36" i="10"/>
  <c r="AE32" i="16"/>
  <c r="AF36" i="10" s="1"/>
  <c r="AE31" i="16"/>
  <c r="AF35" i="10" s="1"/>
  <c r="F35" i="10"/>
  <c r="AE41" i="16"/>
  <c r="AF45" i="10" s="1"/>
  <c r="F45" i="10"/>
  <c r="BI197" i="9"/>
  <c r="BT408" i="9" s="1"/>
  <c r="CJ34" i="9" s="1"/>
  <c r="BT170" i="9"/>
  <c r="CC34" i="9" s="1"/>
  <c r="AC136" i="8"/>
  <c r="S206" i="8"/>
  <c r="T206" i="8" s="1"/>
  <c r="AC43" i="8" s="1"/>
  <c r="AC126" i="8"/>
  <c r="AG126" i="8" s="1"/>
  <c r="S196" i="8"/>
  <c r="T196" i="8" s="1"/>
  <c r="AC33" i="8" s="1"/>
  <c r="BI204" i="9"/>
  <c r="BT415" i="9" s="1"/>
  <c r="CJ41" i="9" s="1"/>
  <c r="BT177" i="9"/>
  <c r="CC41" i="9" s="1"/>
  <c r="BI190" i="9"/>
  <c r="BT401" i="9" s="1"/>
  <c r="CJ27" i="9" s="1"/>
  <c r="BT163" i="9"/>
  <c r="CC27" i="9" s="1"/>
  <c r="G50" i="10"/>
  <c r="BX40" i="9"/>
  <c r="AG50" i="10" s="1"/>
  <c r="BF195" i="9"/>
  <c r="BT304" i="9" s="1"/>
  <c r="CG32" i="9" s="1"/>
  <c r="BT66" i="9"/>
  <c r="BZ32" i="9" s="1"/>
  <c r="BF198" i="9"/>
  <c r="BT307" i="9" s="1"/>
  <c r="CG35" i="9" s="1"/>
  <c r="BT69" i="9"/>
  <c r="BZ35" i="9" s="1"/>
  <c r="BG206" i="9"/>
  <c r="BT349" i="9" s="1"/>
  <c r="CH43" i="9" s="1"/>
  <c r="BT111" i="9"/>
  <c r="CA43" i="9" s="1"/>
  <c r="BH206" i="9"/>
  <c r="BT383" i="9" s="1"/>
  <c r="CI43" i="9" s="1"/>
  <c r="BT145" i="9"/>
  <c r="CB43" i="9" s="1"/>
  <c r="BS79" i="9"/>
  <c r="BH190" i="9"/>
  <c r="BT367" i="9" s="1"/>
  <c r="CI27" i="9" s="1"/>
  <c r="BT129" i="9"/>
  <c r="CB27" i="9" s="1"/>
  <c r="AC119" i="8"/>
  <c r="AG119" i="8" s="1"/>
  <c r="AE119" i="8" s="1"/>
  <c r="S189" i="8"/>
  <c r="T189" i="8" s="1"/>
  <c r="AC26" i="8" s="1"/>
  <c r="AE26" i="8" s="1"/>
  <c r="O214" i="16"/>
  <c r="AA30" i="16"/>
  <c r="CB35" i="9"/>
  <c r="BS419" i="9"/>
  <c r="AE39" i="16"/>
  <c r="AF43" i="10" s="1"/>
  <c r="F43" i="10"/>
  <c r="AE48" i="16"/>
  <c r="AF52" i="10" s="1"/>
  <c r="F52" i="10"/>
  <c r="BF205" i="9"/>
  <c r="BT314" i="9" s="1"/>
  <c r="CG42" i="9" s="1"/>
  <c r="BT76" i="9"/>
  <c r="BZ42" i="9" s="1"/>
  <c r="BF176" i="9"/>
  <c r="BS296" i="9"/>
  <c r="BS215" i="9"/>
  <c r="CK26" i="9"/>
  <c r="BG199" i="9"/>
  <c r="BT342" i="9" s="1"/>
  <c r="CH36" i="9" s="1"/>
  <c r="BT104" i="9"/>
  <c r="CA36" i="9" s="1"/>
  <c r="AC122" i="8"/>
  <c r="AG122" i="8" s="1"/>
  <c r="AE122" i="8" s="1"/>
  <c r="S192" i="8"/>
  <c r="T192" i="8" s="1"/>
  <c r="AC29" i="8" s="1"/>
  <c r="AE29" i="8" s="1"/>
  <c r="AE43" i="16"/>
  <c r="AF47" i="10" s="1"/>
  <c r="F47" i="10"/>
  <c r="BH199" i="9"/>
  <c r="BT376" i="9" s="1"/>
  <c r="CI36" i="9" s="1"/>
  <c r="BT138" i="9"/>
  <c r="CB36" i="9" s="1"/>
  <c r="BI176" i="9"/>
  <c r="BK196" i="9"/>
  <c r="BT475" i="9" s="1"/>
  <c r="CL33" i="9" s="1"/>
  <c r="BT237" i="9"/>
  <c r="CE33" i="9" s="1"/>
  <c r="BS181" i="9"/>
  <c r="AG208" i="9"/>
  <c r="BI187" i="9"/>
  <c r="BT160" i="9"/>
  <c r="BJ176" i="9"/>
  <c r="BS432" i="9"/>
  <c r="BS453" i="9" s="1"/>
  <c r="BF206" i="9"/>
  <c r="BT315" i="9" s="1"/>
  <c r="CG43" i="9" s="1"/>
  <c r="BT77" i="9"/>
  <c r="BZ43" i="9" s="1"/>
  <c r="BK192" i="9"/>
  <c r="BT471" i="9" s="1"/>
  <c r="CL29" i="9" s="1"/>
  <c r="BT233" i="9"/>
  <c r="CE29" i="9" s="1"/>
  <c r="BG195" i="9"/>
  <c r="BT338" i="9" s="1"/>
  <c r="CH32" i="9" s="1"/>
  <c r="BT100" i="9"/>
  <c r="CA32" i="9" s="1"/>
  <c r="BK191" i="9"/>
  <c r="BT470" i="9" s="1"/>
  <c r="CL28" i="9" s="1"/>
  <c r="BT232" i="9"/>
  <c r="CE28" i="9" s="1"/>
  <c r="BF202" i="9"/>
  <c r="BT311" i="9" s="1"/>
  <c r="CG39" i="9" s="1"/>
  <c r="BT73" i="9"/>
  <c r="BZ39" i="9" s="1"/>
  <c r="BJ199" i="9"/>
  <c r="BT444" i="9" s="1"/>
  <c r="CK36" i="9" s="1"/>
  <c r="BT206" i="9"/>
  <c r="CD36" i="9" s="1"/>
  <c r="AC121" i="8"/>
  <c r="AG121" i="8" s="1"/>
  <c r="AE121" i="8" s="1"/>
  <c r="S191" i="8"/>
  <c r="T191" i="8" s="1"/>
  <c r="AC28" i="8" s="1"/>
  <c r="AE28" i="8" s="1"/>
  <c r="BK190" i="9"/>
  <c r="BT469" i="9" s="1"/>
  <c r="CL27" i="9" s="1"/>
  <c r="BT231" i="9"/>
  <c r="CE27" i="9" s="1"/>
  <c r="BH196" i="9"/>
  <c r="BT373" i="9" s="1"/>
  <c r="CI33" i="9" s="1"/>
  <c r="BT135" i="9"/>
  <c r="CB33" i="9" s="1"/>
  <c r="BK195" i="9"/>
  <c r="BT474" i="9" s="1"/>
  <c r="CL32" i="9" s="1"/>
  <c r="BT236" i="9"/>
  <c r="CE32" i="9" s="1"/>
  <c r="BK206" i="9"/>
  <c r="BT485" i="9" s="1"/>
  <c r="CL43" i="9" s="1"/>
  <c r="BT247" i="9"/>
  <c r="CE43" i="9" s="1"/>
  <c r="AD208" i="9"/>
  <c r="BF187" i="9"/>
  <c r="BT58" i="9"/>
  <c r="BG202" i="9"/>
  <c r="BT345" i="9" s="1"/>
  <c r="CH39" i="9" s="1"/>
  <c r="BT107" i="9"/>
  <c r="CA39" i="9" s="1"/>
  <c r="BI188" i="9"/>
  <c r="BT399" i="9" s="1"/>
  <c r="CJ25" i="9" s="1"/>
  <c r="BT161" i="9"/>
  <c r="CC25" i="9" s="1"/>
  <c r="BF190" i="9"/>
  <c r="BT299" i="9" s="1"/>
  <c r="CG27" i="9" s="1"/>
  <c r="BT61" i="9"/>
  <c r="BZ27" i="9" s="1"/>
  <c r="AE49" i="16"/>
  <c r="AF53" i="10" s="1"/>
  <c r="F53" i="10"/>
  <c r="BS249" i="9"/>
  <c r="BF192" i="9"/>
  <c r="BT301" i="9" s="1"/>
  <c r="CG29" i="9" s="1"/>
  <c r="BT63" i="9"/>
  <c r="BZ29" i="9" s="1"/>
  <c r="G41" i="10"/>
  <c r="BX31" i="9"/>
  <c r="AG41" i="10" s="1"/>
  <c r="AC134" i="8"/>
  <c r="S204" i="8"/>
  <c r="T204" i="8" s="1"/>
  <c r="AC41" i="8" s="1"/>
  <c r="BG191" i="9"/>
  <c r="BT334" i="9" s="1"/>
  <c r="CH28" i="9" s="1"/>
  <c r="BT96" i="9"/>
  <c r="CA28" i="9" s="1"/>
  <c r="G40" i="10"/>
  <c r="BX30" i="9"/>
  <c r="AG40" i="10" s="1"/>
  <c r="BH187" i="9"/>
  <c r="AF208" i="9"/>
  <c r="BT126" i="9"/>
  <c r="BK205" i="9"/>
  <c r="BT484" i="9" s="1"/>
  <c r="CL42" i="9" s="1"/>
  <c r="BT246" i="9"/>
  <c r="CE42" i="9" s="1"/>
  <c r="BF199" i="9"/>
  <c r="BT308" i="9" s="1"/>
  <c r="CG36" i="9" s="1"/>
  <c r="BT70" i="9"/>
  <c r="BZ36" i="9" s="1"/>
  <c r="BK194" i="9"/>
  <c r="BT473" i="9" s="1"/>
  <c r="CL31" i="9" s="1"/>
  <c r="BT235" i="9"/>
  <c r="CE31" i="9" s="1"/>
  <c r="BS351" i="9"/>
  <c r="BS147" i="9"/>
  <c r="BH201" i="9"/>
  <c r="BT378" i="9" s="1"/>
  <c r="CI38" i="9" s="1"/>
  <c r="BT140" i="9"/>
  <c r="CB38" i="9" s="1"/>
  <c r="BI191" i="9"/>
  <c r="BT402" i="9" s="1"/>
  <c r="CJ28" i="9" s="1"/>
  <c r="BT164" i="9"/>
  <c r="CC28" i="9" s="1"/>
  <c r="BG194" i="9"/>
  <c r="BT337" i="9" s="1"/>
  <c r="CH31" i="9" s="1"/>
  <c r="BT99" i="9"/>
  <c r="CA31" i="9" s="1"/>
  <c r="BK204" i="9"/>
  <c r="BT483" i="9" s="1"/>
  <c r="CL41" i="9" s="1"/>
  <c r="BT245" i="9"/>
  <c r="CE41" i="9" s="1"/>
  <c r="BF188" i="9"/>
  <c r="BT297" i="9" s="1"/>
  <c r="CG25" i="9" s="1"/>
  <c r="BT59" i="9"/>
  <c r="BZ25" i="9" s="1"/>
  <c r="AC133" i="8"/>
  <c r="S203" i="8"/>
  <c r="T203" i="8" s="1"/>
  <c r="AC40" i="8" s="1"/>
  <c r="AC130" i="8"/>
  <c r="S200" i="8"/>
  <c r="T200" i="8" s="1"/>
  <c r="AC37" i="8" s="1"/>
  <c r="G47" i="10"/>
  <c r="BX37" i="9"/>
  <c r="AG47" i="10" s="1"/>
  <c r="BG176" i="9"/>
  <c r="G43" i="10"/>
  <c r="BX33" i="9"/>
  <c r="AG43" i="10" s="1"/>
  <c r="AE33" i="16"/>
  <c r="AF37" i="10" s="1"/>
  <c r="F37" i="10"/>
  <c r="BH176" i="9"/>
  <c r="BS364" i="9"/>
  <c r="BS385" i="9" s="1"/>
  <c r="BJ196" i="9"/>
  <c r="BT441" i="9" s="1"/>
  <c r="CK33" i="9" s="1"/>
  <c r="BT203" i="9"/>
  <c r="CD33" i="9" s="1"/>
  <c r="BG205" i="9"/>
  <c r="BT348" i="9" s="1"/>
  <c r="CH42" i="9" s="1"/>
  <c r="BT110" i="9"/>
  <c r="CA42" i="9" s="1"/>
  <c r="BH194" i="9"/>
  <c r="BT371" i="9" s="1"/>
  <c r="CI31" i="9" s="1"/>
  <c r="BT133" i="9"/>
  <c r="CB31" i="9" s="1"/>
  <c r="BH205" i="9"/>
  <c r="BT382" i="9" s="1"/>
  <c r="CI42" i="9" s="1"/>
  <c r="BT144" i="9"/>
  <c r="CB42" i="9" s="1"/>
  <c r="AA205" i="9"/>
  <c r="AB205" i="9" s="1"/>
  <c r="BT42" i="9" s="1"/>
  <c r="BV42" i="9" s="1"/>
  <c r="AI208" i="9"/>
  <c r="BK187" i="9"/>
  <c r="BT228" i="9"/>
  <c r="BH197" i="9"/>
  <c r="BT374" i="9" s="1"/>
  <c r="CI34" i="9" s="1"/>
  <c r="BT136" i="9"/>
  <c r="CB34" i="9" s="1"/>
  <c r="AC124" i="8"/>
  <c r="AG124" i="8" s="1"/>
  <c r="AE124" i="8" s="1"/>
  <c r="S194" i="8"/>
  <c r="T194" i="8" s="1"/>
  <c r="AC31" i="8" s="1"/>
  <c r="AE31" i="8" s="1"/>
  <c r="AC135" i="8"/>
  <c r="S205" i="8"/>
  <c r="T205" i="8" s="1"/>
  <c r="AC42" i="8" s="1"/>
  <c r="BG204" i="9"/>
  <c r="BT347" i="9" s="1"/>
  <c r="CH41" i="9" s="1"/>
  <c r="BT109" i="9"/>
  <c r="CA41" i="9" s="1"/>
  <c r="AI30" i="16"/>
  <c r="F46" i="10"/>
  <c r="AE42" i="16"/>
  <c r="AF46" i="10" s="1"/>
  <c r="BJ205" i="9"/>
  <c r="BT450" i="9" s="1"/>
  <c r="CK42" i="9" s="1"/>
  <c r="BT212" i="9"/>
  <c r="CD42" i="9" s="1"/>
  <c r="AA119" i="16"/>
  <c r="AH51" i="16" s="1"/>
  <c r="C69" i="10" s="1"/>
  <c r="Q23" i="6" s="1"/>
  <c r="AH30" i="16"/>
  <c r="BK199" i="9"/>
  <c r="BT478" i="9" s="1"/>
  <c r="CL36" i="9" s="1"/>
  <c r="BT240" i="9"/>
  <c r="CE36" i="9" s="1"/>
  <c r="BS487" i="9"/>
  <c r="AC123" i="8"/>
  <c r="AG123" i="8" s="1"/>
  <c r="AE123" i="8" s="1"/>
  <c r="S193" i="8"/>
  <c r="T193" i="8" s="1"/>
  <c r="AC30" i="8" s="1"/>
  <c r="AE30" i="8" s="1"/>
  <c r="AC128" i="8"/>
  <c r="S198" i="8"/>
  <c r="T198" i="8" s="1"/>
  <c r="AC35" i="8" s="1"/>
  <c r="G35" i="10"/>
  <c r="BX25" i="9"/>
  <c r="AG35" i="10" s="1"/>
  <c r="BH188" i="9"/>
  <c r="BT365" i="9" s="1"/>
  <c r="CI25" i="9" s="1"/>
  <c r="BT127" i="9"/>
  <c r="CB25" i="9" s="1"/>
  <c r="BI206" i="9"/>
  <c r="BT417" i="9" s="1"/>
  <c r="CJ43" i="9" s="1"/>
  <c r="BT179" i="9"/>
  <c r="CC43" i="9" s="1"/>
  <c r="G42" i="10"/>
  <c r="BX32" i="9"/>
  <c r="AG42" i="10" s="1"/>
  <c r="AI51" i="16"/>
  <c r="C70" i="10" s="1"/>
  <c r="Q24" i="6" s="1"/>
  <c r="P40" i="7"/>
  <c r="Q40" i="7" s="1"/>
  <c r="R40" i="7" s="1"/>
  <c r="W37" i="7" s="1"/>
  <c r="AD37" i="7" s="1"/>
  <c r="AF37" i="7" s="1"/>
  <c r="BK201" i="9"/>
  <c r="BT480" i="9" s="1"/>
  <c r="CL38" i="9" s="1"/>
  <c r="BT242" i="9"/>
  <c r="CE38" i="9" s="1"/>
  <c r="BK176" i="9"/>
  <c r="BG192" i="9"/>
  <c r="BT335" i="9" s="1"/>
  <c r="CH29" i="9" s="1"/>
  <c r="BT97" i="9"/>
  <c r="CA29" i="9" s="1"/>
  <c r="AC125" i="8"/>
  <c r="AG125" i="8" s="1"/>
  <c r="AE125" i="8" s="1"/>
  <c r="S195" i="8"/>
  <c r="T195" i="8" s="1"/>
  <c r="AC32" i="8" s="1"/>
  <c r="AE32" i="8" s="1"/>
  <c r="AC131" i="8"/>
  <c r="S201" i="8"/>
  <c r="T201" i="8" s="1"/>
  <c r="AC38" i="8" s="1"/>
  <c r="BG197" i="9"/>
  <c r="BT340" i="9" s="1"/>
  <c r="CH34" i="9" s="1"/>
  <c r="BT102" i="9"/>
  <c r="CA34" i="9" s="1"/>
  <c r="BJ201" i="9"/>
  <c r="BT446" i="9" s="1"/>
  <c r="CK38" i="9" s="1"/>
  <c r="BT208" i="9"/>
  <c r="CD38" i="9" s="1"/>
  <c r="BF191" i="9"/>
  <c r="BT300" i="9" s="1"/>
  <c r="CG28" i="9" s="1"/>
  <c r="BT62" i="9"/>
  <c r="BZ28" i="9" s="1"/>
  <c r="BG198" i="9"/>
  <c r="BT341" i="9" s="1"/>
  <c r="CH35" i="9" s="1"/>
  <c r="BT103" i="9"/>
  <c r="CA35" i="9" s="1"/>
  <c r="BJ192" i="9"/>
  <c r="BT437" i="9" s="1"/>
  <c r="CK29" i="9" s="1"/>
  <c r="BT199" i="9"/>
  <c r="CD29" i="9" s="1"/>
  <c r="BJ194" i="9"/>
  <c r="BT439" i="9" s="1"/>
  <c r="CK31" i="9" s="1"/>
  <c r="BT201" i="9"/>
  <c r="CD31" i="9" s="1"/>
  <c r="G46" i="10"/>
  <c r="BX36" i="9"/>
  <c r="AG46" i="10" s="1"/>
  <c r="BJ197" i="9"/>
  <c r="BT442" i="9" s="1"/>
  <c r="CK34" i="9" s="1"/>
  <c r="BT204" i="9"/>
  <c r="CD34" i="9" s="1"/>
  <c r="T176" i="8"/>
  <c r="AB24" i="8"/>
  <c r="AB45" i="8" s="1"/>
  <c r="AC132" i="8"/>
  <c r="S202" i="8"/>
  <c r="T202" i="8" s="1"/>
  <c r="AC39" i="8" s="1"/>
  <c r="AC129" i="8"/>
  <c r="S199" i="8"/>
  <c r="T199" i="8" s="1"/>
  <c r="AC36" i="8" s="1"/>
  <c r="F42" i="10"/>
  <c r="AE38" i="16"/>
  <c r="AF42" i="10" s="1"/>
  <c r="BJ190" i="9"/>
  <c r="BT435" i="9" s="1"/>
  <c r="CK27" i="9" s="1"/>
  <c r="BT197" i="9"/>
  <c r="CD27" i="9" s="1"/>
  <c r="BJ202" i="9"/>
  <c r="BT447" i="9" s="1"/>
  <c r="CK39" i="9" s="1"/>
  <c r="BT209" i="9"/>
  <c r="CD39" i="9" s="1"/>
  <c r="F41" i="10"/>
  <c r="AE37" i="16"/>
  <c r="AF41" i="10" s="1"/>
  <c r="BI196" i="9"/>
  <c r="BT407" i="9" s="1"/>
  <c r="CJ33" i="9" s="1"/>
  <c r="BT169" i="9"/>
  <c r="CC33" i="9" s="1"/>
  <c r="BH202" i="9"/>
  <c r="BT379" i="9" s="1"/>
  <c r="CI39" i="9" s="1"/>
  <c r="BT141" i="9"/>
  <c r="CB39" i="9" s="1"/>
  <c r="AJ208" i="9"/>
  <c r="BT262" i="9"/>
  <c r="CH26" i="9"/>
  <c r="BQ453" i="9"/>
  <c r="AB138" i="8"/>
  <c r="AC120" i="8"/>
  <c r="AG120" i="8" s="1"/>
  <c r="AE120" i="8" s="1"/>
  <c r="S190" i="8"/>
  <c r="T190" i="8" s="1"/>
  <c r="AC27" i="8" s="1"/>
  <c r="AE27" i="8" s="1"/>
  <c r="AC118" i="8"/>
  <c r="AG118" i="8" s="1"/>
  <c r="AE118" i="8" s="1"/>
  <c r="S188" i="8"/>
  <c r="T188" i="8" s="1"/>
  <c r="AC25" i="8" s="1"/>
  <c r="AE25" i="8" s="1"/>
  <c r="BI199" i="9"/>
  <c r="BT410" i="9" s="1"/>
  <c r="CJ36" i="9" s="1"/>
  <c r="BT172" i="9"/>
  <c r="CC36" i="9" s="1"/>
  <c r="CI26" i="9"/>
  <c r="BG201" i="9"/>
  <c r="BT344" i="9" s="1"/>
  <c r="CH38" i="9" s="1"/>
  <c r="BT106" i="9"/>
  <c r="CA38" i="9" s="1"/>
  <c r="BI193" i="9"/>
  <c r="BT404" i="9" s="1"/>
  <c r="CJ30" i="9" s="1"/>
  <c r="BT166" i="9"/>
  <c r="CC30" i="9" s="1"/>
  <c r="BF196" i="9"/>
  <c r="BT305" i="9" s="1"/>
  <c r="CG33" i="9" s="1"/>
  <c r="BT67" i="9"/>
  <c r="BZ33" i="9" s="1"/>
  <c r="AE35" i="16"/>
  <c r="AF39" i="10" s="1"/>
  <c r="F39" i="10"/>
  <c r="AE208" i="9"/>
  <c r="BK202" i="9"/>
  <c r="BT481" i="9" s="1"/>
  <c r="CL39" i="9" s="1"/>
  <c r="BT243" i="9"/>
  <c r="CE39" i="9" s="1"/>
  <c r="BF197" i="9"/>
  <c r="BT306" i="9" s="1"/>
  <c r="CG34" i="9" s="1"/>
  <c r="BT68" i="9"/>
  <c r="BZ34" i="9" s="1"/>
  <c r="BH204" i="9"/>
  <c r="BT381" i="9" s="1"/>
  <c r="CI41" i="9" s="1"/>
  <c r="BT143" i="9"/>
  <c r="CB41" i="9" s="1"/>
  <c r="AC127" i="8"/>
  <c r="S197" i="8"/>
  <c r="T197" i="8" s="1"/>
  <c r="AC34" i="8" s="1"/>
  <c r="AC117" i="8"/>
  <c r="AG117" i="8" s="1"/>
  <c r="AE117" i="8" s="1"/>
  <c r="S187" i="8"/>
  <c r="T187" i="8" s="1"/>
  <c r="AE36" i="16"/>
  <c r="AF40" i="10" s="1"/>
  <c r="F40" i="10"/>
  <c r="AH208" i="9"/>
  <c r="BJ187" i="9"/>
  <c r="BT194" i="9"/>
  <c r="AN36" i="19"/>
  <c r="AD44" i="10" s="1"/>
  <c r="D44" i="10"/>
  <c r="R36" i="18"/>
  <c r="S36" i="18" s="1"/>
  <c r="T36" i="18" s="1"/>
  <c r="AF33" i="18" s="1"/>
  <c r="R99" i="18"/>
  <c r="S99" i="18" s="1"/>
  <c r="T99" i="18" s="1"/>
  <c r="AH30" i="18" s="1"/>
  <c r="AK30" i="18" s="1"/>
  <c r="AM30" i="18" s="1"/>
  <c r="AC40" i="10" s="1"/>
  <c r="AB43" i="19"/>
  <c r="AE70" i="19" s="1"/>
  <c r="AA44" i="19"/>
  <c r="M41" i="7"/>
  <c r="N100" i="18"/>
  <c r="M100" i="18"/>
  <c r="N41" i="7"/>
  <c r="R67" i="18"/>
  <c r="S67" i="18" s="1"/>
  <c r="T67" i="18" s="1"/>
  <c r="AG31" i="18" s="1"/>
  <c r="L42" i="7"/>
  <c r="O42" i="7"/>
  <c r="G42" i="7"/>
  <c r="E42" i="7"/>
  <c r="J42" i="7"/>
  <c r="D42" i="7"/>
  <c r="K42" i="7"/>
  <c r="I42" i="7"/>
  <c r="C42" i="7"/>
  <c r="B43" i="7"/>
  <c r="H42" i="7"/>
  <c r="F42" i="7"/>
  <c r="T42" i="7"/>
  <c r="W73" i="7" s="1"/>
  <c r="AH39" i="7" s="1"/>
  <c r="C101" i="18"/>
  <c r="G101" i="18"/>
  <c r="L101" i="18"/>
  <c r="O101" i="18"/>
  <c r="H101" i="18"/>
  <c r="P101" i="18"/>
  <c r="B102" i="18"/>
  <c r="Q101" i="18"/>
  <c r="D101" i="18"/>
  <c r="K101" i="18"/>
  <c r="R133" i="18"/>
  <c r="S133" i="18" s="1"/>
  <c r="T133" i="18" s="1"/>
  <c r="AI31" i="18" s="1"/>
  <c r="N134" i="18"/>
  <c r="AZ58" i="10"/>
  <c r="AF32" i="18"/>
  <c r="AM28" i="18"/>
  <c r="C38" i="10"/>
  <c r="B70" i="18"/>
  <c r="G69" i="18"/>
  <c r="K69" i="18"/>
  <c r="C69" i="18"/>
  <c r="O69" i="18"/>
  <c r="D69" i="18"/>
  <c r="P69" i="18"/>
  <c r="H69" i="18"/>
  <c r="Q69" i="18"/>
  <c r="L69" i="18"/>
  <c r="X64" i="8"/>
  <c r="AG64" i="8" s="1"/>
  <c r="AE64" i="8" s="1"/>
  <c r="S36" i="8"/>
  <c r="T36" i="8" s="1"/>
  <c r="X33" i="8" s="1"/>
  <c r="V34" i="4"/>
  <c r="AE33" i="4"/>
  <c r="X43" i="10" s="1"/>
  <c r="AG95" i="8"/>
  <c r="Q37" i="8"/>
  <c r="X96" i="8" s="1"/>
  <c r="AG96" i="8" s="1"/>
  <c r="AE96" i="8" s="1"/>
  <c r="R37" i="8"/>
  <c r="X127" i="8" s="1"/>
  <c r="Y30" i="10"/>
  <c r="M134" i="18"/>
  <c r="N68" i="18"/>
  <c r="M68" i="18"/>
  <c r="B39" i="8"/>
  <c r="N38" i="8"/>
  <c r="I38" i="8"/>
  <c r="M38" i="8"/>
  <c r="L38" i="8"/>
  <c r="C38" i="8"/>
  <c r="O38" i="8"/>
  <c r="D38" i="8"/>
  <c r="F38" i="8"/>
  <c r="J38" i="8"/>
  <c r="E38" i="8"/>
  <c r="K38" i="8"/>
  <c r="M37" i="18"/>
  <c r="L135" i="18"/>
  <c r="C135" i="18"/>
  <c r="H135" i="18"/>
  <c r="K135" i="18"/>
  <c r="G135" i="18"/>
  <c r="B136" i="18"/>
  <c r="D135" i="18"/>
  <c r="E135" i="18"/>
  <c r="J135" i="18"/>
  <c r="P135" i="18"/>
  <c r="I135" i="18"/>
  <c r="O135" i="18"/>
  <c r="F135" i="18"/>
  <c r="Q135" i="18"/>
  <c r="AG63" i="8"/>
  <c r="P38" i="18"/>
  <c r="C38" i="18"/>
  <c r="D38" i="18"/>
  <c r="B39" i="18"/>
  <c r="H38" i="18"/>
  <c r="G38" i="18"/>
  <c r="K38" i="18"/>
  <c r="L38" i="18"/>
  <c r="O38" i="18"/>
  <c r="Q38" i="18"/>
  <c r="N37" i="18"/>
  <c r="AK29" i="18"/>
  <c r="G48" i="10" l="1"/>
  <c r="P37" i="8"/>
  <c r="G37" i="10"/>
  <c r="H38" i="8"/>
  <c r="BX28" i="9"/>
  <c r="AG38" i="10" s="1"/>
  <c r="BX41" i="9"/>
  <c r="AG51" i="10" s="1"/>
  <c r="AE33" i="8"/>
  <c r="E43" i="10" s="1"/>
  <c r="G38" i="8"/>
  <c r="BX29" i="9"/>
  <c r="AG39" i="10" s="1"/>
  <c r="BX24" i="9"/>
  <c r="AG34" i="10" s="1"/>
  <c r="G44" i="10"/>
  <c r="AG127" i="8"/>
  <c r="AE127" i="8" s="1"/>
  <c r="C34" i="10"/>
  <c r="BT45" i="9"/>
  <c r="P41" i="7"/>
  <c r="Q41" i="7" s="1"/>
  <c r="R41" i="7" s="1"/>
  <c r="W38" i="7" s="1"/>
  <c r="AD38" i="7" s="1"/>
  <c r="AF38" i="7" s="1"/>
  <c r="BT215" i="9"/>
  <c r="M101" i="18"/>
  <c r="AG28" i="8"/>
  <c r="AE38" i="10" s="1"/>
  <c r="E38" i="10"/>
  <c r="W38" i="10" s="1"/>
  <c r="Y38" i="10" s="1"/>
  <c r="AG32" i="8"/>
  <c r="AE42" i="10" s="1"/>
  <c r="E42" i="10"/>
  <c r="AG29" i="8"/>
  <c r="AE39" i="10" s="1"/>
  <c r="E39" i="10"/>
  <c r="E37" i="10"/>
  <c r="AG27" i="8"/>
  <c r="AE37" i="10" s="1"/>
  <c r="AW37" i="10" s="1"/>
  <c r="AY37" i="10" s="1"/>
  <c r="BC30" i="10" s="1"/>
  <c r="E40" i="10"/>
  <c r="AG30" i="8"/>
  <c r="AE40" i="10" s="1"/>
  <c r="AW40" i="10" s="1"/>
  <c r="AY40" i="10" s="1"/>
  <c r="E35" i="10"/>
  <c r="W35" i="10" s="1"/>
  <c r="Y35" i="10" s="1"/>
  <c r="AG25" i="8"/>
  <c r="AE35" i="10" s="1"/>
  <c r="AW35" i="10" s="1"/>
  <c r="AY35" i="10" s="1"/>
  <c r="BC25" i="10" s="1"/>
  <c r="BT249" i="9"/>
  <c r="CE24" i="9"/>
  <c r="BK208" i="9"/>
  <c r="BT466" i="9"/>
  <c r="BT147" i="9"/>
  <c r="G52" i="10"/>
  <c r="BX42" i="9"/>
  <c r="AG52" i="10" s="1"/>
  <c r="BH208" i="9"/>
  <c r="BT364" i="9"/>
  <c r="BT385" i="9" s="1"/>
  <c r="BT79" i="9"/>
  <c r="BF208" i="9"/>
  <c r="BT296" i="9"/>
  <c r="BT317" i="9" s="1"/>
  <c r="BZ24" i="9"/>
  <c r="CB24" i="9"/>
  <c r="CD24" i="9"/>
  <c r="BS317" i="9"/>
  <c r="BJ208" i="9"/>
  <c r="BT432" i="9"/>
  <c r="AA51" i="16"/>
  <c r="AC30" i="16"/>
  <c r="BT181" i="9"/>
  <c r="CC24" i="9"/>
  <c r="AB208" i="9"/>
  <c r="T208" i="8"/>
  <c r="AC24" i="8"/>
  <c r="AC45" i="8" s="1"/>
  <c r="BT351" i="9"/>
  <c r="BI208" i="9"/>
  <c r="BT398" i="9"/>
  <c r="E36" i="10"/>
  <c r="W36" i="10" s="1"/>
  <c r="Y36" i="10" s="1"/>
  <c r="AG26" i="8"/>
  <c r="AE36" i="10" s="1"/>
  <c r="AW36" i="10" s="1"/>
  <c r="AY36" i="10" s="1"/>
  <c r="BC26" i="10" s="1"/>
  <c r="AC138" i="8"/>
  <c r="BT283" i="9"/>
  <c r="CF24" i="9"/>
  <c r="BG208" i="9"/>
  <c r="BT113" i="9"/>
  <c r="AL37" i="19"/>
  <c r="R100" i="18"/>
  <c r="S100" i="18" s="1"/>
  <c r="T100" i="18" s="1"/>
  <c r="AH31" i="18" s="1"/>
  <c r="N42" i="7"/>
  <c r="N69" i="18"/>
  <c r="C40" i="10"/>
  <c r="AA45" i="19"/>
  <c r="AB45" i="19" s="1"/>
  <c r="AE72" i="19" s="1"/>
  <c r="AB44" i="19"/>
  <c r="AE71" i="19" s="1"/>
  <c r="R68" i="18"/>
  <c r="S68" i="18" s="1"/>
  <c r="T68" i="18" s="1"/>
  <c r="AG32" i="18" s="1"/>
  <c r="R134" i="18"/>
  <c r="S134" i="18" s="1"/>
  <c r="T134" i="18" s="1"/>
  <c r="AI32" i="18" s="1"/>
  <c r="M42" i="7"/>
  <c r="R37" i="18"/>
  <c r="S37" i="18" s="1"/>
  <c r="T37" i="18" s="1"/>
  <c r="AF34" i="18" s="1"/>
  <c r="J43" i="7"/>
  <c r="O43" i="7"/>
  <c r="L43" i="7"/>
  <c r="C43" i="7"/>
  <c r="T43" i="7"/>
  <c r="W74" i="7" s="1"/>
  <c r="AH40" i="7" s="1"/>
  <c r="H43" i="7"/>
  <c r="F43" i="7"/>
  <c r="E43" i="7"/>
  <c r="I43" i="7"/>
  <c r="G43" i="7"/>
  <c r="B44" i="7"/>
  <c r="D43" i="7"/>
  <c r="K43" i="7"/>
  <c r="AM29" i="18"/>
  <c r="AC39" i="10" s="1"/>
  <c r="C39" i="10"/>
  <c r="K39" i="18"/>
  <c r="O39" i="18"/>
  <c r="D39" i="18"/>
  <c r="L39" i="18"/>
  <c r="C39" i="18"/>
  <c r="H39" i="18"/>
  <c r="P39" i="18"/>
  <c r="B40" i="18"/>
  <c r="G39" i="18"/>
  <c r="Q39" i="18"/>
  <c r="R38" i="8"/>
  <c r="X128" i="8" s="1"/>
  <c r="AG128" i="8" s="1"/>
  <c r="AE128" i="8" s="1"/>
  <c r="K70" i="18"/>
  <c r="B71" i="18"/>
  <c r="D70" i="18"/>
  <c r="C70" i="18"/>
  <c r="P70" i="18"/>
  <c r="H70" i="18"/>
  <c r="O70" i="18"/>
  <c r="G70" i="18"/>
  <c r="Q70" i="18"/>
  <c r="L70" i="18"/>
  <c r="H102" i="18"/>
  <c r="L102" i="18"/>
  <c r="G102" i="18"/>
  <c r="C102" i="18"/>
  <c r="B103" i="18"/>
  <c r="O102" i="18"/>
  <c r="Q102" i="18"/>
  <c r="P102" i="18"/>
  <c r="D102" i="18"/>
  <c r="K102" i="18"/>
  <c r="K136" i="18"/>
  <c r="L136" i="18"/>
  <c r="G136" i="18"/>
  <c r="H136" i="18"/>
  <c r="B137" i="18"/>
  <c r="D136" i="18"/>
  <c r="C136" i="18"/>
  <c r="E136" i="18"/>
  <c r="F136" i="18"/>
  <c r="J136" i="18"/>
  <c r="O136" i="18"/>
  <c r="P136" i="18"/>
  <c r="I136" i="18"/>
  <c r="Q136" i="18"/>
  <c r="X65" i="8"/>
  <c r="AG65" i="8" s="1"/>
  <c r="AE65" i="8" s="1"/>
  <c r="S37" i="8"/>
  <c r="T37" i="8" s="1"/>
  <c r="V35" i="4"/>
  <c r="AE34" i="4"/>
  <c r="M135" i="18"/>
  <c r="B40" i="8"/>
  <c r="F39" i="8"/>
  <c r="O39" i="8"/>
  <c r="N39" i="8"/>
  <c r="D39" i="8"/>
  <c r="M39" i="8"/>
  <c r="E39" i="8"/>
  <c r="J39" i="8"/>
  <c r="I39" i="8"/>
  <c r="L39" i="8"/>
  <c r="C39" i="8"/>
  <c r="K39" i="8"/>
  <c r="AE95" i="8"/>
  <c r="AC38" i="10"/>
  <c r="N38" i="18"/>
  <c r="N101" i="18"/>
  <c r="M38" i="18"/>
  <c r="AE63" i="8"/>
  <c r="N135" i="18"/>
  <c r="AG31" i="8"/>
  <c r="E41" i="10"/>
  <c r="Q38" i="8"/>
  <c r="X97" i="8" s="1"/>
  <c r="AG97" i="8" s="1"/>
  <c r="AE97" i="8" s="1"/>
  <c r="AE126" i="8"/>
  <c r="M69" i="18"/>
  <c r="W37" i="10" l="1"/>
  <c r="Y37" i="10" s="1"/>
  <c r="P38" i="8"/>
  <c r="S38" i="8" s="1"/>
  <c r="T38" i="8" s="1"/>
  <c r="X35" i="8" s="1"/>
  <c r="AE35" i="8" s="1"/>
  <c r="AG33" i="8"/>
  <c r="AE43" i="10" s="1"/>
  <c r="G39" i="8"/>
  <c r="H39" i="8"/>
  <c r="R101" i="18"/>
  <c r="S101" i="18" s="1"/>
  <c r="T101" i="18" s="1"/>
  <c r="AH32" i="18" s="1"/>
  <c r="AK32" i="18" s="1"/>
  <c r="AM32" i="18" s="1"/>
  <c r="AC42" i="10" s="1"/>
  <c r="AW42" i="10" s="1"/>
  <c r="AY42" i="10" s="1"/>
  <c r="AW39" i="10"/>
  <c r="AY39" i="10" s="1"/>
  <c r="AE24" i="8"/>
  <c r="E34" i="10" s="1"/>
  <c r="R69" i="18"/>
  <c r="S69" i="18" s="1"/>
  <c r="T69" i="18" s="1"/>
  <c r="AG33" i="18" s="1"/>
  <c r="W39" i="10"/>
  <c r="Y39" i="10" s="1"/>
  <c r="P42" i="7"/>
  <c r="Q42" i="7" s="1"/>
  <c r="R42" i="7" s="1"/>
  <c r="W39" i="7" s="1"/>
  <c r="AD39" i="7" s="1"/>
  <c r="AF39" i="7" s="1"/>
  <c r="W40" i="10"/>
  <c r="Y40" i="10" s="1"/>
  <c r="CI24" i="9"/>
  <c r="F34" i="10"/>
  <c r="F55" i="10" s="1"/>
  <c r="Q17" i="6" s="1"/>
  <c r="AC51" i="16"/>
  <c r="AE30" i="16"/>
  <c r="BT453" i="9"/>
  <c r="CK24" i="9"/>
  <c r="BT419" i="9"/>
  <c r="CJ24" i="9"/>
  <c r="CG24" i="9"/>
  <c r="BT487" i="9"/>
  <c r="CL24" i="9"/>
  <c r="BC29" i="10"/>
  <c r="AL38" i="19"/>
  <c r="D45" i="10"/>
  <c r="AN37" i="19"/>
  <c r="AD45" i="10" s="1"/>
  <c r="M136" i="18"/>
  <c r="R38" i="18"/>
  <c r="S38" i="18" s="1"/>
  <c r="T38" i="18" s="1"/>
  <c r="AF35" i="18" s="1"/>
  <c r="AA46" i="19"/>
  <c r="N39" i="18"/>
  <c r="N102" i="18"/>
  <c r="M43" i="7"/>
  <c r="T44" i="7"/>
  <c r="W75" i="7" s="1"/>
  <c r="AH41" i="7" s="1"/>
  <c r="B45" i="7"/>
  <c r="J44" i="7"/>
  <c r="O44" i="7"/>
  <c r="E44" i="7"/>
  <c r="G44" i="7"/>
  <c r="C44" i="7"/>
  <c r="L44" i="7"/>
  <c r="F44" i="7"/>
  <c r="H44" i="7"/>
  <c r="K44" i="7"/>
  <c r="I44" i="7"/>
  <c r="D44" i="7"/>
  <c r="N43" i="7"/>
  <c r="K40" i="18"/>
  <c r="L40" i="18"/>
  <c r="B41" i="18"/>
  <c r="O40" i="18"/>
  <c r="H40" i="18"/>
  <c r="C40" i="18"/>
  <c r="D40" i="18"/>
  <c r="P40" i="18"/>
  <c r="G40" i="18"/>
  <c r="Q40" i="18"/>
  <c r="AE41" i="10"/>
  <c r="R39" i="8"/>
  <c r="X129" i="8" s="1"/>
  <c r="B41" i="8"/>
  <c r="E40" i="8"/>
  <c r="O40" i="8"/>
  <c r="J40" i="8"/>
  <c r="L40" i="8"/>
  <c r="D40" i="8"/>
  <c r="N40" i="8"/>
  <c r="I40" i="8"/>
  <c r="M40" i="8"/>
  <c r="F40" i="8"/>
  <c r="C40" i="8"/>
  <c r="K40" i="8"/>
  <c r="N136" i="18"/>
  <c r="M102" i="18"/>
  <c r="AK31" i="18"/>
  <c r="AW38" i="10"/>
  <c r="AY38" i="10" s="1"/>
  <c r="R135" i="18"/>
  <c r="S135" i="18" s="1"/>
  <c r="T135" i="18" s="1"/>
  <c r="AI33" i="18" s="1"/>
  <c r="D137" i="18"/>
  <c r="B138" i="18"/>
  <c r="G137" i="18"/>
  <c r="K137" i="18"/>
  <c r="L137" i="18"/>
  <c r="C137" i="18"/>
  <c r="H137" i="18"/>
  <c r="O137" i="18"/>
  <c r="P137" i="18"/>
  <c r="J137" i="18"/>
  <c r="I137" i="18"/>
  <c r="F137" i="18"/>
  <c r="E137" i="18"/>
  <c r="Q137" i="18"/>
  <c r="N70" i="18"/>
  <c r="B72" i="18"/>
  <c r="K71" i="18"/>
  <c r="D71" i="18"/>
  <c r="H71" i="18"/>
  <c r="O71" i="18"/>
  <c r="C71" i="18"/>
  <c r="G71" i="18"/>
  <c r="P71" i="18"/>
  <c r="Q71" i="18"/>
  <c r="L71" i="18"/>
  <c r="M70" i="18"/>
  <c r="X44" i="10"/>
  <c r="V36" i="4"/>
  <c r="AE35" i="4"/>
  <c r="X45" i="10" s="1"/>
  <c r="G103" i="18"/>
  <c r="H103" i="18"/>
  <c r="L103" i="18"/>
  <c r="O103" i="18"/>
  <c r="B104" i="18"/>
  <c r="C103" i="18"/>
  <c r="Q103" i="18"/>
  <c r="P103" i="18"/>
  <c r="D103" i="18"/>
  <c r="K103" i="18"/>
  <c r="Q39" i="8"/>
  <c r="X98" i="8" s="1"/>
  <c r="AG98" i="8" s="1"/>
  <c r="AE98" i="8" s="1"/>
  <c r="X34" i="8"/>
  <c r="M39" i="18"/>
  <c r="X66" i="8" l="1"/>
  <c r="AG66" i="8" s="1"/>
  <c r="AE66" i="8" s="1"/>
  <c r="P39" i="8"/>
  <c r="S39" i="8" s="1"/>
  <c r="T39" i="8" s="1"/>
  <c r="H40" i="8"/>
  <c r="G40" i="8"/>
  <c r="AG24" i="8"/>
  <c r="AE34" i="10" s="1"/>
  <c r="P43" i="7"/>
  <c r="Q43" i="7" s="1"/>
  <c r="R43" i="7" s="1"/>
  <c r="W40" i="7" s="1"/>
  <c r="AD40" i="7" s="1"/>
  <c r="AF40" i="7" s="1"/>
  <c r="W34" i="10"/>
  <c r="Y34" i="10" s="1"/>
  <c r="AF34" i="10"/>
  <c r="AF55" i="10" s="1"/>
  <c r="AE51" i="16"/>
  <c r="BC28" i="10"/>
  <c r="BC24" i="10"/>
  <c r="BC32" i="10"/>
  <c r="AL39" i="19"/>
  <c r="AN38" i="19"/>
  <c r="AD46" i="10" s="1"/>
  <c r="D46" i="10"/>
  <c r="R136" i="18"/>
  <c r="S136" i="18" s="1"/>
  <c r="T136" i="18" s="1"/>
  <c r="AI34" i="18" s="1"/>
  <c r="R39" i="18"/>
  <c r="S39" i="18" s="1"/>
  <c r="T39" i="18" s="1"/>
  <c r="AF36" i="18" s="1"/>
  <c r="N44" i="7"/>
  <c r="R102" i="18"/>
  <c r="S102" i="18" s="1"/>
  <c r="T102" i="18" s="1"/>
  <c r="AH33" i="18" s="1"/>
  <c r="AK33" i="18" s="1"/>
  <c r="AM33" i="18" s="1"/>
  <c r="AC43" i="10" s="1"/>
  <c r="AW43" i="10" s="1"/>
  <c r="AY43" i="10" s="1"/>
  <c r="N71" i="18"/>
  <c r="AB46" i="19"/>
  <c r="AE73" i="19" s="1"/>
  <c r="AA47" i="19"/>
  <c r="M44" i="7"/>
  <c r="R70" i="18"/>
  <c r="S70" i="18" s="1"/>
  <c r="T70" i="18" s="1"/>
  <c r="AG34" i="18" s="1"/>
  <c r="M103" i="18"/>
  <c r="N40" i="18"/>
  <c r="G45" i="7"/>
  <c r="C45" i="7"/>
  <c r="I45" i="7"/>
  <c r="E45" i="7"/>
  <c r="D45" i="7"/>
  <c r="B46" i="7"/>
  <c r="H45" i="7"/>
  <c r="J45" i="7"/>
  <c r="K45" i="7"/>
  <c r="L45" i="7"/>
  <c r="O45" i="7"/>
  <c r="F45" i="7"/>
  <c r="T45" i="7"/>
  <c r="W76" i="7" s="1"/>
  <c r="AH42" i="7" s="1"/>
  <c r="N137" i="18"/>
  <c r="C42" i="10"/>
  <c r="W42" i="10" s="1"/>
  <c r="Y42" i="10" s="1"/>
  <c r="R40" i="8"/>
  <c r="X130" i="8" s="1"/>
  <c r="AG130" i="8" s="1"/>
  <c r="AE130" i="8" s="1"/>
  <c r="X67" i="8"/>
  <c r="AG67" i="8" s="1"/>
  <c r="AE67" i="8" s="1"/>
  <c r="C104" i="18"/>
  <c r="G104" i="18"/>
  <c r="O104" i="18"/>
  <c r="P104" i="18"/>
  <c r="H104" i="18"/>
  <c r="L104" i="18"/>
  <c r="B105" i="18"/>
  <c r="Q104" i="18"/>
  <c r="K104" i="18"/>
  <c r="D104" i="18"/>
  <c r="Q40" i="8"/>
  <c r="X99" i="8" s="1"/>
  <c r="AG99" i="8" s="1"/>
  <c r="AE99" i="8" s="1"/>
  <c r="M71" i="18"/>
  <c r="E45" i="10"/>
  <c r="AG35" i="8"/>
  <c r="AE45" i="10" s="1"/>
  <c r="N103" i="18"/>
  <c r="G72" i="18"/>
  <c r="B73" i="18"/>
  <c r="K72" i="18"/>
  <c r="H72" i="18"/>
  <c r="C72" i="18"/>
  <c r="O72" i="18"/>
  <c r="P72" i="18"/>
  <c r="D72" i="18"/>
  <c r="L72" i="18"/>
  <c r="Q72" i="18"/>
  <c r="H138" i="18"/>
  <c r="L138" i="18"/>
  <c r="C138" i="18"/>
  <c r="G138" i="18"/>
  <c r="D138" i="18"/>
  <c r="B139" i="18"/>
  <c r="K138" i="18"/>
  <c r="F138" i="18"/>
  <c r="J138" i="18"/>
  <c r="O138" i="18"/>
  <c r="P138" i="18"/>
  <c r="E138" i="18"/>
  <c r="I138" i="18"/>
  <c r="Q138" i="18"/>
  <c r="B42" i="8"/>
  <c r="I41" i="8"/>
  <c r="M41" i="8"/>
  <c r="O41" i="8"/>
  <c r="L41" i="8"/>
  <c r="C41" i="8"/>
  <c r="N41" i="8"/>
  <c r="E41" i="8"/>
  <c r="J41" i="8"/>
  <c r="F41" i="8"/>
  <c r="D41" i="8"/>
  <c r="K41" i="8"/>
  <c r="AM31" i="18"/>
  <c r="C41" i="10"/>
  <c r="AG129" i="8"/>
  <c r="K41" i="18"/>
  <c r="B42" i="18"/>
  <c r="O41" i="18"/>
  <c r="G41" i="18"/>
  <c r="L41" i="18"/>
  <c r="H41" i="18"/>
  <c r="C41" i="18"/>
  <c r="D41" i="18"/>
  <c r="P41" i="18"/>
  <c r="Q41" i="18"/>
  <c r="AE34" i="8"/>
  <c r="AE36" i="4"/>
  <c r="X46" i="10" s="1"/>
  <c r="V37" i="4"/>
  <c r="M137" i="18"/>
  <c r="M40" i="18"/>
  <c r="P40" i="8" l="1"/>
  <c r="R40" i="18"/>
  <c r="S40" i="18" s="1"/>
  <c r="T40" i="18" s="1"/>
  <c r="AF37" i="18" s="1"/>
  <c r="H41" i="8"/>
  <c r="G41" i="8"/>
  <c r="P44" i="7"/>
  <c r="Q44" i="7" s="1"/>
  <c r="R44" i="7" s="1"/>
  <c r="W41" i="7" s="1"/>
  <c r="AD41" i="7" s="1"/>
  <c r="AF41" i="7" s="1"/>
  <c r="M45" i="7"/>
  <c r="AW34" i="10"/>
  <c r="AY34" i="10" s="1"/>
  <c r="BC33" i="10"/>
  <c r="AL40" i="19"/>
  <c r="D47" i="10"/>
  <c r="AN39" i="19"/>
  <c r="AD47" i="10" s="1"/>
  <c r="R103" i="18"/>
  <c r="S103" i="18" s="1"/>
  <c r="T103" i="18" s="1"/>
  <c r="AH34" i="18" s="1"/>
  <c r="AK34" i="18" s="1"/>
  <c r="C44" i="10" s="1"/>
  <c r="M104" i="18"/>
  <c r="N45" i="7"/>
  <c r="R137" i="18"/>
  <c r="S137" i="18" s="1"/>
  <c r="T137" i="18" s="1"/>
  <c r="AI35" i="18" s="1"/>
  <c r="R71" i="18"/>
  <c r="S71" i="18" s="1"/>
  <c r="T71" i="18" s="1"/>
  <c r="AG35" i="18" s="1"/>
  <c r="AA48" i="19"/>
  <c r="AB47" i="19"/>
  <c r="AE74" i="19" s="1"/>
  <c r="E46" i="7"/>
  <c r="H46" i="7"/>
  <c r="J46" i="7"/>
  <c r="L46" i="7"/>
  <c r="F46" i="7"/>
  <c r="K46" i="7"/>
  <c r="O46" i="7"/>
  <c r="C46" i="7"/>
  <c r="T46" i="7"/>
  <c r="W77" i="7" s="1"/>
  <c r="AH43" i="7" s="1"/>
  <c r="G46" i="7"/>
  <c r="I46" i="7"/>
  <c r="D46" i="7"/>
  <c r="M41" i="18"/>
  <c r="N72" i="18"/>
  <c r="M138" i="18"/>
  <c r="C43" i="10"/>
  <c r="W43" i="10" s="1"/>
  <c r="Y43" i="10" s="1"/>
  <c r="X36" i="8"/>
  <c r="P42" i="18"/>
  <c r="K42" i="18"/>
  <c r="B43" i="18"/>
  <c r="H42" i="18"/>
  <c r="D42" i="18"/>
  <c r="G42" i="18"/>
  <c r="O42" i="18"/>
  <c r="L42" i="18"/>
  <c r="C42" i="18"/>
  <c r="Q42" i="18"/>
  <c r="AC41" i="10"/>
  <c r="M72" i="18"/>
  <c r="X68" i="8"/>
  <c r="AG68" i="8" s="1"/>
  <c r="AE68" i="8" s="1"/>
  <c r="S40" i="8"/>
  <c r="T40" i="8" s="1"/>
  <c r="X37" i="8" s="1"/>
  <c r="AE37" i="8" s="1"/>
  <c r="V38" i="4"/>
  <c r="AE37" i="4"/>
  <c r="X47" i="10" s="1"/>
  <c r="R41" i="8"/>
  <c r="X131" i="8" s="1"/>
  <c r="AG131" i="8" s="1"/>
  <c r="AE131" i="8" s="1"/>
  <c r="B74" i="18"/>
  <c r="G73" i="18"/>
  <c r="K73" i="18"/>
  <c r="D73" i="18"/>
  <c r="O73" i="18"/>
  <c r="C73" i="18"/>
  <c r="H73" i="18"/>
  <c r="P73" i="18"/>
  <c r="L73" i="18"/>
  <c r="Q73" i="18"/>
  <c r="B43" i="8"/>
  <c r="L42" i="8"/>
  <c r="E42" i="8"/>
  <c r="F42" i="8"/>
  <c r="D42" i="8"/>
  <c r="O42" i="8"/>
  <c r="I42" i="8"/>
  <c r="J42" i="8"/>
  <c r="N42" i="8"/>
  <c r="M42" i="8"/>
  <c r="C42" i="8"/>
  <c r="K42" i="8"/>
  <c r="H139" i="18"/>
  <c r="K139" i="18"/>
  <c r="B140" i="18"/>
  <c r="L139" i="18"/>
  <c r="C139" i="18"/>
  <c r="G139" i="18"/>
  <c r="D139" i="18"/>
  <c r="O139" i="18"/>
  <c r="I139" i="18"/>
  <c r="E139" i="18"/>
  <c r="J139" i="18"/>
  <c r="F139" i="18"/>
  <c r="P139" i="18"/>
  <c r="Q139" i="18"/>
  <c r="N138" i="18"/>
  <c r="C105" i="18"/>
  <c r="G105" i="18"/>
  <c r="H105" i="18"/>
  <c r="L105" i="18"/>
  <c r="P105" i="18"/>
  <c r="B106" i="18"/>
  <c r="O105" i="18"/>
  <c r="Q105" i="18"/>
  <c r="K105" i="18"/>
  <c r="D105" i="18"/>
  <c r="N41" i="18"/>
  <c r="AE129" i="8"/>
  <c r="E44" i="10"/>
  <c r="AG34" i="8"/>
  <c r="W41" i="10"/>
  <c r="Q41" i="8"/>
  <c r="X100" i="8" s="1"/>
  <c r="AG100" i="8" s="1"/>
  <c r="AE100" i="8" s="1"/>
  <c r="N104" i="18"/>
  <c r="P41" i="8" l="1"/>
  <c r="S41" i="8" s="1"/>
  <c r="T41" i="8" s="1"/>
  <c r="X38" i="8" s="1"/>
  <c r="AE38" i="8" s="1"/>
  <c r="H42" i="8"/>
  <c r="G42" i="8"/>
  <c r="P45" i="7"/>
  <c r="Q45" i="7" s="1"/>
  <c r="R45" i="7" s="1"/>
  <c r="W42" i="7" s="1"/>
  <c r="AD42" i="7" s="1"/>
  <c r="AF42" i="7" s="1"/>
  <c r="R104" i="18"/>
  <c r="S104" i="18" s="1"/>
  <c r="T104" i="18" s="1"/>
  <c r="AH35" i="18" s="1"/>
  <c r="AK35" i="18" s="1"/>
  <c r="AM35" i="18" s="1"/>
  <c r="BC27" i="10"/>
  <c r="AZ34" i="10"/>
  <c r="AZ35" i="10" s="1"/>
  <c r="AZ36" i="10" s="1"/>
  <c r="AZ37" i="10" s="1"/>
  <c r="AZ38" i="10" s="1"/>
  <c r="AZ39" i="10" s="1"/>
  <c r="AZ40" i="10" s="1"/>
  <c r="R138" i="18"/>
  <c r="S138" i="18" s="1"/>
  <c r="T138" i="18" s="1"/>
  <c r="AI36" i="18" s="1"/>
  <c r="AL41" i="19"/>
  <c r="AN40" i="19"/>
  <c r="AD48" i="10" s="1"/>
  <c r="D48" i="10"/>
  <c r="R41" i="18"/>
  <c r="S41" i="18" s="1"/>
  <c r="T41" i="18" s="1"/>
  <c r="AF38" i="18" s="1"/>
  <c r="N42" i="18"/>
  <c r="R72" i="18"/>
  <c r="S72" i="18" s="1"/>
  <c r="T72" i="18" s="1"/>
  <c r="AG36" i="18" s="1"/>
  <c r="M46" i="7"/>
  <c r="AB48" i="19"/>
  <c r="AE75" i="19" s="1"/>
  <c r="AL42" i="19" s="1"/>
  <c r="AM34" i="18"/>
  <c r="AC44" i="10" s="1"/>
  <c r="M105" i="18"/>
  <c r="M139" i="18"/>
  <c r="N73" i="18"/>
  <c r="M42" i="18"/>
  <c r="N46" i="7"/>
  <c r="N105" i="18"/>
  <c r="R42" i="8"/>
  <c r="X132" i="8" s="1"/>
  <c r="AG132" i="8" s="1"/>
  <c r="AE132" i="8" s="1"/>
  <c r="V39" i="4"/>
  <c r="AE38" i="4"/>
  <c r="X48" i="10" s="1"/>
  <c r="Q42" i="8"/>
  <c r="X101" i="8" s="1"/>
  <c r="AG101" i="8" s="1"/>
  <c r="AE101" i="8" s="1"/>
  <c r="AE44" i="10"/>
  <c r="AW41" i="10"/>
  <c r="O43" i="18"/>
  <c r="H43" i="18"/>
  <c r="B44" i="18"/>
  <c r="C43" i="18"/>
  <c r="D43" i="18"/>
  <c r="L43" i="18"/>
  <c r="G43" i="18"/>
  <c r="K43" i="18"/>
  <c r="P43" i="18"/>
  <c r="Q43" i="18"/>
  <c r="G106" i="18"/>
  <c r="H106" i="18"/>
  <c r="L106" i="18"/>
  <c r="C106" i="18"/>
  <c r="P106" i="18"/>
  <c r="B107" i="18"/>
  <c r="Q106" i="18"/>
  <c r="O106" i="18"/>
  <c r="K106" i="18"/>
  <c r="D106" i="18"/>
  <c r="H140" i="18"/>
  <c r="L140" i="18"/>
  <c r="K140" i="18"/>
  <c r="D140" i="18"/>
  <c r="B141" i="18"/>
  <c r="G140" i="18"/>
  <c r="C140" i="18"/>
  <c r="O140" i="18"/>
  <c r="F140" i="18"/>
  <c r="E140" i="18"/>
  <c r="J140" i="18"/>
  <c r="P140" i="18"/>
  <c r="I140" i="18"/>
  <c r="Q140" i="18"/>
  <c r="B44" i="8"/>
  <c r="O43" i="8"/>
  <c r="F43" i="8"/>
  <c r="I43" i="8"/>
  <c r="J43" i="8"/>
  <c r="E43" i="8"/>
  <c r="M43" i="8"/>
  <c r="L43" i="8"/>
  <c r="D43" i="8"/>
  <c r="C43" i="8"/>
  <c r="N43" i="8"/>
  <c r="K43" i="8"/>
  <c r="M73" i="18"/>
  <c r="AG37" i="8"/>
  <c r="AE47" i="10" s="1"/>
  <c r="E47" i="10"/>
  <c r="W44" i="10"/>
  <c r="Y44" i="10" s="1"/>
  <c r="G74" i="18"/>
  <c r="K74" i="18"/>
  <c r="B75" i="18"/>
  <c r="C74" i="18"/>
  <c r="H74" i="18"/>
  <c r="D74" i="18"/>
  <c r="O74" i="18"/>
  <c r="P74" i="18"/>
  <c r="L74" i="18"/>
  <c r="Q74" i="18"/>
  <c r="Y41" i="10"/>
  <c r="AE36" i="8"/>
  <c r="N139" i="18"/>
  <c r="X69" i="8" l="1"/>
  <c r="AG69" i="8" s="1"/>
  <c r="AE69" i="8" s="1"/>
  <c r="P42" i="8"/>
  <c r="G43" i="8"/>
  <c r="H43" i="8"/>
  <c r="R139" i="18"/>
  <c r="S139" i="18" s="1"/>
  <c r="T139" i="18" s="1"/>
  <c r="AI37" i="18" s="1"/>
  <c r="P46" i="7"/>
  <c r="Q46" i="7" s="1"/>
  <c r="R46" i="7" s="1"/>
  <c r="W43" i="7" s="1"/>
  <c r="AD43" i="7" s="1"/>
  <c r="AF43" i="7" s="1"/>
  <c r="M106" i="18"/>
  <c r="AN41" i="19"/>
  <c r="AD49" i="10" s="1"/>
  <c r="D49" i="10"/>
  <c r="D50" i="10"/>
  <c r="AN42" i="19"/>
  <c r="AD50" i="10" s="1"/>
  <c r="R73" i="18"/>
  <c r="S73" i="18" s="1"/>
  <c r="T73" i="18" s="1"/>
  <c r="AG37" i="18" s="1"/>
  <c r="R105" i="18"/>
  <c r="S105" i="18" s="1"/>
  <c r="T105" i="18" s="1"/>
  <c r="AH36" i="18" s="1"/>
  <c r="AK36" i="18" s="1"/>
  <c r="AM36" i="18" s="1"/>
  <c r="AC46" i="10" s="1"/>
  <c r="R42" i="18"/>
  <c r="S42" i="18" s="1"/>
  <c r="T42" i="18" s="1"/>
  <c r="AF39" i="18" s="1"/>
  <c r="C45" i="10"/>
  <c r="W45" i="10" s="1"/>
  <c r="Y45" i="10" s="1"/>
  <c r="N140" i="18"/>
  <c r="AW44" i="10"/>
  <c r="AY44" i="10" s="1"/>
  <c r="M74" i="18"/>
  <c r="N74" i="18"/>
  <c r="M43" i="18"/>
  <c r="M140" i="18"/>
  <c r="H107" i="18"/>
  <c r="L107" i="18"/>
  <c r="B108" i="18"/>
  <c r="O107" i="18"/>
  <c r="P107" i="18"/>
  <c r="G107" i="18"/>
  <c r="C107" i="18"/>
  <c r="Q107" i="18"/>
  <c r="K107" i="18"/>
  <c r="D107" i="18"/>
  <c r="N43" i="18"/>
  <c r="V40" i="4"/>
  <c r="AE39" i="4"/>
  <c r="X49" i="10" s="1"/>
  <c r="R43" i="8"/>
  <c r="X133" i="8" s="1"/>
  <c r="AG133" i="8" s="1"/>
  <c r="AE133" i="8" s="1"/>
  <c r="N106" i="18"/>
  <c r="C44" i="18"/>
  <c r="B45" i="18"/>
  <c r="D44" i="18"/>
  <c r="G44" i="18"/>
  <c r="K44" i="18"/>
  <c r="O44" i="18"/>
  <c r="P44" i="18"/>
  <c r="H44" i="18"/>
  <c r="L44" i="18"/>
  <c r="Q44" i="18"/>
  <c r="B76" i="18"/>
  <c r="G75" i="18"/>
  <c r="K75" i="18"/>
  <c r="H75" i="18"/>
  <c r="O75" i="18"/>
  <c r="C75" i="18"/>
  <c r="P75" i="18"/>
  <c r="D75" i="18"/>
  <c r="Q75" i="18"/>
  <c r="L75" i="18"/>
  <c r="Q43" i="8"/>
  <c r="X102" i="8" s="1"/>
  <c r="AG102" i="8" s="1"/>
  <c r="AE102" i="8" s="1"/>
  <c r="B45" i="8"/>
  <c r="M44" i="8"/>
  <c r="O44" i="8"/>
  <c r="L44" i="8"/>
  <c r="D44" i="8"/>
  <c r="E44" i="8"/>
  <c r="N44" i="8"/>
  <c r="I44" i="8"/>
  <c r="J44" i="8"/>
  <c r="F44" i="8"/>
  <c r="C44" i="8"/>
  <c r="K44" i="8"/>
  <c r="X70" i="8"/>
  <c r="AG70" i="8" s="1"/>
  <c r="AE70" i="8" s="1"/>
  <c r="S42" i="8"/>
  <c r="T42" i="8" s="1"/>
  <c r="X39" i="8" s="1"/>
  <c r="E46" i="10"/>
  <c r="AG36" i="8"/>
  <c r="L141" i="18"/>
  <c r="G141" i="18"/>
  <c r="H141" i="18"/>
  <c r="C141" i="18"/>
  <c r="D141" i="18"/>
  <c r="K141" i="18"/>
  <c r="B142" i="18"/>
  <c r="O141" i="18"/>
  <c r="P141" i="18"/>
  <c r="E141" i="18"/>
  <c r="J141" i="18"/>
  <c r="F141" i="18"/>
  <c r="I141" i="18"/>
  <c r="Q141" i="18"/>
  <c r="E48" i="10"/>
  <c r="AG38" i="8"/>
  <c r="AE48" i="10" s="1"/>
  <c r="AY41" i="10"/>
  <c r="AC45" i="10"/>
  <c r="P43" i="8" l="1"/>
  <c r="X71" i="8" s="1"/>
  <c r="AG71" i="8" s="1"/>
  <c r="AE71" i="8" s="1"/>
  <c r="G44" i="8"/>
  <c r="H44" i="8"/>
  <c r="R106" i="18"/>
  <c r="S106" i="18" s="1"/>
  <c r="T106" i="18" s="1"/>
  <c r="AH37" i="18" s="1"/>
  <c r="AK37" i="18" s="1"/>
  <c r="C47" i="10" s="1"/>
  <c r="BC31" i="10"/>
  <c r="BC34" i="10"/>
  <c r="AL43" i="19"/>
  <c r="R74" i="18"/>
  <c r="S74" i="18" s="1"/>
  <c r="T74" i="18" s="1"/>
  <c r="AG38" i="18" s="1"/>
  <c r="N44" i="18"/>
  <c r="R43" i="18"/>
  <c r="S43" i="18" s="1"/>
  <c r="T43" i="18" s="1"/>
  <c r="AF40" i="18" s="1"/>
  <c r="M75" i="18"/>
  <c r="M44" i="18"/>
  <c r="AL44" i="19"/>
  <c r="R140" i="18"/>
  <c r="S140" i="18" s="1"/>
  <c r="T140" i="18" s="1"/>
  <c r="AI38" i="18" s="1"/>
  <c r="C46" i="10"/>
  <c r="W46" i="10" s="1"/>
  <c r="Y46" i="10" s="1"/>
  <c r="M107" i="18"/>
  <c r="N141" i="18"/>
  <c r="AW45" i="10"/>
  <c r="AE39" i="8"/>
  <c r="R44" i="8"/>
  <c r="X134" i="8" s="1"/>
  <c r="AG134" i="8" s="1"/>
  <c r="AE134" i="8" s="1"/>
  <c r="G108" i="18"/>
  <c r="P108" i="18"/>
  <c r="O108" i="18"/>
  <c r="H108" i="18"/>
  <c r="L108" i="18"/>
  <c r="C108" i="18"/>
  <c r="B109" i="18"/>
  <c r="Q108" i="18"/>
  <c r="D108" i="18"/>
  <c r="K108" i="18"/>
  <c r="AZ41" i="10"/>
  <c r="N75" i="18"/>
  <c r="N107" i="18"/>
  <c r="C142" i="18"/>
  <c r="K142" i="18"/>
  <c r="H142" i="18"/>
  <c r="D142" i="18"/>
  <c r="B143" i="18"/>
  <c r="L142" i="18"/>
  <c r="G142" i="18"/>
  <c r="J142" i="18"/>
  <c r="O142" i="18"/>
  <c r="P142" i="18"/>
  <c r="F142" i="18"/>
  <c r="E142" i="18"/>
  <c r="I142" i="18"/>
  <c r="Q142" i="18"/>
  <c r="AE46" i="10"/>
  <c r="AW46" i="10" s="1"/>
  <c r="AY46" i="10" s="1"/>
  <c r="K76" i="18"/>
  <c r="G76" i="18"/>
  <c r="C76" i="18"/>
  <c r="P76" i="18"/>
  <c r="B77" i="18"/>
  <c r="D76" i="18"/>
  <c r="O76" i="18"/>
  <c r="H76" i="18"/>
  <c r="L76" i="18"/>
  <c r="Q76" i="18"/>
  <c r="O45" i="18"/>
  <c r="K45" i="18"/>
  <c r="P45" i="18"/>
  <c r="C45" i="18"/>
  <c r="D45" i="18"/>
  <c r="H45" i="18"/>
  <c r="G45" i="18"/>
  <c r="B46" i="18"/>
  <c r="L45" i="18"/>
  <c r="Q45" i="18"/>
  <c r="Q44" i="8"/>
  <c r="X103" i="8" s="1"/>
  <c r="AG103" i="8" s="1"/>
  <c r="AE103" i="8" s="1"/>
  <c r="M141" i="18"/>
  <c r="I45" i="8"/>
  <c r="M45" i="8"/>
  <c r="B46" i="8"/>
  <c r="L45" i="8"/>
  <c r="C45" i="8"/>
  <c r="E45" i="8"/>
  <c r="J45" i="8"/>
  <c r="N45" i="8"/>
  <c r="D45" i="8"/>
  <c r="O45" i="8"/>
  <c r="F45" i="8"/>
  <c r="K45" i="8"/>
  <c r="V41" i="4"/>
  <c r="AE40" i="4"/>
  <c r="X50" i="10" s="1"/>
  <c r="P44" i="8" l="1"/>
  <c r="X72" i="8" s="1"/>
  <c r="AG72" i="8" s="1"/>
  <c r="AE72" i="8" s="1"/>
  <c r="S43" i="8"/>
  <c r="T43" i="8" s="1"/>
  <c r="X40" i="8" s="1"/>
  <c r="AE40" i="8" s="1"/>
  <c r="AG40" i="8" s="1"/>
  <c r="AE50" i="10" s="1"/>
  <c r="H45" i="8"/>
  <c r="G45" i="8"/>
  <c r="BC36" i="10"/>
  <c r="AN43" i="19"/>
  <c r="AD51" i="10" s="1"/>
  <c r="D51" i="10"/>
  <c r="AN44" i="19"/>
  <c r="AD52" i="10" s="1"/>
  <c r="D52" i="10"/>
  <c r="AM37" i="18"/>
  <c r="AC47" i="10" s="1"/>
  <c r="AW47" i="10" s="1"/>
  <c r="AY47" i="10" s="1"/>
  <c r="N108" i="18"/>
  <c r="R44" i="18"/>
  <c r="S44" i="18" s="1"/>
  <c r="T44" i="18" s="1"/>
  <c r="AF41" i="18" s="1"/>
  <c r="R75" i="18"/>
  <c r="S75" i="18" s="1"/>
  <c r="T75" i="18" s="1"/>
  <c r="AG39" i="18" s="1"/>
  <c r="R141" i="18"/>
  <c r="S141" i="18" s="1"/>
  <c r="T141" i="18" s="1"/>
  <c r="AI39" i="18" s="1"/>
  <c r="N76" i="18"/>
  <c r="M76" i="18"/>
  <c r="N142" i="18"/>
  <c r="R107" i="18"/>
  <c r="S107" i="18" s="1"/>
  <c r="T107" i="18" s="1"/>
  <c r="AH38" i="18" s="1"/>
  <c r="AK38" i="18" s="1"/>
  <c r="C48" i="10" s="1"/>
  <c r="W48" i="10" s="1"/>
  <c r="Y48" i="10" s="1"/>
  <c r="M45" i="18"/>
  <c r="M108" i="18"/>
  <c r="M142" i="18"/>
  <c r="E49" i="10"/>
  <c r="AG39" i="8"/>
  <c r="R45" i="8"/>
  <c r="X135" i="8" s="1"/>
  <c r="AG135" i="8" s="1"/>
  <c r="AE135" i="8" s="1"/>
  <c r="V42" i="4"/>
  <c r="AE41" i="4"/>
  <c r="X51" i="10" s="1"/>
  <c r="AY45" i="10"/>
  <c r="O109" i="18"/>
  <c r="G109" i="18"/>
  <c r="B110" i="18"/>
  <c r="P109" i="18"/>
  <c r="C109" i="18"/>
  <c r="H109" i="18"/>
  <c r="L109" i="18"/>
  <c r="Q109" i="18"/>
  <c r="K109" i="18"/>
  <c r="D109" i="18"/>
  <c r="B78" i="18"/>
  <c r="G77" i="18"/>
  <c r="K77" i="18"/>
  <c r="O77" i="18"/>
  <c r="C77" i="18"/>
  <c r="P77" i="18"/>
  <c r="D77" i="18"/>
  <c r="H77" i="18"/>
  <c r="L77" i="18"/>
  <c r="Q77" i="18"/>
  <c r="H143" i="18"/>
  <c r="D143" i="18"/>
  <c r="L143" i="18"/>
  <c r="C143" i="18"/>
  <c r="K143" i="18"/>
  <c r="G143" i="18"/>
  <c r="B144" i="18"/>
  <c r="P143" i="18"/>
  <c r="J143" i="18"/>
  <c r="O143" i="18"/>
  <c r="I143" i="18"/>
  <c r="E143" i="18"/>
  <c r="F143" i="18"/>
  <c r="Q143" i="18"/>
  <c r="AZ42" i="10"/>
  <c r="AZ43" i="10" s="1"/>
  <c r="AZ44" i="10" s="1"/>
  <c r="Q45" i="8"/>
  <c r="X104" i="8" s="1"/>
  <c r="AG104" i="8" s="1"/>
  <c r="AE104" i="8" s="1"/>
  <c r="N45" i="18"/>
  <c r="O46" i="8"/>
  <c r="L46" i="8"/>
  <c r="C46" i="8"/>
  <c r="J46" i="8"/>
  <c r="D46" i="8"/>
  <c r="E46" i="8"/>
  <c r="F46" i="8"/>
  <c r="N46" i="8"/>
  <c r="I46" i="8"/>
  <c r="M46" i="8"/>
  <c r="K46" i="8"/>
  <c r="C46" i="18"/>
  <c r="D46" i="18"/>
  <c r="H46" i="18"/>
  <c r="O46" i="18"/>
  <c r="K46" i="18"/>
  <c r="G46" i="18"/>
  <c r="P46" i="18"/>
  <c r="L46" i="18"/>
  <c r="Q46" i="18"/>
  <c r="W47" i="10"/>
  <c r="Y47" i="10" s="1"/>
  <c r="S44" i="8" l="1"/>
  <c r="T44" i="8" s="1"/>
  <c r="X41" i="8" s="1"/>
  <c r="AE41" i="8" s="1"/>
  <c r="AG41" i="8" s="1"/>
  <c r="AE51" i="10" s="1"/>
  <c r="E50" i="10"/>
  <c r="P45" i="8"/>
  <c r="S45" i="8" s="1"/>
  <c r="T45" i="8" s="1"/>
  <c r="X42" i="8" s="1"/>
  <c r="AE42" i="8" s="1"/>
  <c r="G46" i="8"/>
  <c r="H46" i="8"/>
  <c r="BC37" i="10"/>
  <c r="BC35" i="10"/>
  <c r="AL45" i="19"/>
  <c r="R45" i="18"/>
  <c r="S45" i="18" s="1"/>
  <c r="T45" i="18" s="1"/>
  <c r="AF42" i="18" s="1"/>
  <c r="R108" i="18"/>
  <c r="S108" i="18" s="1"/>
  <c r="T108" i="18" s="1"/>
  <c r="AH39" i="18" s="1"/>
  <c r="AK39" i="18" s="1"/>
  <c r="AM39" i="18" s="1"/>
  <c r="AC49" i="10" s="1"/>
  <c r="R76" i="18"/>
  <c r="S76" i="18" s="1"/>
  <c r="T76" i="18" s="1"/>
  <c r="AG40" i="18" s="1"/>
  <c r="N46" i="18"/>
  <c r="AM38" i="18"/>
  <c r="AC48" i="10" s="1"/>
  <c r="AW48" i="10" s="1"/>
  <c r="M109" i="18"/>
  <c r="M46" i="18"/>
  <c r="R142" i="18"/>
  <c r="S142" i="18" s="1"/>
  <c r="T142" i="18" s="1"/>
  <c r="AI40" i="18" s="1"/>
  <c r="N143" i="18"/>
  <c r="AE49" i="10"/>
  <c r="Q46" i="8"/>
  <c r="X105" i="8" s="1"/>
  <c r="AG105" i="8" s="1"/>
  <c r="AE105" i="8" s="1"/>
  <c r="AZ45" i="10"/>
  <c r="M77" i="18"/>
  <c r="N109" i="18"/>
  <c r="R46" i="8"/>
  <c r="X136" i="8" s="1"/>
  <c r="AG136" i="8" s="1"/>
  <c r="AE136" i="8" s="1"/>
  <c r="G144" i="18"/>
  <c r="H144" i="18"/>
  <c r="L144" i="18"/>
  <c r="C144" i="18"/>
  <c r="D144" i="18"/>
  <c r="B145" i="18"/>
  <c r="K144" i="18"/>
  <c r="J144" i="18"/>
  <c r="P144" i="18"/>
  <c r="E144" i="18"/>
  <c r="F144" i="18"/>
  <c r="I144" i="18"/>
  <c r="O144" i="18"/>
  <c r="Q144" i="18"/>
  <c r="N77" i="18"/>
  <c r="K78" i="18"/>
  <c r="B79" i="18"/>
  <c r="G78" i="18"/>
  <c r="D78" i="18"/>
  <c r="O78" i="18"/>
  <c r="H78" i="18"/>
  <c r="C78" i="18"/>
  <c r="P78" i="18"/>
  <c r="Q78" i="18"/>
  <c r="L78" i="18"/>
  <c r="C110" i="18"/>
  <c r="G110" i="18"/>
  <c r="H110" i="18"/>
  <c r="L110" i="18"/>
  <c r="P110" i="18"/>
  <c r="O110" i="18"/>
  <c r="B111" i="18"/>
  <c r="Q110" i="18"/>
  <c r="D110" i="18"/>
  <c r="K110" i="18"/>
  <c r="X73" i="8"/>
  <c r="AG73" i="8" s="1"/>
  <c r="AE73" i="8" s="1"/>
  <c r="M143" i="18"/>
  <c r="V43" i="4"/>
  <c r="AE42" i="4"/>
  <c r="X52" i="10" s="1"/>
  <c r="E51" i="10" l="1"/>
  <c r="P46" i="8"/>
  <c r="M110" i="18"/>
  <c r="AN45" i="19"/>
  <c r="AD53" i="10" s="1"/>
  <c r="D53" i="10"/>
  <c r="R46" i="18"/>
  <c r="S46" i="18" s="1"/>
  <c r="T46" i="18" s="1"/>
  <c r="AF43" i="18" s="1"/>
  <c r="C49" i="10"/>
  <c r="W49" i="10" s="1"/>
  <c r="Y49" i="10" s="1"/>
  <c r="R143" i="18"/>
  <c r="S143" i="18" s="1"/>
  <c r="T143" i="18" s="1"/>
  <c r="AI41" i="18" s="1"/>
  <c r="R109" i="18"/>
  <c r="S109" i="18" s="1"/>
  <c r="T109" i="18" s="1"/>
  <c r="AH40" i="18" s="1"/>
  <c r="AK40" i="18" s="1"/>
  <c r="AM40" i="18" s="1"/>
  <c r="AC50" i="10" s="1"/>
  <c r="AW50" i="10" s="1"/>
  <c r="AY50" i="10" s="1"/>
  <c r="N144" i="18"/>
  <c r="R77" i="18"/>
  <c r="S77" i="18" s="1"/>
  <c r="T77" i="18" s="1"/>
  <c r="AG41" i="18" s="1"/>
  <c r="AW49" i="10"/>
  <c r="AY49" i="10" s="1"/>
  <c r="N78" i="18"/>
  <c r="K79" i="18"/>
  <c r="H79" i="18"/>
  <c r="P79" i="18"/>
  <c r="O79" i="18"/>
  <c r="D79" i="18"/>
  <c r="G79" i="18"/>
  <c r="C79" i="18"/>
  <c r="Q79" i="18"/>
  <c r="L79" i="18"/>
  <c r="AY48" i="10"/>
  <c r="N110" i="18"/>
  <c r="M78" i="18"/>
  <c r="AE43" i="4"/>
  <c r="X53" i="10" s="1"/>
  <c r="C145" i="18"/>
  <c r="K145" i="18"/>
  <c r="G145" i="18"/>
  <c r="D145" i="18"/>
  <c r="H145" i="18"/>
  <c r="L145" i="18"/>
  <c r="O145" i="18"/>
  <c r="P145" i="18"/>
  <c r="J145" i="18"/>
  <c r="I145" i="18"/>
  <c r="F145" i="18"/>
  <c r="E145" i="18"/>
  <c r="Q145" i="18"/>
  <c r="AZ46" i="10"/>
  <c r="AZ47" i="10" s="1"/>
  <c r="M144" i="18"/>
  <c r="X74" i="8"/>
  <c r="AG74" i="8" s="1"/>
  <c r="AE74" i="8" s="1"/>
  <c r="S46" i="8"/>
  <c r="T46" i="8" s="1"/>
  <c r="X43" i="8" s="1"/>
  <c r="AE43" i="8" s="1"/>
  <c r="AG42" i="8"/>
  <c r="AE52" i="10" s="1"/>
  <c r="E52" i="10"/>
  <c r="G111" i="18"/>
  <c r="B112" i="18"/>
  <c r="O111" i="18"/>
  <c r="P111" i="18"/>
  <c r="Q111" i="18"/>
  <c r="C111" i="18"/>
  <c r="L111" i="18"/>
  <c r="H111" i="18"/>
  <c r="D111" i="18"/>
  <c r="K111" i="18"/>
  <c r="R110" i="18" l="1"/>
  <c r="S110" i="18" s="1"/>
  <c r="T110" i="18" s="1"/>
  <c r="AH41" i="18" s="1"/>
  <c r="AK41" i="18" s="1"/>
  <c r="C51" i="10" s="1"/>
  <c r="W51" i="10" s="1"/>
  <c r="Y51" i="10" s="1"/>
  <c r="BC38" i="10"/>
  <c r="BC39" i="10"/>
  <c r="BC40" i="10"/>
  <c r="R144" i="18"/>
  <c r="S144" i="18" s="1"/>
  <c r="T144" i="18" s="1"/>
  <c r="AI42" i="18" s="1"/>
  <c r="M111" i="18"/>
  <c r="R78" i="18"/>
  <c r="S78" i="18" s="1"/>
  <c r="T78" i="18" s="1"/>
  <c r="AG42" i="18" s="1"/>
  <c r="AZ48" i="10"/>
  <c r="AZ49" i="10" s="1"/>
  <c r="AZ50" i="10" s="1"/>
  <c r="C50" i="10"/>
  <c r="W50" i="10" s="1"/>
  <c r="Y50" i="10" s="1"/>
  <c r="N79" i="18"/>
  <c r="M79" i="18"/>
  <c r="N111" i="18"/>
  <c r="M145" i="18"/>
  <c r="E53" i="10"/>
  <c r="AG43" i="8"/>
  <c r="AE53" i="10" s="1"/>
  <c r="N145" i="18"/>
  <c r="P112" i="18"/>
  <c r="O112" i="18"/>
  <c r="H112" i="18"/>
  <c r="L112" i="18"/>
  <c r="C112" i="18"/>
  <c r="G112" i="18"/>
  <c r="Q112" i="18"/>
  <c r="D112" i="18"/>
  <c r="K112" i="18"/>
  <c r="R79" i="18" l="1"/>
  <c r="S79" i="18" s="1"/>
  <c r="T79" i="18" s="1"/>
  <c r="AG43" i="18" s="1"/>
  <c r="R111" i="18"/>
  <c r="S111" i="18" s="1"/>
  <c r="T111" i="18" s="1"/>
  <c r="AH42" i="18" s="1"/>
  <c r="AK42" i="18" s="1"/>
  <c r="C52" i="10" s="1"/>
  <c r="W52" i="10" s="1"/>
  <c r="Y52" i="10" s="1"/>
  <c r="AM41" i="18"/>
  <c r="AC51" i="10" s="1"/>
  <c r="AW51" i="10" s="1"/>
  <c r="AY51" i="10" s="1"/>
  <c r="N112" i="18"/>
  <c r="M112" i="18"/>
  <c r="R145" i="18"/>
  <c r="S145" i="18" s="1"/>
  <c r="T145" i="18" s="1"/>
  <c r="AI43" i="18" s="1"/>
  <c r="BC41" i="10" l="1"/>
  <c r="R112" i="18"/>
  <c r="S112" i="18" s="1"/>
  <c r="T112" i="18" s="1"/>
  <c r="AH43" i="18" s="1"/>
  <c r="AK43" i="18" s="1"/>
  <c r="AM43" i="18" s="1"/>
  <c r="AC53" i="10" s="1"/>
  <c r="AW53" i="10" s="1"/>
  <c r="AY53" i="10" s="1"/>
  <c r="AM42" i="18"/>
  <c r="AC52" i="10" s="1"/>
  <c r="AW52" i="10" s="1"/>
  <c r="AY52" i="10" s="1"/>
  <c r="AZ51" i="10"/>
  <c r="BC43" i="10" l="1"/>
  <c r="BC42" i="10"/>
  <c r="C53" i="10"/>
  <c r="W53" i="10" s="1"/>
  <c r="Y53" i="10" s="1"/>
  <c r="AZ52" i="10"/>
  <c r="AZ53" i="10" s="1"/>
  <c r="BC44" i="10" l="1"/>
  <c r="BC45" i="10"/>
  <c r="BC46" i="10" l="1"/>
  <c r="BC47" i="10" l="1"/>
  <c r="BC48" i="10"/>
  <c r="BC49" i="10" l="1"/>
  <c r="BC50" i="10" l="1"/>
  <c r="BC51" i="10" l="1"/>
  <c r="BE48" i="9" l="1"/>
  <c r="AW48" i="9"/>
  <c r="BD48" i="9"/>
  <c r="AV48" i="9"/>
  <c r="BC48" i="9"/>
  <c r="AU48" i="9"/>
  <c r="BB48" i="9"/>
  <c r="AT48" i="9"/>
  <c r="BA48" i="9"/>
  <c r="AS48" i="9"/>
  <c r="AY48" i="9"/>
  <c r="AX48" i="9"/>
  <c r="AZ48" i="9"/>
  <c r="AR48" i="9"/>
  <c r="AO48" i="9" l="1"/>
  <c r="AM48" i="9"/>
  <c r="AK48" i="9"/>
  <c r="AN48" i="9"/>
  <c r="AP48" i="9"/>
  <c r="BG48" i="9" l="1"/>
  <c r="AB48" i="9"/>
  <c r="AQ48" i="9"/>
  <c r="AL48" i="9"/>
  <c r="BO351" i="9" l="1"/>
  <c r="BF48" i="9"/>
  <c r="CG45" i="9"/>
  <c r="D60" i="10" s="1"/>
  <c r="Q30" i="6" s="1"/>
  <c r="BO317" i="9"/>
  <c r="BH48" i="9"/>
  <c r="CH45" i="9"/>
  <c r="D61" i="10" s="1"/>
  <c r="Q31" i="6" s="1"/>
  <c r="CI45" i="9"/>
  <c r="D62" i="10" s="1"/>
  <c r="Q32" i="6" s="1"/>
  <c r="BO385" i="9"/>
  <c r="BI48" i="9"/>
  <c r="BJ48" i="9"/>
  <c r="CJ45" i="9"/>
  <c r="D63" i="10" s="1"/>
  <c r="Q33" i="6" s="1"/>
  <c r="BO419" i="9"/>
  <c r="BK48" i="9"/>
  <c r="CL45" i="9"/>
  <c r="D66" i="10" s="1"/>
  <c r="Q36" i="6" s="1"/>
  <c r="BO487" i="9"/>
  <c r="BO45" i="9"/>
  <c r="BZ45" i="9"/>
  <c r="C60" i="10" s="1"/>
  <c r="O30" i="6" s="1"/>
  <c r="BO79" i="9"/>
  <c r="CD45" i="9"/>
  <c r="C65" i="10" s="1"/>
  <c r="O35" i="6" s="1"/>
  <c r="BO215" i="9"/>
  <c r="CE45" i="9"/>
  <c r="C66" i="10" s="1"/>
  <c r="O36" i="6" s="1"/>
  <c r="BO249" i="9"/>
  <c r="CB45" i="9"/>
  <c r="C62" i="10" s="1"/>
  <c r="O32" i="6" s="1"/>
  <c r="BO147" i="9"/>
  <c r="CA45" i="9"/>
  <c r="C61" i="10" s="1"/>
  <c r="O31" i="6" s="1"/>
  <c r="BO113" i="9"/>
  <c r="CC45" i="9"/>
  <c r="C63" i="10" s="1"/>
  <c r="O33" i="6" s="1"/>
  <c r="BO181" i="9"/>
  <c r="CF45" i="9"/>
  <c r="C64" i="10" s="1"/>
  <c r="O34" i="6" s="1"/>
  <c r="BO283" i="9"/>
  <c r="CK45" i="9" l="1"/>
  <c r="D65" i="10" s="1"/>
  <c r="Q35" i="6" s="1"/>
  <c r="BO453" i="9"/>
  <c r="G55" i="10"/>
  <c r="Q18" i="6" s="1"/>
  <c r="BV45" i="9"/>
  <c r="AG55" i="10" l="1"/>
  <c r="BX45" i="9"/>
  <c r="AB50" i="19" l="1"/>
  <c r="AA50" i="19"/>
  <c r="T48" i="7"/>
  <c r="AE77" i="19" l="1"/>
  <c r="R48" i="7"/>
  <c r="W45" i="7"/>
  <c r="W79" i="7"/>
  <c r="AH45" i="7" s="1"/>
  <c r="C57" i="10" s="1"/>
  <c r="Q21" i="6" s="1"/>
  <c r="AL47" i="19" l="1"/>
  <c r="AF45" i="7"/>
  <c r="AD45" i="7"/>
  <c r="D55" i="10" l="1"/>
  <c r="Q15" i="6" s="1"/>
  <c r="AD55" i="10"/>
  <c r="AN47" i="19"/>
  <c r="AF45" i="18" l="1"/>
  <c r="X138" i="8"/>
  <c r="P14" i="4"/>
  <c r="X107" i="8"/>
  <c r="R15" i="6" l="1"/>
  <c r="R32" i="6"/>
  <c r="R31" i="6"/>
  <c r="R36" i="6"/>
  <c r="R30" i="6"/>
  <c r="R33" i="6"/>
  <c r="R35" i="6"/>
  <c r="T48" i="18"/>
  <c r="X76" i="8"/>
  <c r="Q29" i="6"/>
  <c r="Q13" i="6"/>
  <c r="O29" i="6"/>
  <c r="P33" i="6"/>
  <c r="P32" i="6"/>
  <c r="P31" i="6"/>
  <c r="P34" i="6"/>
  <c r="P35" i="6"/>
  <c r="P36" i="6"/>
  <c r="P30" i="6"/>
  <c r="R18" i="6"/>
  <c r="R22" i="6"/>
  <c r="R23" i="6"/>
  <c r="R24" i="6"/>
  <c r="R17" i="6"/>
  <c r="R21" i="6"/>
  <c r="AE107" i="8"/>
  <c r="AG107" i="8"/>
  <c r="X55" i="10"/>
  <c r="AE44" i="4"/>
  <c r="T48" i="8"/>
  <c r="AE138" i="8"/>
  <c r="AG138" i="8"/>
  <c r="T81" i="18" l="1"/>
  <c r="AI45" i="18"/>
  <c r="AE76" i="8"/>
  <c r="AG76" i="8"/>
  <c r="X45" i="8"/>
  <c r="H13" i="6"/>
  <c r="T114" i="18" l="1"/>
  <c r="T147" i="18"/>
  <c r="AG45" i="18"/>
  <c r="E55" i="10"/>
  <c r="Q16" i="6" s="1"/>
  <c r="R16" i="6" s="1"/>
  <c r="AE45" i="8"/>
  <c r="AE46" i="8" s="1"/>
  <c r="AH45" i="18" l="1"/>
  <c r="AE55" i="10"/>
  <c r="AG45" i="8"/>
  <c r="AG46" i="8" s="1"/>
  <c r="AK45" i="18" l="1"/>
  <c r="AM45" i="18"/>
  <c r="C55" i="10" l="1"/>
  <c r="Q14" i="6" s="1"/>
  <c r="Q19" i="6" s="1"/>
  <c r="R19" i="6" s="1"/>
  <c r="AC55" i="10"/>
  <c r="Y55" i="10"/>
  <c r="H15" i="6" s="1"/>
  <c r="W55" i="10"/>
  <c r="R14" i="6" l="1"/>
  <c r="H14" i="6"/>
  <c r="H18" i="6"/>
  <c r="AW55" i="10"/>
  <c r="BC54" i="10" l="1"/>
  <c r="H20" i="6" s="1"/>
  <c r="AY55" i="10"/>
  <c r="AZ55" i="10"/>
  <c r="BC58" i="10" s="1"/>
  <c r="H22"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<sst xmlns="http://schemas.openxmlformats.org/spreadsheetml/2006/main" count="3574" uniqueCount="956">
  <si>
    <t>Office of Transportation Economics</t>
  </si>
  <si>
    <t>Division of Transportation Planning</t>
  </si>
  <si>
    <t>For questions and comments, please contact:</t>
  </si>
  <si>
    <t xml:space="preserve">District: </t>
  </si>
  <si>
    <t>Enter all project costs (in today's dollars) in columns 1 to 7.  Costs during construction should be entered in the first eight rows.</t>
  </si>
  <si>
    <t>EA:</t>
  </si>
  <si>
    <t>Project costs (including maintenance and operating costs) should be net of costs without project.</t>
  </si>
  <si>
    <t>PROJECT:</t>
  </si>
  <si>
    <t>PPNO:</t>
  </si>
  <si>
    <t>1A</t>
  </si>
  <si>
    <t>PROJECT DATA</t>
  </si>
  <si>
    <t>1B</t>
  </si>
  <si>
    <t>MODEL STRUCTURE</t>
  </si>
  <si>
    <t>1C</t>
  </si>
  <si>
    <t>PROJECT COSTS (enter costs in thousands of dollars)</t>
  </si>
  <si>
    <t>Type of Project</t>
  </si>
  <si>
    <t>Col. no.</t>
  </si>
  <si>
    <t>(1)</t>
  </si>
  <si>
    <t>(2)</t>
  </si>
  <si>
    <t>(3)</t>
  </si>
  <si>
    <t>(4)</t>
  </si>
  <si>
    <t>(5)</t>
  </si>
  <si>
    <t>(6)</t>
  </si>
  <si>
    <t>(7)</t>
  </si>
  <si>
    <t>Values In This Model</t>
  </si>
  <si>
    <t>DIRECT PROJECT COSTS</t>
  </si>
  <si>
    <t>Transit</t>
  </si>
  <si>
    <t>Number of Model Groups</t>
  </si>
  <si>
    <t>INITIAL COSTS</t>
  </si>
  <si>
    <t>SUBSEQUENT COSTS</t>
  </si>
  <si>
    <t>Agency</t>
  </si>
  <si>
    <t>TOTAL COSTS (in dollars)</t>
  </si>
  <si>
    <r>
      <t>Project Location</t>
    </r>
    <r>
      <rPr>
        <sz val="9"/>
        <rFont val="Arial"/>
        <family val="2"/>
      </rPr>
      <t xml:space="preserve"> (enter 1 for So. Cal., 2 for No. Cal., or 3 for rural)</t>
    </r>
  </si>
  <si>
    <t>Number of Safety Groups</t>
  </si>
  <si>
    <t>Year</t>
  </si>
  <si>
    <t>Project</t>
  </si>
  <si>
    <t>Maint./</t>
  </si>
  <si>
    <t>Cost</t>
  </si>
  <si>
    <t xml:space="preserve">Constant </t>
  </si>
  <si>
    <t>Present</t>
  </si>
  <si>
    <t>Years</t>
  </si>
  <si>
    <t>Support</t>
  </si>
  <si>
    <t>R / W</t>
  </si>
  <si>
    <t>Construction</t>
  </si>
  <si>
    <t>Op.</t>
  </si>
  <si>
    <t>Rehab.</t>
  </si>
  <si>
    <t>Mitigation</t>
  </si>
  <si>
    <t>Savings</t>
  </si>
  <si>
    <t>Dollars</t>
  </si>
  <si>
    <t>Value</t>
  </si>
  <si>
    <t>Project Timing</t>
  </si>
  <si>
    <t>Construction Period</t>
  </si>
  <si>
    <t>Current Year</t>
  </si>
  <si>
    <t>Year Construction Begins</t>
  </si>
  <si>
    <t>Year Project Opens</t>
  </si>
  <si>
    <t>Project Open</t>
  </si>
  <si>
    <t>Total</t>
  </si>
  <si>
    <r>
      <t xml:space="preserve">Present Value  =  </t>
    </r>
    <r>
      <rPr>
        <u/>
        <sz val="10"/>
        <rFont val="Arial"/>
        <family val="2"/>
      </rPr>
      <t>Future Value  (in Constant Dollars)</t>
    </r>
  </si>
  <si>
    <t xml:space="preserve">                      ( 1 + Real Discount Rate) ^ Year</t>
  </si>
  <si>
    <t>2A</t>
  </si>
  <si>
    <t>DEFINITIONS OF MODEL GROUPS AND YEARS</t>
  </si>
  <si>
    <t>2B</t>
  </si>
  <si>
    <t>AVERAGE PROFILE FOR DIVERTED TRIPS/INDUCED TRIPS</t>
  </si>
  <si>
    <t>2E</t>
  </si>
  <si>
    <t>DEFINITIONS OF SAFETY GROUPS AND YEARS</t>
  </si>
  <si>
    <t>Typical 'No Build' conditions for persons 'on the margin' who will divert from highway to transit in Build Scenario, or for induced trips.</t>
  </si>
  <si>
    <t>This profile should reflect a lower cost alternative than the average traffic profile entered in Table 2C and 2D.</t>
  </si>
  <si>
    <t>For Trips Diverting from Highway to Transit</t>
  </si>
  <si>
    <t>Least Cost Alternative (for Induced Trips)</t>
  </si>
  <si>
    <t>Select Mode</t>
  </si>
  <si>
    <t>Name</t>
  </si>
  <si>
    <t>Description</t>
  </si>
  <si>
    <t>Avg. Vehicle
Occupancy
(AVO)</t>
  </si>
  <si>
    <t>Percent
Trucks</t>
  </si>
  <si>
    <t>No Build</t>
  </si>
  <si>
    <t>Fatal Reduction Factor</t>
  </si>
  <si>
    <t>Injury Reduction Factor</t>
  </si>
  <si>
    <t>PDO Reduction Factor</t>
  </si>
  <si>
    <t>Model Group 1</t>
  </si>
  <si>
    <t>Safety Group 1</t>
  </si>
  <si>
    <t>Highway</t>
  </si>
  <si>
    <t>Base Year</t>
  </si>
  <si>
    <t>Safety Base Year</t>
  </si>
  <si>
    <t>Forecast Year</t>
  </si>
  <si>
    <t>Safety Forecast Year</t>
  </si>
  <si>
    <t>2C</t>
  </si>
  <si>
    <t>2D</t>
  </si>
  <si>
    <t>2F</t>
  </si>
  <si>
    <t xml:space="preserve">    2G</t>
  </si>
  <si>
    <t>REQUIRED FOR</t>
  </si>
  <si>
    <t>TRANSIT</t>
  </si>
  <si>
    <t>Vehicle</t>
  </si>
  <si>
    <t>Passenger</t>
  </si>
  <si>
    <t>Out-of-</t>
  </si>
  <si>
    <t>Average</t>
  </si>
  <si>
    <t>Fatal</t>
  </si>
  <si>
    <t>Injury</t>
  </si>
  <si>
    <t>PDO</t>
  </si>
  <si>
    <t>Number</t>
  </si>
  <si>
    <t xml:space="preserve">Number of </t>
  </si>
  <si>
    <t>Miles</t>
  </si>
  <si>
    <t>Hours</t>
  </si>
  <si>
    <t>Pocket</t>
  </si>
  <si>
    <t>Accident</t>
  </si>
  <si>
    <t>of</t>
  </si>
  <si>
    <t>Trips</t>
  </si>
  <si>
    <t>Traveled</t>
  </si>
  <si>
    <t xml:space="preserve"> Traveled</t>
  </si>
  <si>
    <t>Occupancy</t>
  </si>
  <si>
    <t>Percent</t>
  </si>
  <si>
    <t xml:space="preserve"> Cost</t>
  </si>
  <si>
    <t>Rate</t>
  </si>
  <si>
    <t xml:space="preserve">Fatal </t>
  </si>
  <si>
    <t>(Trips) * **</t>
  </si>
  <si>
    <t>(VMT) *</t>
  </si>
  <si>
    <t>(VHT)</t>
  </si>
  <si>
    <t>(PMT)</t>
  </si>
  <si>
    <t>(PHT)</t>
  </si>
  <si>
    <t>($ per trip)</t>
  </si>
  <si>
    <t>Speed</t>
  </si>
  <si>
    <t>(AVO)</t>
  </si>
  <si>
    <t>Trucks</t>
  </si>
  <si>
    <t>(VMT)</t>
  </si>
  <si>
    <t>Per MVM</t>
  </si>
  <si>
    <t>TOTAL</t>
  </si>
  <si>
    <t>Build</t>
  </si>
  <si>
    <t>*For Highway Model Groups, VMT refers to vehicle miles traveled. For Transit Model Groups, VMT refers to transit vehicle miles traveled</t>
  </si>
  <si>
    <t>**Number of Trips is an optional field for Highway Model Groups, unless Transit Model Groups are included. This is a required input if induced demand exists.</t>
  </si>
  <si>
    <t>INVESTMENT ANALYSIS</t>
  </si>
  <si>
    <t>SUMMARY RESULTS</t>
  </si>
  <si>
    <t>Total Over</t>
  </si>
  <si>
    <t xml:space="preserve">Life-Cycle Costs (mil. $) </t>
  </si>
  <si>
    <t>ITEMIZED BENEFITS (mil. $)</t>
  </si>
  <si>
    <t>Annual</t>
  </si>
  <si>
    <t xml:space="preserve">Life-Cycle Benefits (mil. $) </t>
  </si>
  <si>
    <t xml:space="preserve">     Travel Time Savings</t>
  </si>
  <si>
    <t>Net Present Value (mil. $)</t>
  </si>
  <si>
    <t xml:space="preserve">     Veh. Op. Cost Savings</t>
  </si>
  <si>
    <t xml:space="preserve">     Accident Cost Savings</t>
  </si>
  <si>
    <t>Benefit / Cost Ratio:</t>
  </si>
  <si>
    <t xml:space="preserve">     Emission Cost Savings</t>
  </si>
  <si>
    <t>TOTAL BENEFITS</t>
  </si>
  <si>
    <t>Rate of Return on Investment:</t>
  </si>
  <si>
    <t>Person-Hours of Time Saved</t>
  </si>
  <si>
    <t>Payback Period:</t>
  </si>
  <si>
    <t>Fatalities Avoided</t>
  </si>
  <si>
    <t>Injuries Avoided</t>
  </si>
  <si>
    <t>PDO Avoided</t>
  </si>
  <si>
    <t>Should benefit-cost results include:</t>
  </si>
  <si>
    <t>Tons</t>
  </si>
  <si>
    <t>Value (mil. $)</t>
  </si>
  <si>
    <t>1) Induced Travel? (y/n)</t>
  </si>
  <si>
    <t>Y</t>
  </si>
  <si>
    <t>EMISSIONS REDUCTION</t>
  </si>
  <si>
    <t>Default = Y</t>
  </si>
  <si>
    <t xml:space="preserve">     CO Emissions Saved</t>
  </si>
  <si>
    <r>
      <t xml:space="preserve">     CO</t>
    </r>
    <r>
      <rPr>
        <b/>
        <vertAlign val="subscript"/>
        <sz val="14"/>
        <color indexed="25"/>
        <rFont val="Arial"/>
        <family val="2"/>
      </rPr>
      <t>2</t>
    </r>
    <r>
      <rPr>
        <b/>
        <sz val="14"/>
        <color indexed="25"/>
        <rFont val="Arial"/>
        <family val="2"/>
      </rPr>
      <t xml:space="preserve"> Emissions Saved</t>
    </r>
  </si>
  <si>
    <r>
      <t xml:space="preserve">     NO</t>
    </r>
    <r>
      <rPr>
        <b/>
        <vertAlign val="subscript"/>
        <sz val="14"/>
        <color indexed="25"/>
        <rFont val="Arial"/>
        <family val="2"/>
      </rPr>
      <t>X</t>
    </r>
    <r>
      <rPr>
        <b/>
        <sz val="14"/>
        <color indexed="25"/>
        <rFont val="Arial"/>
        <family val="2"/>
      </rPr>
      <t xml:space="preserve"> Emissions Saved</t>
    </r>
  </si>
  <si>
    <t>3) Accident Costs? (y/n)</t>
  </si>
  <si>
    <r>
      <t xml:space="preserve">     PM</t>
    </r>
    <r>
      <rPr>
        <b/>
        <vertAlign val="subscript"/>
        <sz val="14"/>
        <color indexed="25"/>
        <rFont val="Arial"/>
        <family val="2"/>
      </rPr>
      <t>10</t>
    </r>
    <r>
      <rPr>
        <b/>
        <sz val="14"/>
        <color indexed="25"/>
        <rFont val="Arial"/>
        <family val="2"/>
      </rPr>
      <t xml:space="preserve"> Emissions Saved</t>
    </r>
  </si>
  <si>
    <t>4) Vehicle Emissions? (y/n)</t>
  </si>
  <si>
    <r>
      <t xml:space="preserve">     SO</t>
    </r>
    <r>
      <rPr>
        <b/>
        <vertAlign val="subscript"/>
        <sz val="14"/>
        <color indexed="25"/>
        <rFont val="Arial"/>
        <family val="2"/>
      </rPr>
      <t>X</t>
    </r>
    <r>
      <rPr>
        <b/>
        <sz val="14"/>
        <color indexed="25"/>
        <rFont val="Arial"/>
        <family val="2"/>
      </rPr>
      <t xml:space="preserve"> Emissions Saved</t>
    </r>
  </si>
  <si>
    <r>
      <t>includes value for CO</t>
    </r>
    <r>
      <rPr>
        <vertAlign val="subscript"/>
        <sz val="12"/>
        <color indexed="18"/>
        <rFont val="Arial"/>
        <family val="2"/>
      </rPr>
      <t>2</t>
    </r>
    <r>
      <rPr>
        <sz val="12"/>
        <color indexed="18"/>
        <rFont val="Arial"/>
        <family val="2"/>
      </rPr>
      <t>e</t>
    </r>
  </si>
  <si>
    <t xml:space="preserve">     VOC Emissions Saved</t>
  </si>
  <si>
    <t>Travel Time Benefits</t>
  </si>
  <si>
    <t>This sheet calculates total travel time benefits on highway and transit.</t>
  </si>
  <si>
    <t>Formulas:</t>
  </si>
  <si>
    <t>Present Value  =  Future Value  (in Constant Dollars)</t>
  </si>
  <si>
    <t xml:space="preserve">Avg. Travel Time = Total PHT / Total Person Trips </t>
  </si>
  <si>
    <t>for transit</t>
  </si>
  <si>
    <t xml:space="preserve">                     ( 1 + Real Discount Rate) ^ Year</t>
  </si>
  <si>
    <t>Total Vehicle-Hours Traveled = Daily VHT x Annualization Factor</t>
  </si>
  <si>
    <t xml:space="preserve">hrs / person             passenger-hrs / yr </t>
  </si>
  <si>
    <t>trips / yr</t>
  </si>
  <si>
    <t xml:space="preserve">vehicle-hrs / yr </t>
  </si>
  <si>
    <t>vehicle hrs / day</t>
  </si>
  <si>
    <t>days / yr</t>
  </si>
  <si>
    <t>Avg. Value of Time (varies by vehicle type)</t>
  </si>
  <si>
    <t>Avg. Travel Time = Total VHT x AVO / Total Person Trips</t>
  </si>
  <si>
    <t>for hwy</t>
  </si>
  <si>
    <t xml:space="preserve">TT Savings =  Travel Time Reduction  x  Avg. Value of Time </t>
  </si>
  <si>
    <t xml:space="preserve">hrs / person             vehicle-hrs / yr </t>
  </si>
  <si>
    <t xml:space="preserve">     people / veh</t>
  </si>
  <si>
    <t>dollars / year</t>
  </si>
  <si>
    <t>hours</t>
  </si>
  <si>
    <t xml:space="preserve">           dollars / hr  </t>
  </si>
  <si>
    <t>A</t>
  </si>
  <si>
    <t>HIGHWAY AND TRANSIT BENEFITS</t>
  </si>
  <si>
    <t>B</t>
  </si>
  <si>
    <t>SUMMARY OF TRAVEL TIME BENEFITS</t>
  </si>
  <si>
    <t>TOTAL VHT</t>
  </si>
  <si>
    <t>AVERAGE VEH OCC</t>
  </si>
  <si>
    <t>PERCENT TRUCKS</t>
  </si>
  <si>
    <t>TOTAL PHT</t>
  </si>
  <si>
    <t>AVERAGE TRAVEL TIME</t>
  </si>
  <si>
    <t>TIME BENEFIT</t>
  </si>
  <si>
    <t>Total Per-Hrs of Time Saved</t>
  </si>
  <si>
    <t>(veh-hours/yr)</t>
  </si>
  <si>
    <t>(persons/vehicle)</t>
  </si>
  <si>
    <t>(trips/yr)</t>
  </si>
  <si>
    <t xml:space="preserve">   (%)</t>
  </si>
  <si>
    <t>(per-hours/yr)</t>
  </si>
  <si>
    <t xml:space="preserve">       (hours/trip)</t>
  </si>
  <si>
    <t>($/yr)</t>
  </si>
  <si>
    <t>Value of</t>
  </si>
  <si>
    <t>Per-Hrs</t>
  </si>
  <si>
    <t>Adjusted (no induced)</t>
  </si>
  <si>
    <t>Existing</t>
  </si>
  <si>
    <t>Constant</t>
  </si>
  <si>
    <t>Travel Time</t>
  </si>
  <si>
    <t>of Time</t>
  </si>
  <si>
    <t>Users</t>
  </si>
  <si>
    <t>Saved</t>
  </si>
  <si>
    <t>SUMMARY OF PERSON-HOURS SAVED</t>
  </si>
  <si>
    <t>Consumer Surplus Benefits</t>
  </si>
  <si>
    <t>This sheet calculates consumer benefits associated with induced demand.</t>
  </si>
  <si>
    <t xml:space="preserve">              ( 1 + Real Discount Rate) ^ Year</t>
  </si>
  <si>
    <t>Adj. Person Trips = Total Person Trips - Induced Demand</t>
  </si>
  <si>
    <t xml:space="preserve">     trips / yr</t>
  </si>
  <si>
    <t xml:space="preserve">           trips / yr</t>
  </si>
  <si>
    <t>CS Benefit =  Diff. in Travel Time  x  Avg. Value of Time x Diff. in Adj. Person Trips x 0.5</t>
  </si>
  <si>
    <t xml:space="preserve">dollars / year </t>
  </si>
  <si>
    <t xml:space="preserve">  hrs / trip</t>
  </si>
  <si>
    <t xml:space="preserve">  dollars / hr</t>
  </si>
  <si>
    <t xml:space="preserve">                       trips / yr</t>
  </si>
  <si>
    <t>CONSUMER SURPLUS BENEFIT (AGGREGATE)</t>
  </si>
  <si>
    <t xml:space="preserve">Each block of calculations is one mode. Data inputs are aggregated by sum or weighted average. Average vehicle occupancy and percent trucks data averages are weighted by hours, out-of-pocket cost averages are weighted by trips. </t>
  </si>
  <si>
    <t>SUMMARY OF INDUCED DEMAND BENEFITS</t>
  </si>
  <si>
    <t>OUT OF POCKET COST</t>
  </si>
  <si>
    <t>CONSUMER SURPLUS BENEFIT</t>
  </si>
  <si>
    <t>($/trip)</t>
  </si>
  <si>
    <t>New</t>
  </si>
  <si>
    <t>Induced</t>
  </si>
  <si>
    <t>(Induced)</t>
  </si>
  <si>
    <t>Demand</t>
  </si>
  <si>
    <t>SUMMARY OF TRIPS BY MODE (across model groups)</t>
  </si>
  <si>
    <t>AVERAGE PROFILE FOR DIVERTED TRIPS/INDUCED TRIPS BY MODE</t>
  </si>
  <si>
    <t>TOTAL TRIPS*</t>
  </si>
  <si>
    <t>Average Speed in</t>
  </si>
  <si>
    <t>Average Trip Length 
in</t>
  </si>
  <si>
    <t>Average Speed 
in</t>
  </si>
  <si>
    <t>Average Trip Length in</t>
  </si>
  <si>
    <t>Mode</t>
  </si>
  <si>
    <t>Build - No Build**</t>
  </si>
  <si>
    <t>Induced Demand</t>
  </si>
  <si>
    <t>*Person trips for transit modes, vehicle trips for highway.</t>
  </si>
  <si>
    <t>**Positive values are trip increases (induced and diverted). Negative values are diverted trips.</t>
  </si>
  <si>
    <t>Number of Trips 
(No Build)</t>
  </si>
  <si>
    <t>Increase in Number of Trips (Build vs. No Build)</t>
  </si>
  <si>
    <t>Share within mode</t>
  </si>
  <si>
    <t>Transit Does Not Exist in No Build</t>
  </si>
  <si>
    <t>Vehicle Operating Cost Benefits</t>
  </si>
  <si>
    <t>This sheet calculates changes in highway vehicle operating costs as benefits for highway and transit projects.</t>
  </si>
  <si>
    <t>Net changes in transit operating costs should be included as project costs.</t>
  </si>
  <si>
    <t xml:space="preserve"> ( 1 + Real Discount Rate) ^ Year</t>
  </si>
  <si>
    <t>Vehicle-Miles Traveled = Affected Length x Avg. Annual Volume</t>
  </si>
  <si>
    <t>Non-Fuel Cost = VMT x Cost Per Mile</t>
  </si>
  <si>
    <t>Benefit = Existing Cost - New Cost</t>
  </si>
  <si>
    <t>veh-miles/yr</t>
  </si>
  <si>
    <t>miles</t>
  </si>
  <si>
    <t>vehicles/yr</t>
  </si>
  <si>
    <t>dollars                         miles</t>
  </si>
  <si>
    <t>$/mile</t>
  </si>
  <si>
    <t>Fuel Cost = VMT x Fuel Consumption x Fuel Price</t>
  </si>
  <si>
    <t>Out-of-Pocket Cost = Trips x Cost Per Trip</t>
  </si>
  <si>
    <t>dollars</t>
  </si>
  <si>
    <t>gallons/mile</t>
  </si>
  <si>
    <t>dollars/gallon</t>
  </si>
  <si>
    <t>trips        $ / trip</t>
  </si>
  <si>
    <t>MODEL BENEFITS</t>
  </si>
  <si>
    <t>SUMMARY OF VEHICLE OPERATING COST BENEFITS</t>
  </si>
  <si>
    <t>TOTAL VMT</t>
  </si>
  <si>
    <t>AVERAGE SPEED</t>
  </si>
  <si>
    <t>BENEFITS</t>
  </si>
  <si>
    <t>(veh-miles/yr)</t>
  </si>
  <si>
    <t>(veh-hrs/yr)</t>
  </si>
  <si>
    <t>(mph)</t>
  </si>
  <si>
    <t>(%)</t>
  </si>
  <si>
    <t>Adjusted</t>
  </si>
  <si>
    <t>Fuel</t>
  </si>
  <si>
    <t>Non-Fuel</t>
  </si>
  <si>
    <t>Out-of-Pocket Costs</t>
  </si>
  <si>
    <t>Veh Op Cost</t>
  </si>
  <si>
    <t>Costs</t>
  </si>
  <si>
    <t>(Existing)</t>
  </si>
  <si>
    <t>SUMMARY OF FUEL COST SAVINGS</t>
  </si>
  <si>
    <t>SUMMARY OF NON-FUEL COST SAVINGS</t>
  </si>
  <si>
    <t>SUMMARY OF OUT-OF-POCKET COST SAVINGS</t>
  </si>
  <si>
    <t>Accident Cost Benefits</t>
  </si>
  <si>
    <t>This sheet calculates accident cost benefits on highway and transit</t>
  </si>
  <si>
    <t>Fatalities = (Vehicle-Miles Traveled * Fatal Accident Rate / 10^6)*Conversion Factor</t>
  </si>
  <si>
    <t>events/yr</t>
  </si>
  <si>
    <t>accidents/mvmt</t>
  </si>
  <si>
    <t>events/accident</t>
  </si>
  <si>
    <t>Injuries = (Vehicle-Miles Traveled * Injury Accident Rate / 10^6)*Conversion Factor</t>
  </si>
  <si>
    <t>PDOs = (Vehicle-Miles Traveled * PDO Accident Rate / 10^6)*Conversion Factor</t>
  </si>
  <si>
    <t xml:space="preserve">    veh-miles/yr</t>
  </si>
  <si>
    <t>Fatal Cost Savings = (Existing Fatalities - New Fatalities) * Fatality Cost</t>
  </si>
  <si>
    <t>Injury Cost Savings = (Existing Injuries - New Injuries) * Injury Cost</t>
  </si>
  <si>
    <t>dollars/yr</t>
  </si>
  <si>
    <t>dollars/event</t>
  </si>
  <si>
    <t>PDO Cost Savings = (Existing PDO  - New PDO) * PDO Cost</t>
  </si>
  <si>
    <t>Accident Cost Savings = Fatal Cost Savings + Injury Cost Savings + PDO Cost Savings</t>
  </si>
  <si>
    <t>SUMMARY OF ACCIDENT COST BENEFITS</t>
  </si>
  <si>
    <t>TOTAL FATALITIES</t>
  </si>
  <si>
    <t>TOTAL INJURIES</t>
  </si>
  <si>
    <t>TOTAL VEHICLES DAMAGED</t>
  </si>
  <si>
    <t>ACCIDENT BENEFITS</t>
  </si>
  <si>
    <t>Total Events Avoided</t>
  </si>
  <si>
    <t>(events/yr)</t>
  </si>
  <si>
    <t>Fatalities</t>
  </si>
  <si>
    <t>Injuries</t>
  </si>
  <si>
    <t>Fatality Cost</t>
  </si>
  <si>
    <t>Injury Cost</t>
  </si>
  <si>
    <t>Property Damage Cost</t>
  </si>
  <si>
    <t>Accident Cost</t>
  </si>
  <si>
    <t>Avoided</t>
  </si>
  <si>
    <t>SUMMARY OF FATALITIES AVOIDED</t>
  </si>
  <si>
    <t>SUMMARY OF INJURIES AVOIDED</t>
  </si>
  <si>
    <t>SUMMARY OF PDOs AVOIDED</t>
  </si>
  <si>
    <t>Emission Reduction Benefits</t>
  </si>
  <si>
    <t>This sheet calculates emissions benefits for highway and transit.</t>
  </si>
  <si>
    <t>Transit Em Cost = (Veh-Miles x Rate x Cost/Mile) by Em Type</t>
  </si>
  <si>
    <t>dollars/veh-mile</t>
  </si>
  <si>
    <t xml:space="preserve"> Hwy Emissions Cost = (VMT x Rate x Cost/Mile) by Emissions Type</t>
  </si>
  <si>
    <t>SUMMARY OF EMISSION REDUCTION BENEFITS</t>
  </si>
  <si>
    <t>SUMMARY OF EMISSION REDUCTION BENEFITS (continued)</t>
  </si>
  <si>
    <t>HIGHWAY</t>
  </si>
  <si>
    <t>BUS</t>
  </si>
  <si>
    <t>PASSENGER TRAIN</t>
  </si>
  <si>
    <t>LIGHT RAIL</t>
  </si>
  <si>
    <t>TOTAL PMT</t>
  </si>
  <si>
    <t>AVERAGE VOLUME</t>
  </si>
  <si>
    <t>RUNNING EMISSIONS</t>
  </si>
  <si>
    <t>STARTING EMISSIONS</t>
  </si>
  <si>
    <t>EMISSIONS</t>
  </si>
  <si>
    <t>TONS EMISSIONS SAVED</t>
  </si>
  <si>
    <t>DOLLARS EMISSIONS SAVED</t>
  </si>
  <si>
    <t>(pers-miles/yr)</t>
  </si>
  <si>
    <t>(pers-hrs/yr)</t>
  </si>
  <si>
    <t>(vehicles/yr)</t>
  </si>
  <si>
    <t>(tons/yr)</t>
  </si>
  <si>
    <t>(PV $/yr)</t>
  </si>
  <si>
    <t>Emission</t>
  </si>
  <si>
    <t>CO</t>
  </si>
  <si>
    <r>
      <t>CO</t>
    </r>
    <r>
      <rPr>
        <b/>
        <vertAlign val="subscript"/>
        <sz val="11"/>
        <color indexed="16"/>
        <rFont val="Arial"/>
        <family val="2"/>
      </rPr>
      <t>2</t>
    </r>
  </si>
  <si>
    <r>
      <t>NO</t>
    </r>
    <r>
      <rPr>
        <b/>
        <vertAlign val="subscript"/>
        <sz val="11"/>
        <color indexed="16"/>
        <rFont val="Arial"/>
        <family val="2"/>
      </rPr>
      <t>X</t>
    </r>
  </si>
  <si>
    <r>
      <t>PM</t>
    </r>
    <r>
      <rPr>
        <b/>
        <vertAlign val="subscript"/>
        <sz val="11"/>
        <color indexed="16"/>
        <rFont val="Arial"/>
        <family val="2"/>
      </rPr>
      <t>10</t>
    </r>
  </si>
  <si>
    <r>
      <t>SO</t>
    </r>
    <r>
      <rPr>
        <b/>
        <vertAlign val="subscript"/>
        <sz val="11"/>
        <color indexed="16"/>
        <rFont val="Arial"/>
        <family val="2"/>
      </rPr>
      <t>X</t>
    </r>
  </si>
  <si>
    <t>VOC</t>
  </si>
  <si>
    <r>
      <t>PM</t>
    </r>
    <r>
      <rPr>
        <b/>
        <vertAlign val="subscript"/>
        <sz val="11"/>
        <color indexed="16"/>
        <rFont val="Arial"/>
        <family val="2"/>
      </rPr>
      <t>2.5</t>
    </r>
  </si>
  <si>
    <r>
      <t>SUMMARY OF CO</t>
    </r>
    <r>
      <rPr>
        <b/>
        <sz val="14"/>
        <color indexed="62"/>
        <rFont val="Arial"/>
        <family val="2"/>
      </rPr>
      <t xml:space="preserve"> EMISSIONS SAVED (tons/yr)</t>
    </r>
  </si>
  <si>
    <r>
      <t>SUMMARY OF CO</t>
    </r>
    <r>
      <rPr>
        <b/>
        <vertAlign val="subscript"/>
        <sz val="14"/>
        <color indexed="62"/>
        <rFont val="Arial"/>
        <family val="2"/>
      </rPr>
      <t>2</t>
    </r>
    <r>
      <rPr>
        <b/>
        <sz val="14"/>
        <color indexed="62"/>
        <rFont val="Arial"/>
        <family val="2"/>
      </rPr>
      <t xml:space="preserve"> EMISSIONS SAVED (tons/yr)</t>
    </r>
  </si>
  <si>
    <r>
      <t>SUMMARY OF NO</t>
    </r>
    <r>
      <rPr>
        <b/>
        <vertAlign val="subscript"/>
        <sz val="14"/>
        <color indexed="62"/>
        <rFont val="Arial"/>
        <family val="2"/>
      </rPr>
      <t>X</t>
    </r>
    <r>
      <rPr>
        <b/>
        <sz val="14"/>
        <color indexed="62"/>
        <rFont val="Arial"/>
        <family val="2"/>
      </rPr>
      <t xml:space="preserve"> EMISSIONS SAVED (tons/yr)</t>
    </r>
  </si>
  <si>
    <r>
      <t>SUMMARY OF PM</t>
    </r>
    <r>
      <rPr>
        <b/>
        <vertAlign val="subscript"/>
        <sz val="14"/>
        <color indexed="62"/>
        <rFont val="Arial"/>
        <family val="2"/>
      </rPr>
      <t>10</t>
    </r>
    <r>
      <rPr>
        <b/>
        <sz val="14"/>
        <color indexed="62"/>
        <rFont val="Arial"/>
        <family val="2"/>
      </rPr>
      <t xml:space="preserve"> EMISSIONS SAVED (tons/yr)</t>
    </r>
  </si>
  <si>
    <r>
      <t>SUMMARY OF SO</t>
    </r>
    <r>
      <rPr>
        <b/>
        <vertAlign val="subscript"/>
        <sz val="14"/>
        <color indexed="62"/>
        <rFont val="Arial"/>
        <family val="2"/>
      </rPr>
      <t>X</t>
    </r>
    <r>
      <rPr>
        <b/>
        <sz val="14"/>
        <color indexed="62"/>
        <rFont val="Arial"/>
        <family val="2"/>
      </rPr>
      <t xml:space="preserve"> EMISSIONS SAVED (tons/yr)</t>
    </r>
  </si>
  <si>
    <t>SUMMARY OF VOC EMISSIONS SAVED (tons/yr)</t>
  </si>
  <si>
    <r>
      <t>SUMMARY OF PM</t>
    </r>
    <r>
      <rPr>
        <b/>
        <vertAlign val="subscript"/>
        <sz val="14"/>
        <color indexed="62"/>
        <rFont val="Arial"/>
        <family val="2"/>
      </rPr>
      <t>2.5</t>
    </r>
    <r>
      <rPr>
        <b/>
        <sz val="14"/>
        <color indexed="62"/>
        <rFont val="Arial"/>
        <family val="2"/>
      </rPr>
      <t xml:space="preserve"> EMISSIONS SAVED (tons/yr)</t>
    </r>
  </si>
  <si>
    <r>
      <t>SUMMARY OF CO</t>
    </r>
    <r>
      <rPr>
        <b/>
        <sz val="14"/>
        <color indexed="62"/>
        <rFont val="Arial"/>
        <family val="2"/>
      </rPr>
      <t xml:space="preserve"> EMISSIONS SAVED (PV $/yr)</t>
    </r>
  </si>
  <si>
    <r>
      <t>SUMMARY OF CO</t>
    </r>
    <r>
      <rPr>
        <b/>
        <vertAlign val="subscript"/>
        <sz val="14"/>
        <color indexed="62"/>
        <rFont val="Arial"/>
        <family val="2"/>
      </rPr>
      <t>2</t>
    </r>
    <r>
      <rPr>
        <b/>
        <sz val="14"/>
        <color indexed="62"/>
        <rFont val="Arial"/>
        <family val="2"/>
      </rPr>
      <t xml:space="preserve"> EMISSIONS SAVED (PV $/yr)</t>
    </r>
  </si>
  <si>
    <r>
      <t>SUMMARY OF NO</t>
    </r>
    <r>
      <rPr>
        <b/>
        <vertAlign val="subscript"/>
        <sz val="14"/>
        <color indexed="62"/>
        <rFont val="Arial"/>
        <family val="2"/>
      </rPr>
      <t>X</t>
    </r>
    <r>
      <rPr>
        <b/>
        <sz val="14"/>
        <color indexed="62"/>
        <rFont val="Arial"/>
        <family val="2"/>
      </rPr>
      <t xml:space="preserve"> EMISSIONS SAVED (PV $/yr)</t>
    </r>
  </si>
  <si>
    <r>
      <t>SUMMARY OF PM</t>
    </r>
    <r>
      <rPr>
        <b/>
        <vertAlign val="subscript"/>
        <sz val="14"/>
        <color indexed="62"/>
        <rFont val="Arial"/>
        <family val="2"/>
      </rPr>
      <t>10</t>
    </r>
    <r>
      <rPr>
        <b/>
        <sz val="14"/>
        <color indexed="62"/>
        <rFont val="Arial"/>
        <family val="2"/>
      </rPr>
      <t xml:space="preserve"> EMISSIONS SAVED (PV $/yr)</t>
    </r>
  </si>
  <si>
    <r>
      <t>SUMMARY OF SO</t>
    </r>
    <r>
      <rPr>
        <b/>
        <vertAlign val="subscript"/>
        <sz val="14"/>
        <color indexed="62"/>
        <rFont val="Arial"/>
        <family val="2"/>
      </rPr>
      <t>X</t>
    </r>
    <r>
      <rPr>
        <b/>
        <sz val="14"/>
        <color indexed="62"/>
        <rFont val="Arial"/>
        <family val="2"/>
      </rPr>
      <t xml:space="preserve"> EMISSIONS SAVED (PV $/yr)</t>
    </r>
  </si>
  <si>
    <t>SUMMARY OF VOC EMISSIONS SAVED (PV $/yr)</t>
  </si>
  <si>
    <t>Final Calculations</t>
  </si>
  <si>
    <t>This sheet performs the final calculations before presenting the summary results.</t>
  </si>
  <si>
    <t>Both net present value and internal rate of return on investment are calculated.</t>
  </si>
  <si>
    <t>NET PRESENT VALUE CALCULATION</t>
  </si>
  <si>
    <t>INTERNAL RATE OF RETURN ON INVESTMENT AND PAYBACK PERIOD</t>
  </si>
  <si>
    <t>PRESENT VALUE OF USER BENEFITS</t>
  </si>
  <si>
    <t>USER BENEFITS IN CONSTANT DOLLARS</t>
  </si>
  <si>
    <t>(location 1)</t>
  </si>
  <si>
    <t>(location 2)</t>
  </si>
  <si>
    <t>(location 3)</t>
  </si>
  <si>
    <t>(location 4)</t>
  </si>
  <si>
    <t>Total User</t>
  </si>
  <si>
    <t>ANNUAL</t>
  </si>
  <si>
    <t>CUMULATIVE</t>
  </si>
  <si>
    <t>Travel</t>
  </si>
  <si>
    <t>of Total</t>
  </si>
  <si>
    <t>NET</t>
  </si>
  <si>
    <t>Benefits in</t>
  </si>
  <si>
    <t>Costs in</t>
  </si>
  <si>
    <t>RETURNS</t>
  </si>
  <si>
    <t>After</t>
  </si>
  <si>
    <t>Time</t>
  </si>
  <si>
    <t>Op. Cost</t>
  </si>
  <si>
    <t>User</t>
  </si>
  <si>
    <t>PRESENT</t>
  </si>
  <si>
    <t>ON</t>
  </si>
  <si>
    <t>AFTER</t>
  </si>
  <si>
    <t>Reductions</t>
  </si>
  <si>
    <t>Benefits</t>
  </si>
  <si>
    <t>VALUE</t>
  </si>
  <si>
    <t>INVESTMENT</t>
  </si>
  <si>
    <t>PROJ OPENS</t>
  </si>
  <si>
    <t>Begins</t>
  </si>
  <si>
    <t>Internal Rate</t>
  </si>
  <si>
    <t>The INTERNAL RATE OF RETURN  (IRR)  is the discount rate at which benefits and costs break even (are equal).  For a project</t>
  </si>
  <si>
    <t>of Return</t>
  </si>
  <si>
    <t>with an IRR greater than the Discount Rate, benefits are greater than costs, and the project has a positive economic value.  The</t>
  </si>
  <si>
    <t>IRR allows projects with different costs, different benefit flows, and different time periods to be compared.</t>
  </si>
  <si>
    <t>Payback</t>
  </si>
  <si>
    <t>The PAYBACK PERIOD is the number of years it takes for the net benefits (benefits minus costs) to equal, or payback, the initial</t>
  </si>
  <si>
    <t>Total Construction Costs</t>
  </si>
  <si>
    <t>Period</t>
  </si>
  <si>
    <t>construction costs.  For a project with a Payback Period longer than the life-cycle of the project, initial construction costs are not</t>
  </si>
  <si>
    <t>tons</t>
  </si>
  <si>
    <t>$ PV</t>
  </si>
  <si>
    <t>recovered.  The Payback Period varies inversely with the Benefit-Cost Ratio: shorter Payback Period yields higher Benefit-Cost.</t>
  </si>
  <si>
    <t>CO Saved</t>
  </si>
  <si>
    <r>
      <t>CO</t>
    </r>
    <r>
      <rPr>
        <vertAlign val="subscript"/>
        <sz val="10"/>
        <rFont val="Arial"/>
        <family val="2"/>
      </rPr>
      <t>2</t>
    </r>
    <r>
      <rPr>
        <sz val="10"/>
        <rFont val="Arial"/>
        <family val="2"/>
      </rPr>
      <t xml:space="preserve"> Saved</t>
    </r>
  </si>
  <si>
    <r>
      <t>NO</t>
    </r>
    <r>
      <rPr>
        <vertAlign val="subscript"/>
        <sz val="10"/>
        <rFont val="Arial"/>
        <family val="2"/>
      </rPr>
      <t>X</t>
    </r>
    <r>
      <rPr>
        <sz val="10"/>
        <rFont val="Arial"/>
        <family val="2"/>
      </rPr>
      <t xml:space="preserve"> Saved</t>
    </r>
  </si>
  <si>
    <r>
      <t>PM</t>
    </r>
    <r>
      <rPr>
        <vertAlign val="subscript"/>
        <sz val="10"/>
        <rFont val="Arial"/>
        <family val="2"/>
      </rPr>
      <t>10</t>
    </r>
    <r>
      <rPr>
        <sz val="10"/>
        <rFont val="Arial"/>
        <family val="2"/>
      </rPr>
      <t xml:space="preserve"> Saved</t>
    </r>
  </si>
  <si>
    <r>
      <t>PM</t>
    </r>
    <r>
      <rPr>
        <vertAlign val="subscript"/>
        <sz val="10"/>
        <rFont val="Arial"/>
        <family val="2"/>
      </rPr>
      <t>2.5</t>
    </r>
    <r>
      <rPr>
        <sz val="10"/>
        <rFont val="Arial"/>
        <family val="2"/>
      </rPr>
      <t xml:space="preserve"> Saved</t>
    </r>
  </si>
  <si>
    <r>
      <t>SO</t>
    </r>
    <r>
      <rPr>
        <vertAlign val="subscript"/>
        <sz val="10"/>
        <rFont val="Arial"/>
        <family val="2"/>
      </rPr>
      <t>X</t>
    </r>
    <r>
      <rPr>
        <sz val="10"/>
        <rFont val="Arial"/>
        <family val="2"/>
      </rPr>
      <t xml:space="preserve"> Saved</t>
    </r>
  </si>
  <si>
    <t>VOC Saved</t>
  </si>
  <si>
    <t>Parameters</t>
  </si>
  <si>
    <t>This page contains all economic values and rate tables.</t>
  </si>
  <si>
    <t>To update economic values automatically, change "Economic Update Factor."</t>
  </si>
  <si>
    <t>Travel Demand Tables</t>
  </si>
  <si>
    <t>Operating Cost Tables</t>
  </si>
  <si>
    <t>Accident Tables</t>
  </si>
  <si>
    <t>Emissions Tables</t>
  </si>
  <si>
    <r>
      <t xml:space="preserve">Pavement Adjustments </t>
    </r>
    <r>
      <rPr>
        <sz val="10"/>
        <color indexed="16"/>
        <rFont val="Arial"/>
        <family val="2"/>
      </rPr>
      <t>(used only for pavement projects)</t>
    </r>
  </si>
  <si>
    <r>
      <t xml:space="preserve">Weaving Adjustments </t>
    </r>
    <r>
      <rPr>
        <sz val="10"/>
        <color indexed="16"/>
        <rFont val="Arial"/>
        <family val="2"/>
      </rPr>
      <t>(used only for freeway</t>
    </r>
  </si>
  <si>
    <r>
      <t xml:space="preserve">TMS Adjustments </t>
    </r>
    <r>
      <rPr>
        <sz val="10"/>
        <color indexed="16"/>
        <rFont val="Arial"/>
        <family val="2"/>
      </rPr>
      <t>(used only for ramp metering, ramp metering signal coordination, incident</t>
    </r>
  </si>
  <si>
    <t>connector, HOV connector, and HOV drop ramp projects)</t>
  </si>
  <si>
    <t>management, traveler information projects, AVL, transit priority, and BRT projects)</t>
  </si>
  <si>
    <t>General Economic Parameters</t>
  </si>
  <si>
    <t>Mode Types</t>
  </si>
  <si>
    <t>Project Types</t>
  </si>
  <si>
    <t>DEMAND FOR TRAVEL IN PEAK PERIOD</t>
  </si>
  <si>
    <t>FUEL CONSUMPTION RATES</t>
  </si>
  <si>
    <t>HIGHWAY INJURY SEVERITY FREQUENCY</t>
  </si>
  <si>
    <t>RATES FOR NON-HIGHWAY ACCIDENT EVENTS</t>
  </si>
  <si>
    <t>HIGHWAY EMISSIONS FACTORS (g/mi)</t>
  </si>
  <si>
    <t>HEALTH COST OF TRANSPORTATION EMISSIONS</t>
  </si>
  <si>
    <t>PAVEMENT DETERIORATION</t>
  </si>
  <si>
    <t>VEHICLE OPERATING SPEED</t>
  </si>
  <si>
    <t>PEAK PERIOD SPEED, VOLUME, AND NON-HIGHWAY BENEFITS</t>
  </si>
  <si>
    <t>Year of Current Dollars for Model</t>
  </si>
  <si>
    <t>Bus</t>
  </si>
  <si>
    <t>Highway Capacity Expansion</t>
  </si>
  <si>
    <t>Please select a type of highway project</t>
  </si>
  <si>
    <t>(percent of total daily travel)</t>
  </si>
  <si>
    <t>(gal/veh-mi)</t>
  </si>
  <si>
    <t>(percent of injuries)</t>
  </si>
  <si>
    <t>(events/million veh-mi)</t>
  </si>
  <si>
    <t>($/ton)</t>
  </si>
  <si>
    <t>(IRI in inches/mile)</t>
  </si>
  <si>
    <t>(percent adjustment)</t>
  </si>
  <si>
    <t>Economic Update Factor (Using GDP Deflator)</t>
  </si>
  <si>
    <t>Pass Train</t>
  </si>
  <si>
    <t xml:space="preserve">    General Highway</t>
  </si>
  <si>
    <t>GenHwy</t>
  </si>
  <si>
    <t>Light Rail</t>
  </si>
  <si>
    <t xml:space="preserve">    HOV Lane Addition</t>
  </si>
  <si>
    <t>HOV</t>
  </si>
  <si>
    <t>Enter HOV restriction in section 1B</t>
  </si>
  <si>
    <t>Number of</t>
  </si>
  <si>
    <t>Urban</t>
  </si>
  <si>
    <t>Auto*</t>
  </si>
  <si>
    <t>Truck</t>
  </si>
  <si>
    <t>Event</t>
  </si>
  <si>
    <t>Suburban</t>
  </si>
  <si>
    <t>Rural</t>
  </si>
  <si>
    <t>Freight Rail</t>
  </si>
  <si>
    <t>CO2</t>
  </si>
  <si>
    <t>NOX</t>
  </si>
  <si>
    <t>PM10</t>
  </si>
  <si>
    <t>SOX</t>
  </si>
  <si>
    <t>PM2.5</t>
  </si>
  <si>
    <t>Area</t>
  </si>
  <si>
    <t>Proj Loc</t>
  </si>
  <si>
    <r>
      <t>CO</t>
    </r>
    <r>
      <rPr>
        <b/>
        <vertAlign val="subscript"/>
        <sz val="10"/>
        <rFont val="Arial"/>
        <family val="2"/>
      </rPr>
      <t>2</t>
    </r>
    <r>
      <rPr>
        <b/>
        <sz val="10"/>
        <rFont val="Arial"/>
        <family val="2"/>
      </rPr>
      <t>e</t>
    </r>
  </si>
  <si>
    <r>
      <t>NO</t>
    </r>
    <r>
      <rPr>
        <b/>
        <vertAlign val="subscript"/>
        <sz val="10"/>
        <rFont val="Arial"/>
        <family val="2"/>
      </rPr>
      <t>X</t>
    </r>
  </si>
  <si>
    <r>
      <t>PM</t>
    </r>
    <r>
      <rPr>
        <b/>
        <vertAlign val="subscript"/>
        <sz val="10"/>
        <rFont val="Arial"/>
        <family val="2"/>
      </rPr>
      <t>10</t>
    </r>
  </si>
  <si>
    <r>
      <t>SO</t>
    </r>
    <r>
      <rPr>
        <b/>
        <vertAlign val="subscript"/>
        <sz val="10"/>
        <rFont val="Arial"/>
        <family val="2"/>
      </rPr>
      <t>X</t>
    </r>
  </si>
  <si>
    <t>Year 20, By Loading</t>
  </si>
  <si>
    <t>Freeway</t>
  </si>
  <si>
    <t>TMS</t>
  </si>
  <si>
    <t>Without</t>
  </si>
  <si>
    <t>With</t>
  </si>
  <si>
    <t>Non-Highway Benefits</t>
  </si>
  <si>
    <t>Real Discount Rate</t>
  </si>
  <si>
    <t xml:space="preserve">    HOT Lane Addition</t>
  </si>
  <si>
    <t>HOT</t>
  </si>
  <si>
    <t>Include toll payers as HOVs &amp; check AVOs</t>
  </si>
  <si>
    <t>Hours in</t>
  </si>
  <si>
    <t>So. California</t>
  </si>
  <si>
    <t>No. California</t>
  </si>
  <si>
    <t>Severe Injury (A)</t>
  </si>
  <si>
    <t>Fatality</t>
  </si>
  <si>
    <t>Auto</t>
  </si>
  <si>
    <t>LA/South Coast</t>
  </si>
  <si>
    <t>Year 0</t>
  </si>
  <si>
    <t>Light</t>
  </si>
  <si>
    <t>Medium</t>
  </si>
  <si>
    <t>Heavy</t>
  </si>
  <si>
    <t>IRI</t>
  </si>
  <si>
    <t>Weaving</t>
  </si>
  <si>
    <t>Conn</t>
  </si>
  <si>
    <t>Strategy</t>
  </si>
  <si>
    <t>Volume</t>
  </si>
  <si>
    <t>TT</t>
  </si>
  <si>
    <t>Em</t>
  </si>
  <si>
    <t>Benefit</t>
  </si>
  <si>
    <t xml:space="preserve">    Passing Lane</t>
  </si>
  <si>
    <t>Passing</t>
  </si>
  <si>
    <t>Enter a truck speed in section 1B</t>
  </si>
  <si>
    <t>Peak Period</t>
  </si>
  <si>
    <t>Fwy/Exp</t>
  </si>
  <si>
    <t>Other</t>
  </si>
  <si>
    <t>Other Visible Injury (B)</t>
  </si>
  <si>
    <t>CA Urban Area</t>
  </si>
  <si>
    <t>AMoth</t>
  </si>
  <si>
    <t xml:space="preserve">    Intersection</t>
  </si>
  <si>
    <t>Intersect</t>
  </si>
  <si>
    <t>Remember to run model for both roads</t>
  </si>
  <si>
    <t xml:space="preserve">Complaint of Pain (C) </t>
  </si>
  <si>
    <t>All Accidents</t>
  </si>
  <si>
    <t>CA Rural Area</t>
  </si>
  <si>
    <t>AMsev</t>
  </si>
  <si>
    <t xml:space="preserve">    Truck Only Lane</t>
  </si>
  <si>
    <t>TruckLane</t>
  </si>
  <si>
    <t>Remember to run macro for truck lane</t>
  </si>
  <si>
    <t>IMoth</t>
  </si>
  <si>
    <t xml:space="preserve">    Bypass</t>
  </si>
  <si>
    <t>Bypass</t>
  </si>
  <si>
    <r>
      <t>CO</t>
    </r>
    <r>
      <rPr>
        <vertAlign val="subscript"/>
        <sz val="10"/>
        <rFont val="Arial"/>
        <family val="2"/>
      </rPr>
      <t>2</t>
    </r>
    <r>
      <rPr>
        <sz val="10"/>
        <rFont val="Arial"/>
        <family val="2"/>
      </rPr>
      <t>e Uprater</t>
    </r>
  </si>
  <si>
    <t>increase in value per year</t>
  </si>
  <si>
    <t>IMsev</t>
  </si>
  <si>
    <t>Travel Time Parameters</t>
  </si>
  <si>
    <t>Highway Operations Parameters</t>
  </si>
  <si>
    <t>Active Transportation Parameters</t>
  </si>
  <si>
    <t xml:space="preserve">    Queuing</t>
  </si>
  <si>
    <t>Queuing</t>
  </si>
  <si>
    <t>Add arrival rate &amp; check departure rate in 1B</t>
  </si>
  <si>
    <t>NoAdj</t>
  </si>
  <si>
    <t>Units</t>
  </si>
  <si>
    <t xml:space="preserve">    Pavement</t>
  </si>
  <si>
    <t>Pavement</t>
  </si>
  <si>
    <t>Enter pavement condition in section 1B</t>
  </si>
  <si>
    <t>ORoth</t>
  </si>
  <si>
    <t>Statewide Average Hourly Wage</t>
  </si>
  <si>
    <t>$/hr</t>
  </si>
  <si>
    <t>Maximum V/C Ratio</t>
  </si>
  <si>
    <t>-</t>
  </si>
  <si>
    <t>General Travel Activity Characteristics Parameters</t>
  </si>
  <si>
    <t>Sources: McCubbin and Delucchi, 1996 for emissions other than CO2e</t>
  </si>
  <si>
    <t>ORsev</t>
  </si>
  <si>
    <t>Cycling Days per Year</t>
  </si>
  <si>
    <t>days</t>
  </si>
  <si>
    <t>Rail or Transit Cap Expansion</t>
  </si>
  <si>
    <t>Please select a type of rail or transit project</t>
  </si>
  <si>
    <t>RMoth</t>
  </si>
  <si>
    <t>Heavy and Light Truck Drivers</t>
  </si>
  <si>
    <t>Percent ADT in Peak Period</t>
  </si>
  <si>
    <t>%</t>
  </si>
  <si>
    <t>Walking Days per Year</t>
  </si>
  <si>
    <t xml:space="preserve">    Passenger Rail</t>
  </si>
  <si>
    <t>PassRail</t>
  </si>
  <si>
    <t>Enter data in both sections 1B &amp; 1E</t>
  </si>
  <si>
    <t>RMsev</t>
  </si>
  <si>
    <t>Average Hourly Wage</t>
  </si>
  <si>
    <t>Percent ADT in Average Peak Hour</t>
  </si>
  <si>
    <t>School Days per Year</t>
  </si>
  <si>
    <t xml:space="preserve">    Light-Rail (LRT)</t>
  </si>
  <si>
    <t>LRT</t>
  </si>
  <si>
    <t>NUMBER OF FATALITIES</t>
  </si>
  <si>
    <t>COST OF NON-HIGHWAY ACCIDENT EVENTS</t>
  </si>
  <si>
    <t>TIoth</t>
  </si>
  <si>
    <t>Benefits and Costs</t>
  </si>
  <si>
    <t xml:space="preserve">    Bus</t>
  </si>
  <si>
    <t>($/event)</t>
  </si>
  <si>
    <t>TIsev</t>
  </si>
  <si>
    <t>Annualization Factor</t>
  </si>
  <si>
    <t>days/yr</t>
  </si>
  <si>
    <t>Vehicle Statistics</t>
  </si>
  <si>
    <t xml:space="preserve">    Hwy-Rail Grade Crossing</t>
  </si>
  <si>
    <t>HwyRail</t>
  </si>
  <si>
    <t>Put hwy design in 1B, safety in 1C &amp; crossing in 1D</t>
  </si>
  <si>
    <t>PASSENGER TRAIN EMISSIONS FACTORS</t>
  </si>
  <si>
    <t>Value of Time</t>
  </si>
  <si>
    <t>Average Vehicle Speed</t>
  </si>
  <si>
    <t>mph</t>
  </si>
  <si>
    <t>(g/train-mile)</t>
  </si>
  <si>
    <t>Automobile</t>
  </si>
  <si>
    <t>$/hr/per</t>
  </si>
  <si>
    <t>Capacity</t>
  </si>
  <si>
    <t>Dep. Rate</t>
  </si>
  <si>
    <t>Average Vehicle Occupancy</t>
  </si>
  <si>
    <t>persons / veh</t>
  </si>
  <si>
    <t>Hwy Operational Improvement</t>
  </si>
  <si>
    <t>Please select a type of op. improvement</t>
  </si>
  <si>
    <t>Source: California Department of Transportation TMS Master Plan, 2003</t>
  </si>
  <si>
    <t>$/hr/veh</t>
  </si>
  <si>
    <t>Alpha</t>
  </si>
  <si>
    <t>Beta</t>
  </si>
  <si>
    <t>(vphpl)</t>
  </si>
  <si>
    <t xml:space="preserve">    Auxiliary Lane</t>
  </si>
  <si>
    <t>AuxLane</t>
  </si>
  <si>
    <t>Enter ramp design speed &amp; on-ramp volume</t>
  </si>
  <si>
    <r>
      <t>CO</t>
    </r>
    <r>
      <rPr>
        <b/>
        <vertAlign val="subscript"/>
        <sz val="10"/>
        <rFont val="Arial"/>
        <family val="2"/>
      </rPr>
      <t>2</t>
    </r>
  </si>
  <si>
    <r>
      <t>PM</t>
    </r>
    <r>
      <rPr>
        <b/>
        <vertAlign val="subscript"/>
        <sz val="10"/>
        <rFont val="Arial"/>
        <family val="2"/>
      </rPr>
      <t>2.5</t>
    </r>
  </si>
  <si>
    <t>Auto &amp; Truck Composite</t>
  </si>
  <si>
    <t>16, 17</t>
  </si>
  <si>
    <t>Active Transportation User Characteristics</t>
  </si>
  <si>
    <t xml:space="preserve">    Freeway Connector</t>
  </si>
  <si>
    <t>FreeConn</t>
  </si>
  <si>
    <t>Check percent traffic in weave in section 1B</t>
  </si>
  <si>
    <t>Prop Damage</t>
  </si>
  <si>
    <t>Passenger Train</t>
  </si>
  <si>
    <t>Expressway</t>
  </si>
  <si>
    <t>Average Cycling Speed</t>
  </si>
  <si>
    <t xml:space="preserve">    HOV Connector</t>
  </si>
  <si>
    <t>HOVConn</t>
  </si>
  <si>
    <t>NUMBER OF INJURIES</t>
  </si>
  <si>
    <t>Out-of-Vehicle Travel</t>
  </si>
  <si>
    <t>times</t>
  </si>
  <si>
    <t>Conventional Highway</t>
  </si>
  <si>
    <t>Average Walking Speed</t>
  </si>
  <si>
    <t xml:space="preserve">    HOV Drop Ramp</t>
  </si>
  <si>
    <t>HOVDrop</t>
  </si>
  <si>
    <t>Incident-Related Travel</t>
  </si>
  <si>
    <t>HOV Lanes</t>
  </si>
  <si>
    <t>Number of Unlinked Cycling Trips per Day</t>
  </si>
  <si>
    <t>trips</t>
  </si>
  <si>
    <t xml:space="preserve">    Off-Ramp Widening</t>
  </si>
  <si>
    <t>OffRamp</t>
  </si>
  <si>
    <t>Sources: FTA, Transit Safety &amp; Security Statistics, 2002 to 2011 average</t>
  </si>
  <si>
    <t>Travel Time Uprater</t>
  </si>
  <si>
    <t>annual incr</t>
  </si>
  <si>
    <t>Number of Unlinked Pedestrian Trips per Day</t>
  </si>
  <si>
    <t xml:space="preserve">    On-Ramp Widening</t>
  </si>
  <si>
    <t>OnRamp</t>
  </si>
  <si>
    <t>Enter on-ramp volume &amp; metering strategy</t>
  </si>
  <si>
    <t>LIGHT RAIL EMISSIONS FACTORS</t>
  </si>
  <si>
    <t>TRANSIT TRAVEL TIME AND AGENCY COST SAVINGS</t>
  </si>
  <si>
    <t>Diversion of Cyclists from Personal Vehicles</t>
  </si>
  <si>
    <t>assumption</t>
  </si>
  <si>
    <t xml:space="preserve">    HOV-2 to HOV-3 Conv</t>
  </si>
  <si>
    <t>HOV2to3</t>
  </si>
  <si>
    <t xml:space="preserve">Check AVOs &amp; trips in sections 1B &amp; 2D </t>
  </si>
  <si>
    <t>(g/veh-mile)</t>
  </si>
  <si>
    <t>(percent savings)</t>
  </si>
  <si>
    <t>Vehicle Operating Cost Parameters</t>
  </si>
  <si>
    <t>Non-HOV Lanes</t>
  </si>
  <si>
    <t>Diversion of Pedestrians from Personal Vehicles</t>
  </si>
  <si>
    <t xml:space="preserve">    HOT Lane Conversion</t>
  </si>
  <si>
    <t>HOTConv</t>
  </si>
  <si>
    <t>Source: Paterson, 1987</t>
  </si>
  <si>
    <t>Source: Botterill, 1996 and 1997</t>
  </si>
  <si>
    <t>COSTS OF NON-HIGHWAY ACCIDENTS</t>
  </si>
  <si>
    <t>Agency Costs</t>
  </si>
  <si>
    <t>Average Fuel Price</t>
  </si>
  <si>
    <t>Value of Travel Time</t>
  </si>
  <si>
    <t>Transp Mgmt Systems (TMS)</t>
  </si>
  <si>
    <t>Please select a type of TMS project</t>
  </si>
  <si>
    <t>($/million veh-mi)</t>
  </si>
  <si>
    <t>TMS Strategy</t>
  </si>
  <si>
    <t>Capital</t>
  </si>
  <si>
    <t>O&amp;M</t>
  </si>
  <si>
    <t>Automobile (regular unleaded)</t>
  </si>
  <si>
    <t>$/gal</t>
  </si>
  <si>
    <t>Adults</t>
  </si>
  <si>
    <t xml:space="preserve">    Ramp Metering</t>
  </si>
  <si>
    <t>RM</t>
  </si>
  <si>
    <t>Enter model data, if avail, in sections 2A &amp; 2C</t>
  </si>
  <si>
    <t>NUMBER OF VEHICLES INVOLVED</t>
  </si>
  <si>
    <t>Transit Vehicle Location (AVL)</t>
  </si>
  <si>
    <t>Truck (diesel)</t>
  </si>
  <si>
    <t>Children</t>
  </si>
  <si>
    <t xml:space="preserve">    Ramp Metering Signal Coord</t>
  </si>
  <si>
    <t>AM</t>
  </si>
  <si>
    <t>FUEL CONSUMPTION</t>
  </si>
  <si>
    <t>NON-FUEL COSTS</t>
  </si>
  <si>
    <t>Transit Vehicle Signal Priority</t>
  </si>
  <si>
    <t>Sources: 16) Highway Capacity Manual, 17) NCHRP 387, 18) PeMS data</t>
  </si>
  <si>
    <t xml:space="preserve">    Incident Management</t>
  </si>
  <si>
    <t>IM</t>
  </si>
  <si>
    <t>Bus Rapid Transit (BRT)</t>
  </si>
  <si>
    <t>Sales and Fuel Taxes</t>
  </si>
  <si>
    <t>Cycling Journey Quality - Facility Preference Factors as Function of Distance by Facility Class</t>
  </si>
  <si>
    <t xml:space="preserve">    Traveler Information</t>
  </si>
  <si>
    <t>TI</t>
  </si>
  <si>
    <t>Source: California Department of Transportation, 2010-2012 California Household Travel</t>
  </si>
  <si>
    <t>FREIGHT LOCOMOTIVE EMISSIONS FACTORS</t>
  </si>
  <si>
    <t>State Sales Tax (gasoline)</t>
  </si>
  <si>
    <t>Class I</t>
  </si>
  <si>
    <t xml:space="preserve">    Arterial Signal Management</t>
  </si>
  <si>
    <t>ASM</t>
  </si>
  <si>
    <t>Complete only sections 1A, 1E &amp; 2C</t>
  </si>
  <si>
    <t>Survey, Final Report Appendix, June 2013</t>
  </si>
  <si>
    <t>(g/gal)</t>
  </si>
  <si>
    <t>State Sales Tax (diesel)</t>
  </si>
  <si>
    <t>Class II</t>
  </si>
  <si>
    <t xml:space="preserve">    Transit Vehicle Location (AVL)</t>
  </si>
  <si>
    <t>AVL</t>
  </si>
  <si>
    <t>Enter transit agency costs in section 1D</t>
  </si>
  <si>
    <t>Source: Combination of above two tables</t>
  </si>
  <si>
    <t>Sources: FHWA ITS Deployment Analysis System (IDAS), California PATH</t>
  </si>
  <si>
    <t>Average Local Sales Tax</t>
  </si>
  <si>
    <t>Class III</t>
  </si>
  <si>
    <t xml:space="preserve">    Transit Vehicle Signal Priority</t>
  </si>
  <si>
    <t>SigPriority</t>
  </si>
  <si>
    <t>Check travel time in section 1D</t>
  </si>
  <si>
    <t>Federal Fuel Excise Tax (gasoline)</t>
  </si>
  <si>
    <t>Class IV</t>
  </si>
  <si>
    <t xml:space="preserve">    Bus Rapid Transit (BRT)</t>
  </si>
  <si>
    <t>BRT</t>
  </si>
  <si>
    <t>Enter free-flow bus lane speed in section 1B</t>
  </si>
  <si>
    <t>Federal Fuel Excise Tax (diesel)</t>
  </si>
  <si>
    <t>Note: Class IV assumed to be the same as Class II</t>
  </si>
  <si>
    <t>State Fuel Excise Tax (gasoline)</t>
  </si>
  <si>
    <t xml:space="preserve">    TMS Lookup Code</t>
  </si>
  <si>
    <t>TMSLookup</t>
  </si>
  <si>
    <t>AGE COHORTS FOR MORTALITY RISK REDUCTION</t>
  </si>
  <si>
    <t>HIGHWAY-RAIL GRADE CROSSING INCIDENTS</t>
  </si>
  <si>
    <t>State Fuel Excise Tax (diesel)</t>
  </si>
  <si>
    <t xml:space="preserve">    User Modified Inputs</t>
  </si>
  <si>
    <t>UserAdjInputs</t>
  </si>
  <si>
    <t>(percent of population)</t>
  </si>
  <si>
    <t>(units in table)</t>
  </si>
  <si>
    <t>Freight Rail Fuel Efficiency</t>
  </si>
  <si>
    <t>ton-miles/gal</t>
  </si>
  <si>
    <t xml:space="preserve">Street Lighting </t>
  </si>
  <si>
    <t>$/mi</t>
  </si>
  <si>
    <t>Fuel Burned at Idle</t>
  </si>
  <si>
    <t>gal/hr</t>
  </si>
  <si>
    <t>Fuel Cost Per Gallon (Exclude Taxes)</t>
  </si>
  <si>
    <t xml:space="preserve">Curb Level </t>
  </si>
  <si>
    <t>Incident</t>
  </si>
  <si>
    <t xml:space="preserve">Crowding </t>
  </si>
  <si>
    <t>Age Cohort</t>
  </si>
  <si>
    <t>South</t>
  </si>
  <si>
    <t>North</t>
  </si>
  <si>
    <t>Total Events</t>
  </si>
  <si>
    <t xml:space="preserve">Pavement Evenness </t>
  </si>
  <si>
    <t>Cycling</t>
  </si>
  <si>
    <t>Age 16-64</t>
  </si>
  <si>
    <t>Avg per Incident</t>
  </si>
  <si>
    <t xml:space="preserve">Information Panels </t>
  </si>
  <si>
    <t>Walking</t>
  </si>
  <si>
    <t>Age 16-74</t>
  </si>
  <si>
    <t>Cost per Event</t>
  </si>
  <si>
    <t>Non-Fuel Cost Per Mile</t>
  </si>
  <si>
    <t xml:space="preserve">Benches </t>
  </si>
  <si>
    <t xml:space="preserve">California Environmental Protection Agency / Air Resources Board, Technology Assessment: </t>
  </si>
  <si>
    <t xml:space="preserve">Directional Signage </t>
  </si>
  <si>
    <t>Freight Locomotives, November 2016</t>
  </si>
  <si>
    <t>AVERAGE DISTANCE PER ACTIVE TRANSPORTATION TRIP</t>
  </si>
  <si>
    <t>Source: California Department of Transportation,TASAS Unit, 2010 to 2013 average</t>
  </si>
  <si>
    <t>Source: FRA, Office of Safety Analysis, 5.10 - Hwy/Rail Incidents Summary</t>
  </si>
  <si>
    <t>Health (Absenteeism Reduction)</t>
  </si>
  <si>
    <t>(miles/trip)</t>
  </si>
  <si>
    <t>Source: Fitzpatrick, Brewer, and Venglar, 2003</t>
  </si>
  <si>
    <t>Idling Speed for Op. Costs and Emissions</t>
  </si>
  <si>
    <t>Average Absence of Employees</t>
  </si>
  <si>
    <t>Percentage Covered by Short-Term Sick Leave</t>
  </si>
  <si>
    <t>Accident Cost Parameters</t>
  </si>
  <si>
    <t>Percentage of Sick Days Reduced When Active at Least 30 Minutes per Day</t>
  </si>
  <si>
    <t>Cost of a Fatality</t>
  </si>
  <si>
    <t>$/event</t>
  </si>
  <si>
    <t>Health (Mortality Reduction)</t>
  </si>
  <si>
    <t>Children &lt;16</t>
  </si>
  <si>
    <t>(rate with passing lane/rate without passing lane)</t>
  </si>
  <si>
    <t>Percentage of Cyclists Aged 16-64</t>
  </si>
  <si>
    <t>Cost of an Injury</t>
  </si>
  <si>
    <t>Percentage of Pedestrians Aged 16-74</t>
  </si>
  <si>
    <t>Minimum ADT</t>
  </si>
  <si>
    <t>Source: Texas Transportation Institute, 1994</t>
  </si>
  <si>
    <t>Source: ARRB Research Board TR VOC Model</t>
  </si>
  <si>
    <t>Level A (Severe)</t>
  </si>
  <si>
    <t>Level B (Moderate)</t>
  </si>
  <si>
    <t>Percentage Reduction in Mortality per 365 Annual Cycling Miles</t>
  </si>
  <si>
    <t>Level C (Minor)</t>
  </si>
  <si>
    <t>Percentage Reduction in Mortality per 365 Annual Walking Miles</t>
  </si>
  <si>
    <t>TRIP PURPOSE FOR ACTIVE TRANSPORTATION TRIPS</t>
  </si>
  <si>
    <t>(percent of trips)</t>
  </si>
  <si>
    <t>All Types</t>
  </si>
  <si>
    <t>Cost of Property Damage</t>
  </si>
  <si>
    <t>Morality Rate - All Causes (Aged 20-64)</t>
  </si>
  <si>
    <t>#/100,000 people</t>
  </si>
  <si>
    <t>Morality Rate - All Causes (Aged 20-74)</t>
  </si>
  <si>
    <t>Trip Purpose</t>
  </si>
  <si>
    <t>Source: Combination of above four tables</t>
  </si>
  <si>
    <t>Source: Taylor and Jain, 1991</t>
  </si>
  <si>
    <t>Commuting</t>
  </si>
  <si>
    <t>Recreation</t>
  </si>
  <si>
    <t>Other Destination</t>
  </si>
  <si>
    <t>Average Cost</t>
  </si>
  <si>
    <t>per mil veh-mi</t>
  </si>
  <si>
    <t>Non-Freeway</t>
  </si>
  <si>
    <t>Note: Five mph is best estimate for idling</t>
  </si>
  <si>
    <t>Source: California Air Resources Board,</t>
  </si>
  <si>
    <t>Sources: 1) Office of Management and Budget (OMB), 2) Review of OMB and State</t>
  </si>
  <si>
    <t>Notes: 1) Zero mph corresponds to starts, 2) Other emissions factors include idling emissions and exclude diurnal and evaporative emissions, 3) Five mph is best estimate for idling</t>
  </si>
  <si>
    <t>C11 RELIABILITY PARAMETERS</t>
  </si>
  <si>
    <t>(coefficients for standard deviation calculations)</t>
  </si>
  <si>
    <t>AlphaTTI</t>
  </si>
  <si>
    <t>BetaTTI</t>
  </si>
  <si>
    <t>AlphaSTD</t>
  </si>
  <si>
    <t>BetaSTD</t>
  </si>
  <si>
    <t>RELIABILITY RATIO</t>
  </si>
  <si>
    <t>(value of reliability relative to value of time)</t>
  </si>
  <si>
    <t xml:space="preserve"> </t>
  </si>
  <si>
    <t>Travel Time Reliability Benefits</t>
  </si>
  <si>
    <t>This sheet calculates total travel time reliability benefits on highway.</t>
  </si>
  <si>
    <t>Std. Dev. Of TTI = (0.71 x (TTI Mean - 1) ^ 0.56) x Impacted Length / FF Speed</t>
  </si>
  <si>
    <t>Recurring Delay Rate = 1 / Est. Act. Speed - 1 / FF Speed</t>
  </si>
  <si>
    <t>hours/vehicle                                                                                                              mi                             mph</t>
  </si>
  <si>
    <t>hours/mi                                                            mph                                 mph</t>
  </si>
  <si>
    <t>Reliability Savings = Change in Std. Dev. Of TTI x Avg. Value of Reliability</t>
  </si>
  <si>
    <t>Recurring TTI Mean = 1 + Recurring Delay Rate x FF Speed</t>
  </si>
  <si>
    <t>$/yr                                                                              hrs/yr                                                                $/hr</t>
  </si>
  <si>
    <t xml:space="preserve">                                                                                   hours/mi                                mph</t>
  </si>
  <si>
    <t>Avg. Value of Reliability = Avg. Value of Time x Reliability Ratio</t>
  </si>
  <si>
    <t>TTI Mean = 1.0274 x Recurring TTI Mean ^ 1.2204</t>
  </si>
  <si>
    <t xml:space="preserve">$/hr                                                                                    $/hr                                        </t>
  </si>
  <si>
    <t>Induced = Change in Trips x Change in Std. Dev. of TTI x 0.5</t>
  </si>
  <si>
    <t>AUTOMOBILE BENEFITS</t>
  </si>
  <si>
    <t>TRUCK BENEFITS</t>
  </si>
  <si>
    <t>SUMMARY OF TRAVEL TIME RELIABILITY BENEFITS</t>
  </si>
  <si>
    <t>RECURRING DELAY RATE</t>
  </si>
  <si>
    <t>STANDARD DEVIATION</t>
  </si>
  <si>
    <t>RELIABILITY BENEFIT</t>
  </si>
  <si>
    <t>(vehicles/hour)</t>
  </si>
  <si>
    <t>(hrs/mi)</t>
  </si>
  <si>
    <t>OF TRAVEL TIME INDEX</t>
  </si>
  <si>
    <t>(person-hours/yr)</t>
  </si>
  <si>
    <t>(hours/vehicle)</t>
  </si>
  <si>
    <t>Reliability</t>
  </si>
  <si>
    <t>2H</t>
  </si>
  <si>
    <t>DEFINITIONS OF RELIABILITY GROUPS AND YEARS</t>
  </si>
  <si>
    <t>Reliability Group Definition</t>
  </si>
  <si>
    <t>No-Build</t>
  </si>
  <si>
    <r>
      <t xml:space="preserve">Description
</t>
    </r>
    <r>
      <rPr>
        <sz val="10"/>
        <color rgb="FF800000"/>
        <rFont val="Arial"/>
        <family val="2"/>
      </rPr>
      <t>(time period &amp; geography)</t>
    </r>
  </si>
  <si>
    <r>
      <t>Duration</t>
    </r>
    <r>
      <rPr>
        <sz val="10"/>
        <color rgb="FF800000"/>
        <rFont val="Arial"/>
        <family val="2"/>
      </rPr>
      <t xml:space="preserve">
(hours per day)</t>
    </r>
  </si>
  <si>
    <r>
      <rPr>
        <b/>
        <sz val="10"/>
        <color rgb="FF800000"/>
        <rFont val="Arial"/>
        <family val="2"/>
      </rPr>
      <t>Roadway Length</t>
    </r>
    <r>
      <rPr>
        <sz val="10"/>
        <color rgb="FF800000"/>
        <rFont val="Arial"/>
        <family val="2"/>
      </rPr>
      <t xml:space="preserve">
(miles)</t>
    </r>
  </si>
  <si>
    <t># of Lanes</t>
  </si>
  <si>
    <t>Lane Miles</t>
  </si>
  <si>
    <r>
      <t xml:space="preserve">Free Flow Speed
</t>
    </r>
    <r>
      <rPr>
        <sz val="10"/>
        <color rgb="FF800000"/>
        <rFont val="Arial"/>
        <family val="2"/>
      </rPr>
      <t>(mph)</t>
    </r>
  </si>
  <si>
    <t>Average Passenger Vehicle Occupancy</t>
  </si>
  <si>
    <t>Number of Lanes</t>
  </si>
  <si>
    <t>Free Flow Speed
(mph)</t>
  </si>
  <si>
    <t>Reliability Group 1</t>
  </si>
  <si>
    <t>Reliability Base Year</t>
  </si>
  <si>
    <t>Reliability Forecast Year</t>
  </si>
  <si>
    <t>2I</t>
  </si>
  <si>
    <t>2J</t>
  </si>
  <si>
    <t>VMT</t>
  </si>
  <si>
    <t>VHT</t>
  </si>
  <si>
    <t>% Truck</t>
  </si>
  <si>
    <t>Avg. Speed</t>
  </si>
  <si>
    <t>2K</t>
  </si>
  <si>
    <t>TRAVEL TIME RELIABILITY</t>
  </si>
  <si>
    <t>(for adjustments to Reliability Calculations, standard deviation of travel time in seconds/vehicle)</t>
  </si>
  <si>
    <t>Reason for Change</t>
  </si>
  <si>
    <t>Adjustment Factor</t>
  </si>
  <si>
    <t xml:space="preserve">     Travel Time Reliability Benefits</t>
  </si>
  <si>
    <t>Number of Reliability Groups</t>
  </si>
  <si>
    <t>Calculated by Model</t>
  </si>
  <si>
    <t>Changed by User</t>
  </si>
  <si>
    <t>Used for Proj. Eval.</t>
  </si>
  <si>
    <t xml:space="preserve">     C</t>
  </si>
  <si>
    <r>
      <t xml:space="preserve">     PM</t>
    </r>
    <r>
      <rPr>
        <b/>
        <vertAlign val="subscript"/>
        <sz val="14"/>
        <color indexed="25"/>
        <rFont val="Arial"/>
        <family val="2"/>
      </rPr>
      <t>2.5</t>
    </r>
    <r>
      <rPr>
        <b/>
        <sz val="14"/>
        <color indexed="25"/>
        <rFont val="Arial"/>
        <family val="2"/>
      </rPr>
      <t xml:space="preserve"> Emissions Saved</t>
    </r>
  </si>
  <si>
    <r>
      <t xml:space="preserve">California Life-Cycle
Benefit/Cost Analysis Model
</t>
    </r>
    <r>
      <rPr>
        <b/>
        <sz val="24"/>
        <color indexed="18"/>
        <rFont val="Arial"/>
        <family val="2"/>
      </rPr>
      <t xml:space="preserve">(Cal-B/C Corridor) </t>
    </r>
    <r>
      <rPr>
        <b/>
        <sz val="16"/>
        <color indexed="18"/>
        <rFont val="Arial"/>
        <family val="2"/>
      </rPr>
      <t>Version 8.1</t>
    </r>
  </si>
  <si>
    <t>The column titles for this worksheet are in row 2. They span cells C2. The data spans cells A3 through C29. There is information in every cell for column A through C inclusive.  If you are not using a screen reader, you can press Alt + R, T for the Review Ribbon, Edit Comment to move to and open a Comment once you are on a cell with a Comment. When you are finished reading the Comment, press Escape to close the comment and return to the worksheet. If you are using the JAWS screen reader, press Ctrl + Shift + Apostrophe to get a list of Comments and their cell coordinates in the worksheet. Press Enter on the Comment you want to go to or Escape once you’ve read the Comment for a cell. You are returned to the workbook. Note that there is no keyboard command with JAWS to reread Comments or read Comments once you are on them in a cell. You must use the ability to list Comments in order to read them if you are using the JAWS screen reader.</t>
  </si>
  <si>
    <t>2) Travel Time Reliability? (y/n)</t>
  </si>
  <si>
    <t>3) Vehicle Operating Costs? (y/n)</t>
  </si>
  <si>
    <t>Crash</t>
  </si>
  <si>
    <t>Crashes</t>
  </si>
  <si>
    <t>*For Highway Model Groups, VMT refers to vehicle-miles traveled. For Transit Model Groups, VMT refers to transit vehicle-miles traveled</t>
  </si>
  <si>
    <t>* For Highway Model Groups, Trips and VMT refer to vehicle trips and vehicle-miles traveled. For Transit Model Groups, Trips and VMT refer to person (transit) trips and transit vehicle-miles traveled.</t>
  </si>
  <si>
    <r>
      <t xml:space="preserve">Reliability Tables </t>
    </r>
    <r>
      <rPr>
        <sz val="10"/>
        <color indexed="16"/>
        <rFont val="Arial"/>
        <family val="2"/>
      </rPr>
      <t xml:space="preserve">(used for calculating travel time reliability </t>
    </r>
  </si>
  <si>
    <t>impacts if included)</t>
  </si>
  <si>
    <t>Model Year 2024</t>
  </si>
  <si>
    <t>Model Year 2044</t>
  </si>
  <si>
    <t>Source: Pricing and Travel Time Reliability Enhancements in the</t>
  </si>
  <si>
    <t>SANDAG Activity-Based Travel Model: Final Report, 2016.</t>
  </si>
  <si>
    <t>Source: 2017 SWITRS Annual Report, Table 8C</t>
  </si>
  <si>
    <t>Sources: USDOT,Transportation Statistics Annual Report, Table 2-33, 2010 to 2019 average</t>
  </si>
  <si>
    <t>FRA, Office of Safety Analysis, Table 1.13, 2011 to 2020 CY average</t>
  </si>
  <si>
    <t>Interagency Working Group on Social Cost of Carbon, United States Government, 2021 for CO2e</t>
  </si>
  <si>
    <t>(events/crash)</t>
  </si>
  <si>
    <t>Crash Type</t>
  </si>
  <si>
    <t>Fatal Crash</t>
  </si>
  <si>
    <t>27) Chaudhary and Messer, 2000</t>
  </si>
  <si>
    <t>Source: SHRP2 Project C11: Reliability Analysis</t>
  </si>
  <si>
    <t xml:space="preserve"> Tool: User's Guide, January 2013.</t>
  </si>
  <si>
    <t>FRA, Office of Safety Analysis, Table 3.16, 2018 to 2020 average</t>
  </si>
  <si>
    <t>Injury Crash</t>
  </si>
  <si>
    <t>PDO Crash</t>
  </si>
  <si>
    <t>DISTRIBUTION OF CRASH TYPES</t>
  </si>
  <si>
    <t>Walking Journey Quality Values per Mile by Amenity</t>
  </si>
  <si>
    <t>(percent of crashes)</t>
  </si>
  <si>
    <t>Sources: Argonne National Laboratory, Energy Systems, GREET Model, 2021</t>
  </si>
  <si>
    <t>FTA, National Transit Database, Fuel and Energy, 2019</t>
  </si>
  <si>
    <t>Energy Information Administration, Electricty Retail Sales, 2019</t>
  </si>
  <si>
    <t>Association of American Railroads, Freight Rail &amp; Preserving the Environment, April 2021</t>
  </si>
  <si>
    <t>26) Crash Data on California State Highways 2018</t>
  </si>
  <si>
    <t>Table, California, Motor Vehicles, Public Crossings, Jan 2011 to Dec 2020</t>
  </si>
  <si>
    <t>COST OF HIGHWAY CRASHES</t>
  </si>
  <si>
    <t>PASSING LANE CRASH REDUCTION FACTORS</t>
  </si>
  <si>
    <t>($/crash)</t>
  </si>
  <si>
    <t>Cost of Highway Crash</t>
  </si>
  <si>
    <t>$/crash</t>
  </si>
  <si>
    <t xml:space="preserve">Sources: 19) 2017 National Household Travel Survey, 20) 2017 WHO HEAT Model Documentation, 21) Hood et al., 2011, 22) Heuman et al., 2005, </t>
  </si>
  <si>
    <t>23) Maestas et al., 2018, 24) World Health Organization, 2003, 25) California Health and Human Services Agency, 2019 Final Deaths</t>
  </si>
  <si>
    <t>Statewide Highway Crash Rates</t>
  </si>
  <si>
    <t>Source: 2017 National Household Travel Survey, California Sample</t>
  </si>
  <si>
    <t>* Includes motorcycles &amp; medium duty vehicles</t>
  </si>
  <si>
    <t>EMFAC2021, 2024 &amp; 2044 average</t>
  </si>
  <si>
    <t>Treasurer's Office data, 3) Bureau of Labor Statistics (BLS) OES 2020, 4) BLS Employment</t>
  </si>
  <si>
    <t>Cost Index, 5) USDOT Department Guidance 2021, 6) California Department of Transportation</t>
  </si>
  <si>
    <t>TSI and Traffic Operations, 7) IDAS model, 8) AAA Daily Fuel Gauge Report 2021, 9) California</t>
  </si>
  <si>
    <t>Board of Equalization, 10) Caltrans Transportation Funding in California 2020, 11) AAA Your</t>
  </si>
  <si>
    <t xml:space="preserve">Driving Costs 2021, 12) American Transportation Research Institute 2021, 13) USDOT VSL, </t>
  </si>
  <si>
    <t>14) NHTSA 2010, 15) Crash Data on California State Highways 2018</t>
  </si>
  <si>
    <t>Source: California Air Resources Board, EMFAC 2021</t>
  </si>
  <si>
    <t>March 2022</t>
  </si>
  <si>
    <t>eab@dot.ca.gov</t>
  </si>
  <si>
    <t>Transportation Economics Branch</t>
  </si>
  <si>
    <t>Caldwell Interchange</t>
  </si>
  <si>
    <t>06-48740</t>
  </si>
  <si>
    <t>Reconstruct Interchange</t>
  </si>
  <si>
    <t>Reliability Group 2</t>
  </si>
  <si>
    <t>Reliability Group 3</t>
  </si>
  <si>
    <t>Reliability Group 4</t>
  </si>
  <si>
    <t>Reliability Group 5</t>
  </si>
  <si>
    <t>Reliability Group 6</t>
  </si>
  <si>
    <t>Safety Group 2</t>
  </si>
  <si>
    <t>Safety Group 3</t>
  </si>
  <si>
    <t>Safety Group 4</t>
  </si>
  <si>
    <t>Safety Group 5</t>
  </si>
  <si>
    <t>Safety Group 6</t>
  </si>
  <si>
    <t>Model Group 2</t>
  </si>
  <si>
    <t>Model Group 3</t>
  </si>
  <si>
    <t>Model Group 4</t>
  </si>
  <si>
    <t>Model Group 5</t>
  </si>
  <si>
    <t>Model Group 6</t>
  </si>
  <si>
    <t>SB Off-ramp to Ave 280</t>
  </si>
  <si>
    <t>SB On-ramp from Ave 280</t>
  </si>
  <si>
    <t>NB Off-ramp to Ave 280</t>
  </si>
  <si>
    <t>NB On-ramp from Ave 280</t>
  </si>
  <si>
    <t>NB Mainline</t>
  </si>
  <si>
    <t>SB Mainline</t>
  </si>
  <si>
    <t>2 Hour peak Period</t>
  </si>
  <si>
    <t>ADT</t>
  </si>
  <si>
    <t>Segment Length (mi)</t>
  </si>
  <si>
    <t>SB Off to Ave 280</t>
  </si>
  <si>
    <t>SB On from Ave 280</t>
  </si>
  <si>
    <t>NB Off to Ave 280</t>
  </si>
  <si>
    <t>NB On from Ave 280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</si>
</sst>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00000"/>
    <numFmt numFmtId="165" formatCode="#,##0_);\(#,##0_)"/>
    <numFmt numFmtId="166" formatCode="?0_)"/>
    <numFmt numFmtId="167" formatCode="?0.00_)"/>
    <numFmt numFmtId="168" formatCode="?0.000_)"/>
    <numFmt numFmtId="169" formatCode="0_)"/>
    <numFmt numFmtId="170" formatCode="0_);\(0\)"/>
    <numFmt numFmtId="171" formatCode="0.0"/>
    <numFmt numFmtId="172" formatCode="0.0%"/>
    <numFmt numFmtId="173" formatCode="#,##0.0"/>
    <numFmt numFmtId="174" formatCode="#,##0.0_);\(#,##0.0\)"/>
    <numFmt numFmtId="175" formatCode="#"/>
    <numFmt numFmtId="176" formatCode=";;"/>
    <numFmt numFmtId="177" formatCode="&quot;$&quot;#,##0.0;\-&quot;$&quot;#,##0.0"/>
    <numFmt numFmtId="178" formatCode="0.0_)"/>
    <numFmt numFmtId="179" formatCode="_(* #,##0_);_(* \(#,##0\);_(* &quot;-&quot;??_);_(@_)"/>
    <numFmt numFmtId="180" formatCode="#,##0.0_);[Red]\(#,##0.0\)"/>
    <numFmt numFmtId="181" formatCode="#,##0.0000000000000_);[Red]\(#,##0.0000000000000\)"/>
    <numFmt numFmtId="182" formatCode="0.000"/>
    <numFmt numFmtId="183" formatCode="0.0000"/>
    <numFmt numFmtId="184" formatCode="?0.0000"/>
    <numFmt numFmtId="185" formatCode="&quot;$&quot;#,##0"/>
    <numFmt numFmtId="186" formatCode="?0.00"/>
    <numFmt numFmtId="187" formatCode="_(&quot;$&quot;* #,##0.000_);_(&quot;$&quot;* \(#,##0.000\);_(&quot;$&quot;* &quot;-&quot;??_);_(@_)"/>
    <numFmt numFmtId="188" formatCode="#,##0.0000"/>
    <numFmt numFmtId="189" formatCode="_(&quot;$&quot;* #,##0_);_(&quot;$&quot;* \(#,##0\);_(&quot;$&quot;* &quot;-&quot;??_);_(@_)"/>
    <numFmt numFmtId="190" formatCode="??,??0"/>
    <numFmt numFmtId="191" formatCode="_(* #,##0.000_);_(* \(#,##0.000\);_(* &quot;-&quot;??_);_(@_)"/>
    <numFmt numFmtId="192" formatCode="#,##0.000"/>
    <numFmt numFmtId="193" formatCode="&quot;$&quot;#,##0.000"/>
    <numFmt numFmtId="194" formatCode="[$£-809]#,##0.000"/>
    <numFmt numFmtId="195" formatCode="[$$-409]#,##0"/>
    <numFmt numFmtId="196" formatCode="#,##0\ "/>
    <numFmt numFmtId="197" formatCode="_(* #,##0.0_);_(* \(#,##0.0\);_(* &quot;-&quot;??_);_(@_)"/>
    <numFmt numFmtId="198" formatCode="###0.00_)"/>
    <numFmt numFmtId="199" formatCode="#,##0_)"/>
    <numFmt numFmtId="200" formatCode="0.0_W"/>
    <numFmt numFmtId="201" formatCode="0.00_)"/>
    <numFmt numFmtId="202" formatCode="#,##0.0000_);\(#,##0.0000\)"/>
    <numFmt numFmtId="203" formatCode="#,##0.000_);\(#,##0.000\)"/>
    <numFmt numFmtId="204" formatCode="&quot;$&quot;#,##0.00"/>
    <numFmt numFmtId="205" formatCode="#,##0.000_);[Red]\(#,##0.000\)"/>
  </numFmts>
  <fonts count="160" x14ac:knownFonts="1">
    <font>
      <sz val="11"/>
      <color theme="1"/>
      <name val="Calibri"/>
      <family val="2"/>
      <scheme val="minor"/>
    </font>
    <font>
      <sz val="11"/>
      <color theme="1"/>
      <name val="Calibri"/>
      <family val="2"/>
      <scheme val="minor"/>
    </font>
    <font>
      <sz val="10"/>
      <name val="Arial"/>
      <family val="2"/>
    </font>
    <font>
      <sz val="10"/>
      <name val="MS Sans Serif"/>
      <family val="2"/>
    </font>
    <font>
      <b/>
      <sz val="24"/>
      <color indexed="16"/>
      <name val="Arial"/>
      <family val="2"/>
    </font>
    <font>
      <b/>
      <sz val="24"/>
      <color indexed="18"/>
      <name val="Arial"/>
      <family val="2"/>
    </font>
    <font>
      <b/>
      <sz val="16"/>
      <color indexed="18"/>
      <name val="Arial"/>
      <family val="2"/>
    </font>
    <font>
      <b/>
      <sz val="10"/>
      <color indexed="56"/>
      <name val="Arial"/>
      <family val="2"/>
    </font>
    <font>
      <sz val="10"/>
      <color indexed="16"/>
      <name val="Arial"/>
      <family val="2"/>
    </font>
    <font>
      <b/>
      <sz val="14"/>
      <color indexed="16"/>
      <name val="Arial"/>
      <family val="2"/>
    </font>
    <font>
      <sz val="12"/>
      <color indexed="18"/>
      <name val="Arial"/>
      <family val="2"/>
    </font>
    <font>
      <b/>
      <sz val="12"/>
      <color indexed="18"/>
      <name val="Arial"/>
      <family val="2"/>
    </font>
    <font>
      <sz val="8.5"/>
      <color indexed="16"/>
      <name val="Arial"/>
      <family val="2"/>
    </font>
    <font>
      <sz val="10"/>
      <color indexed="10"/>
      <name val="Arial"/>
      <family val="2"/>
    </font>
    <font>
      <i/>
      <sz val="10"/>
      <color indexed="10"/>
      <name val="Arial"/>
      <family val="2"/>
    </font>
    <font>
      <b/>
      <sz val="10"/>
      <name val="Arial"/>
      <family val="2"/>
    </font>
    <font>
      <b/>
      <sz val="12"/>
      <name val="Arial"/>
      <family val="2"/>
    </font>
    <font>
      <b/>
      <sz val="12"/>
      <color indexed="16"/>
      <name val="Arial"/>
      <family val="2"/>
    </font>
    <font>
      <sz val="8"/>
      <name val="Arial"/>
      <family val="2"/>
    </font>
    <font>
      <i/>
      <sz val="12"/>
      <color indexed="56"/>
      <name val="Arial"/>
      <family val="2"/>
    </font>
    <font>
      <sz val="11"/>
      <color indexed="16"/>
      <name val="Arial"/>
      <family val="2"/>
    </font>
    <font>
      <sz val="11"/>
      <color indexed="18"/>
      <name val="Arial"/>
      <family val="2"/>
    </font>
    <font>
      <sz val="11"/>
      <name val="Arial"/>
      <family val="2"/>
    </font>
    <font>
      <sz val="8"/>
      <color indexed="16"/>
      <name val="Arial"/>
      <family val="2"/>
    </font>
    <font>
      <b/>
      <sz val="10"/>
      <color indexed="16"/>
      <name val="Arial"/>
      <family val="2"/>
    </font>
    <font>
      <u/>
      <sz val="10"/>
      <name val="Arial"/>
      <family val="2"/>
    </font>
    <font>
      <b/>
      <sz val="14"/>
      <color indexed="32"/>
      <name val="Arial"/>
      <family val="2"/>
    </font>
    <font>
      <b/>
      <i/>
      <sz val="12"/>
      <name val="Arial"/>
      <family val="2"/>
    </font>
    <font>
      <sz val="9"/>
      <name val="Arial"/>
      <family val="2"/>
    </font>
    <font>
      <sz val="10"/>
      <color indexed="32"/>
      <name val="Arial"/>
      <family val="2"/>
    </font>
    <font>
      <b/>
      <i/>
      <sz val="12"/>
      <color indexed="8"/>
      <name val="Arial"/>
      <family val="2"/>
    </font>
    <font>
      <sz val="9"/>
      <color indexed="10"/>
      <name val="Arial"/>
      <family val="2"/>
    </font>
    <font>
      <sz val="12"/>
      <name val="Arial"/>
      <family val="2"/>
    </font>
    <font>
      <sz val="12"/>
      <color indexed="16"/>
      <name val="Arial"/>
      <family val="2"/>
    </font>
    <font>
      <b/>
      <sz val="11"/>
      <name val="Arial"/>
      <family val="2"/>
    </font>
    <font>
      <b/>
      <sz val="11"/>
      <color indexed="16"/>
      <name val="Arial"/>
      <family val="2"/>
    </font>
    <font>
      <b/>
      <i/>
      <sz val="8"/>
      <name val="Arial"/>
      <family val="2"/>
    </font>
    <font>
      <sz val="10"/>
      <color indexed="8"/>
      <name val="Arial"/>
      <family val="2"/>
    </font>
    <font>
      <sz val="12"/>
      <color indexed="8"/>
      <name val="Arial"/>
      <family val="2"/>
    </font>
    <font>
      <sz val="14"/>
      <name val="Arial"/>
      <family val="2"/>
    </font>
    <font>
      <b/>
      <i/>
      <sz val="10"/>
      <name val="Arial"/>
      <family val="2"/>
    </font>
    <font>
      <sz val="12"/>
      <color indexed="26"/>
      <name val="Arial"/>
      <family val="2"/>
    </font>
    <font>
      <sz val="10"/>
      <color indexed="61"/>
      <name val="Arial"/>
      <family val="2"/>
    </font>
    <font>
      <b/>
      <sz val="12"/>
      <color indexed="10"/>
      <name val="Arial"/>
      <family val="2"/>
    </font>
    <font>
      <b/>
      <sz val="8"/>
      <name val="Arial"/>
      <family val="2"/>
    </font>
    <font>
      <b/>
      <sz val="18"/>
      <color indexed="18"/>
      <name val="Arial"/>
      <family val="2"/>
    </font>
    <font>
      <b/>
      <sz val="8"/>
      <color indexed="16"/>
      <name val="Arial"/>
      <family val="2"/>
    </font>
    <font>
      <b/>
      <sz val="14"/>
      <color indexed="25"/>
      <name val="Arial"/>
      <family val="2"/>
    </font>
    <font>
      <b/>
      <sz val="12"/>
      <color indexed="25"/>
      <name val="Arial"/>
      <family val="2"/>
    </font>
    <font>
      <sz val="12"/>
      <color indexed="10"/>
      <name val="Arial"/>
      <family val="2"/>
    </font>
    <font>
      <sz val="14"/>
      <color indexed="32"/>
      <name val="Arial"/>
      <family val="2"/>
    </font>
    <font>
      <b/>
      <sz val="14"/>
      <color indexed="18"/>
      <name val="Arial"/>
      <family val="2"/>
    </font>
    <font>
      <b/>
      <vertAlign val="subscript"/>
      <sz val="14"/>
      <color indexed="25"/>
      <name val="Arial"/>
      <family val="2"/>
    </font>
    <font>
      <sz val="14"/>
      <color indexed="8"/>
      <name val="Arial"/>
      <family val="2"/>
    </font>
    <font>
      <b/>
      <i/>
      <sz val="16"/>
      <color indexed="25"/>
      <name val="Arial"/>
      <family val="2"/>
    </font>
    <font>
      <sz val="11"/>
      <color indexed="10"/>
      <name val="Arial"/>
      <family val="2"/>
    </font>
    <font>
      <vertAlign val="subscript"/>
      <sz val="12"/>
      <color indexed="18"/>
      <name val="Arial"/>
      <family val="2"/>
    </font>
    <font>
      <b/>
      <i/>
      <sz val="16"/>
      <name val="Arial"/>
      <family val="2"/>
    </font>
    <font>
      <i/>
      <sz val="14"/>
      <color indexed="56"/>
      <name val="Arial"/>
      <family val="2"/>
    </font>
    <font>
      <b/>
      <i/>
      <sz val="14"/>
      <color indexed="56"/>
      <name val="Arial"/>
      <family val="2"/>
    </font>
    <font>
      <i/>
      <sz val="10"/>
      <color indexed="56"/>
      <name val="Arial"/>
      <family val="2"/>
    </font>
    <font>
      <sz val="8.5"/>
      <name val="Arial"/>
      <family val="2"/>
    </font>
    <font>
      <b/>
      <sz val="14"/>
      <color indexed="62"/>
      <name val="Arial"/>
      <family val="2"/>
    </font>
    <font>
      <sz val="16"/>
      <color indexed="62"/>
      <name val="Arial"/>
      <family val="2"/>
    </font>
    <font>
      <b/>
      <sz val="10"/>
      <color indexed="25"/>
      <name val="Arial"/>
      <family val="2"/>
    </font>
    <font>
      <sz val="11"/>
      <color indexed="25"/>
      <name val="Arial"/>
      <family val="2"/>
    </font>
    <font>
      <b/>
      <i/>
      <sz val="9"/>
      <name val="Arial"/>
      <family val="2"/>
    </font>
    <font>
      <b/>
      <i/>
      <sz val="10"/>
      <color indexed="56"/>
      <name val="Arial"/>
      <family val="2"/>
    </font>
    <font>
      <b/>
      <vertAlign val="subscript"/>
      <sz val="14"/>
      <color indexed="62"/>
      <name val="Arial"/>
      <family val="2"/>
    </font>
    <font>
      <sz val="10"/>
      <color indexed="22"/>
      <name val="Arial"/>
      <family val="2"/>
    </font>
    <font>
      <sz val="10"/>
      <name val="Helv"/>
      <family val="2"/>
    </font>
    <font>
      <vertAlign val="subscript"/>
      <sz val="10"/>
      <name val="Arial"/>
      <family val="2"/>
    </font>
    <font>
      <b/>
      <i/>
      <sz val="14"/>
      <color indexed="16"/>
      <name val="Arial"/>
      <family val="2"/>
    </font>
    <font>
      <i/>
      <sz val="10"/>
      <name val="Arial"/>
      <family val="2"/>
    </font>
    <font>
      <b/>
      <sz val="10"/>
      <color indexed="18"/>
      <name val="Arial"/>
      <family val="2"/>
    </font>
    <font>
      <sz val="10"/>
      <color indexed="25"/>
      <name val="Arial"/>
      <family val="2"/>
    </font>
    <font>
      <b/>
      <vertAlign val="subscript"/>
      <sz val="10"/>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800000"/>
      <name val="Arial"/>
      <family val="2"/>
    </font>
    <font>
      <sz val="11"/>
      <color rgb="FFFF0000"/>
      <name val="Arial"/>
      <family val="2"/>
    </font>
    <font>
      <sz val="10"/>
      <color rgb="FFFF0000"/>
      <name val="Arial"/>
      <family val="2"/>
    </font>
    <font>
      <sz val="11"/>
      <color rgb="FF000000"/>
      <name val="Calibri"/>
      <family val="2"/>
    </font>
    <font>
      <b/>
      <sz val="11"/>
      <color rgb="FF000000"/>
      <name val="Calibri"/>
      <family val="2"/>
    </font>
    <font>
      <sz val="11"/>
      <name val="Calibri"/>
      <family val="2"/>
    </font>
    <font>
      <sz val="10"/>
      <color theme="0"/>
      <name val="Arial"/>
      <family val="2"/>
    </font>
    <font>
      <sz val="12"/>
      <color theme="0"/>
      <name val="Arial"/>
      <family val="2"/>
    </font>
    <font>
      <sz val="12"/>
      <color theme="0"/>
      <name val="Arial Narrow"/>
      <family val="2"/>
    </font>
    <font>
      <sz val="11"/>
      <color theme="0"/>
      <name val="Times New Roman"/>
      <family val="2"/>
    </font>
    <font>
      <sz val="11"/>
      <color rgb="FF9C0006"/>
      <name val="Times New Roman"/>
      <family val="2"/>
    </font>
    <font>
      <sz val="9"/>
      <color indexed="8"/>
      <name val="Calibri"/>
      <family val="2"/>
    </font>
    <font>
      <b/>
      <sz val="12"/>
      <color rgb="FFFA7D00"/>
      <name val="Arial"/>
      <family val="2"/>
    </font>
    <font>
      <b/>
      <sz val="12"/>
      <color rgb="FFFA7D00"/>
      <name val="Arial Narrow"/>
      <family val="2"/>
    </font>
    <font>
      <sz val="12"/>
      <name val="Helv"/>
    </font>
    <font>
      <sz val="10"/>
      <name val="Tahoma"/>
      <family val="2"/>
    </font>
    <font>
      <sz val="10"/>
      <color theme="1"/>
      <name val="Tahoma"/>
      <family val="2"/>
    </font>
    <font>
      <sz val="12"/>
      <color theme="1"/>
      <name val="Arial Narrow"/>
      <family val="2"/>
    </font>
    <font>
      <sz val="12"/>
      <color theme="1"/>
      <name val="Calibri"/>
      <family val="2"/>
      <scheme val="minor"/>
    </font>
    <font>
      <b/>
      <sz val="12"/>
      <name val="Helv"/>
    </font>
    <font>
      <sz val="10"/>
      <name val="Helv"/>
    </font>
    <font>
      <sz val="9"/>
      <name val="Helv"/>
    </font>
    <font>
      <vertAlign val="superscript"/>
      <sz val="12"/>
      <name val="Helv"/>
    </font>
    <font>
      <b/>
      <sz val="13"/>
      <color theme="3"/>
      <name val="Arial"/>
      <family val="2"/>
    </font>
    <font>
      <b/>
      <sz val="13"/>
      <color theme="3"/>
      <name val="Arial Narrow"/>
      <family val="2"/>
    </font>
    <font>
      <b/>
      <sz val="10"/>
      <name val="Helv"/>
    </font>
    <font>
      <b/>
      <sz val="9"/>
      <name val="Helv"/>
    </font>
    <font>
      <sz val="8.5"/>
      <name val="Helv"/>
    </font>
    <font>
      <u/>
      <sz val="11"/>
      <color theme="10"/>
      <name val="Calibri"/>
      <family val="2"/>
    </font>
    <font>
      <u/>
      <sz val="11"/>
      <color theme="10"/>
      <name val="Calibri"/>
      <family val="2"/>
      <scheme val="minor"/>
    </font>
    <font>
      <sz val="12"/>
      <color rgb="FF3F3F76"/>
      <name val="Arial"/>
      <family val="2"/>
    </font>
    <font>
      <sz val="12"/>
      <color rgb="FF3F3F76"/>
      <name val="Arial Narrow"/>
      <family val="2"/>
    </font>
    <font>
      <sz val="10"/>
      <color theme="4"/>
      <name val="Arial"/>
      <family val="2"/>
    </font>
    <font>
      <b/>
      <i/>
      <sz val="16"/>
      <name val="Helv"/>
    </font>
    <font>
      <sz val="12"/>
      <color theme="1"/>
      <name val="Arial"/>
      <family val="2"/>
    </font>
    <font>
      <sz val="12"/>
      <color theme="1"/>
      <name val="Times New Roman"/>
      <family val="2"/>
    </font>
    <font>
      <sz val="11"/>
      <color indexed="8"/>
      <name val="Calibri"/>
      <family val="2"/>
      <scheme val="minor"/>
    </font>
    <font>
      <sz val="10"/>
      <color theme="1"/>
      <name val="Arial"/>
      <family val="2"/>
    </font>
    <font>
      <sz val="10"/>
      <color theme="1"/>
      <name val="Arial Narrow"/>
      <family val="2"/>
    </font>
    <font>
      <sz val="8"/>
      <name val="Helv"/>
    </font>
    <font>
      <b/>
      <sz val="12"/>
      <color theme="5"/>
      <name val="Tahoma"/>
      <family val="2"/>
    </font>
    <font>
      <b/>
      <sz val="14"/>
      <name val="Helv"/>
    </font>
    <font>
      <b/>
      <sz val="11"/>
      <name val="Times New Roman"/>
      <family val="1"/>
    </font>
    <font>
      <b/>
      <sz val="11"/>
      <color theme="1"/>
      <name val="Times New Roman"/>
      <family val="2"/>
    </font>
    <font>
      <u/>
      <sz val="12"/>
      <color indexed="10"/>
      <name val="Arial"/>
      <family val="2"/>
    </font>
    <font>
      <b/>
      <vertAlign val="subscript"/>
      <sz val="11"/>
      <color indexed="16"/>
      <name val="Arial"/>
      <family val="2"/>
    </font>
    <font>
      <b/>
      <sz val="10"/>
      <color rgb="FF800000"/>
      <name val="Arial"/>
      <family val="2"/>
    </font>
    <font>
      <sz val="10"/>
      <color rgb="FF800000"/>
      <name val="Arial"/>
      <family val="2"/>
    </font>
    <font>
      <sz val="10"/>
      <color theme="0" tint="-0.249977111117893"/>
      <name val="Arial"/>
      <family val="2"/>
    </font>
    <font>
      <b/>
      <sz val="14"/>
      <color rgb="FF000080"/>
      <name val="Arial"/>
      <family val="2"/>
    </font>
    <font>
      <b/>
      <sz val="10"/>
      <color rgb="FF000080"/>
      <name val="Arial"/>
      <family val="2"/>
    </font>
    <font>
      <sz val="11"/>
      <color rgb="FFC00000"/>
      <name val="Arial"/>
      <family val="2"/>
    </font>
    <font>
      <b/>
      <sz val="12"/>
      <color rgb="FF000080"/>
      <name val="Arial"/>
      <family val="2"/>
    </font>
    <font>
      <b/>
      <sz val="12"/>
      <color rgb="FF800000"/>
      <name val="Arial"/>
      <family val="2"/>
    </font>
    <font>
      <sz val="11"/>
      <name val="Calibri"/>
      <family val="2"/>
      <scheme val="minor"/>
    </font>
    <font>
      <sz val="11"/>
      <color rgb="FF800000"/>
      <name val="Calibri"/>
      <family val="2"/>
      <scheme val="minor"/>
    </font>
    <font>
      <b/>
      <sz val="14"/>
      <color rgb="FF333399"/>
      <name val="Arial"/>
      <family val="2"/>
    </font>
    <font>
      <sz val="11"/>
      <color indexed="62"/>
      <name val="Arial"/>
      <family val="2"/>
    </font>
    <font>
      <sz val="10"/>
      <color rgb="FF333399"/>
      <name val="Arial"/>
      <family val="2"/>
    </font>
    <font>
      <sz val="12"/>
      <color rgb="FF000080"/>
      <name val="Arial"/>
      <family val="2"/>
    </font>
    <font>
      <b/>
      <sz val="11"/>
      <color rgb="FF800000"/>
      <name val="Arial"/>
      <family val="2"/>
    </font>
    <font>
      <sz val="11"/>
      <color theme="0"/>
      <name val="Calibri"/>
      <family val="2"/>
    </font>
    <font>
      <i/>
      <sz val="10"/>
      <color rgb="FF800000"/>
      <name val="Arial"/>
      <family val="2"/>
    </font>
    <font>
      <sz val="10"/>
      <color rgb="FF000000"/>
      <name val="Arial"/>
      <family val="2"/>
    </font>
    <font>
      <sz val="10"/>
      <color theme="1"/>
      <name val="Calibri"/>
      <family val="2"/>
      <scheme val="minor"/>
    </font>
    <font>
      <u/>
      <sz val="10"/>
      <color theme="10"/>
      <name val="Arial"/>
      <family val="2"/>
    </font>
    <font>
      <sz val="8"/>
      <name val="Calibri"/>
      <family val="2"/>
      <scheme val="minor"/>
    </font>
  </fonts>
  <fills count="71">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indexed="22"/>
        <bgColor indexed="64"/>
      </patternFill>
    </fill>
    <fill>
      <patternFill patternType="solid">
        <fgColor indexed="44"/>
        <bgColor indexed="64"/>
      </patternFill>
    </fill>
    <fill>
      <patternFill patternType="solid">
        <fgColor indexed="29"/>
        <bgColor indexed="64"/>
      </patternFill>
    </fill>
    <fill>
      <patternFill patternType="solid">
        <fgColor indexed="9"/>
        <bgColor indexed="64"/>
      </patternFill>
    </fill>
    <fill>
      <patternFill patternType="mediumGray">
        <fgColor indexed="41"/>
        <bgColor indexed="44"/>
      </patternFill>
    </fill>
    <fill>
      <patternFill patternType="solid">
        <fgColor indexed="13"/>
        <bgColor indexed="64"/>
      </patternFill>
    </fill>
    <fill>
      <patternFill patternType="solid">
        <fgColor rgb="FFCCFFCC"/>
        <bgColor indexed="64"/>
      </patternFill>
    </fill>
    <fill>
      <patternFill patternType="solid">
        <fgColor rgb="FFC0C0C0"/>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CC"/>
        <bgColor rgb="FF92D050"/>
      </patternFill>
    </fill>
    <fill>
      <patternFill patternType="solid">
        <fgColor rgb="FFFFFFCC"/>
        <bgColor rgb="FFFBD4B4"/>
      </patternFill>
    </fill>
    <fill>
      <patternFill patternType="solid">
        <fgColor rgb="FF99CCFF"/>
        <bgColor indexed="64"/>
      </patternFill>
    </fill>
    <fill>
      <patternFill patternType="solid">
        <fgColor rgb="FF01FF00"/>
        <bgColor indexed="64"/>
      </patternFill>
    </fill>
    <fill>
      <patternFill patternType="solid">
        <fgColor rgb="FFFF3333"/>
        <bgColor indexed="64"/>
      </patternFill>
    </fill>
    <fill>
      <patternFill patternType="solid">
        <fgColor rgb="FFFFCCCC"/>
        <bgColor indexed="64"/>
      </patternFill>
    </fill>
    <fill>
      <patternFill patternType="solid">
        <fgColor rgb="FFFF9999"/>
        <bgColor indexed="64"/>
      </patternFill>
    </fill>
    <fill>
      <patternFill patternType="solid">
        <fgColor rgb="FFFF6666"/>
        <bgColor indexed="64"/>
      </patternFill>
    </fill>
    <fill>
      <patternFill patternType="solid">
        <fgColor rgb="FFCC6666"/>
        <bgColor indexed="64"/>
      </patternFill>
    </fill>
    <fill>
      <patternFill patternType="solid">
        <fgColor indexed="22"/>
        <bgColor indexed="9"/>
      </patternFill>
    </fill>
    <fill>
      <patternFill patternType="solid">
        <fgColor rgb="FFCCFFFF"/>
        <bgColor indexed="64"/>
      </patternFill>
    </fill>
    <fill>
      <patternFill patternType="solid">
        <fgColor rgb="FF01FFFF"/>
        <bgColor indexed="64"/>
      </patternFill>
    </fill>
    <fill>
      <patternFill patternType="solid">
        <fgColor rgb="FF99CCCC"/>
        <bgColor indexed="64"/>
      </patternFill>
    </fill>
    <fill>
      <patternFill patternType="solid">
        <fgColor rgb="FF00CCCC"/>
        <bgColor indexed="64"/>
      </patternFill>
    </fill>
    <fill>
      <patternFill patternType="solid">
        <fgColor rgb="FF669999"/>
        <bgColor indexed="64"/>
      </patternFill>
    </fill>
    <fill>
      <patternFill patternType="solid">
        <fgColor rgb="FF009999"/>
        <bgColor indexed="64"/>
      </patternFill>
    </fill>
    <fill>
      <patternFill patternType="solid">
        <fgColor rgb="FFFFCCFF"/>
        <bgColor indexed="64"/>
      </patternFill>
    </fill>
    <fill>
      <patternFill patternType="solid">
        <fgColor rgb="FFFF99FF"/>
        <bgColor indexed="64"/>
      </patternFill>
    </fill>
    <fill>
      <patternFill patternType="solid">
        <fgColor rgb="FFFF33FF"/>
        <bgColor indexed="64"/>
      </patternFill>
    </fill>
    <fill>
      <patternFill patternType="solid">
        <fgColor rgb="FFCC99CC"/>
        <bgColor indexed="64"/>
      </patternFill>
    </fill>
    <fill>
      <patternFill patternType="solid">
        <fgColor rgb="FFCC66CC"/>
        <bgColor indexed="64"/>
      </patternFill>
    </fill>
    <fill>
      <patternFill patternType="solid">
        <fgColor indexed="22"/>
        <bgColor indexed="55"/>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3" tint="0.79998168889431442"/>
        <bgColor indexed="64"/>
      </patternFill>
    </fill>
  </fills>
  <borders count="13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double">
        <color indexed="64"/>
      </left>
      <right/>
      <top/>
      <bottom/>
      <diagonal/>
    </border>
    <border>
      <left/>
      <right style="double">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hair">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bottom/>
      <diagonal/>
    </border>
    <border>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thin">
        <color indexed="64"/>
      </top>
      <bottom style="thin">
        <color indexed="64"/>
      </bottom>
      <diagonal/>
    </border>
    <border>
      <left style="hair">
        <color auto="1"/>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hair">
        <color indexed="64"/>
      </bottom>
      <diagonal/>
    </border>
    <border>
      <left/>
      <right/>
      <top style="hair">
        <color indexed="64"/>
      </top>
      <bottom style="thin">
        <color indexed="64"/>
      </bottom>
      <diagonal/>
    </border>
    <border>
      <left/>
      <right/>
      <top style="thin">
        <color indexed="64"/>
      </top>
      <bottom style="double">
        <color indexed="64"/>
      </bottom>
      <diagonal/>
    </border>
    <border>
      <left/>
      <right/>
      <top/>
      <bottom style="dashed">
        <color rgb="FFBFBFBF"/>
      </bottom>
      <diagonal/>
    </border>
    <border>
      <left/>
      <right/>
      <top/>
      <bottom style="thin">
        <color indexed="22"/>
      </bottom>
      <diagonal/>
    </border>
    <border>
      <left/>
      <right/>
      <top/>
      <bottom style="hair">
        <color indexed="8"/>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bottom style="hair">
        <color indexed="64"/>
      </bottom>
      <diagonal/>
    </border>
    <border>
      <left style="dotted">
        <color indexed="64"/>
      </left>
      <right style="dotted">
        <color indexed="64"/>
      </right>
      <top/>
      <bottom style="thin">
        <color indexed="64"/>
      </bottom>
      <diagonal/>
    </border>
    <border>
      <left style="thin">
        <color indexed="64"/>
      </left>
      <right style="thin">
        <color indexed="64"/>
      </right>
      <top style="thin">
        <color indexed="64"/>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top style="hair">
        <color auto="1"/>
      </top>
      <bottom style="thin">
        <color indexed="64"/>
      </bottom>
      <diagonal/>
    </border>
    <border>
      <left style="thin">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right/>
      <top style="thin">
        <color indexed="64"/>
      </top>
      <bottom style="hair">
        <color auto="1"/>
      </bottom>
      <diagonal/>
    </border>
    <border>
      <left/>
      <right style="thin">
        <color indexed="64"/>
      </right>
      <top style="thin">
        <color indexed="64"/>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right/>
      <top style="hair">
        <color auto="1"/>
      </top>
      <bottom style="thin">
        <color indexed="64"/>
      </bottom>
      <diagonal/>
    </border>
    <border>
      <left/>
      <right style="thin">
        <color indexed="64"/>
      </right>
      <top style="hair">
        <color auto="1"/>
      </top>
      <bottom style="thin">
        <color indexed="64"/>
      </bottom>
      <diagonal/>
    </border>
    <border>
      <left/>
      <right/>
      <top/>
      <bottom style="thin">
        <color auto="1"/>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indexed="64"/>
      </bottom>
      <diagonal/>
    </border>
    <border>
      <left style="thin">
        <color auto="1"/>
      </left>
      <right/>
      <top style="thin">
        <color auto="1"/>
      </top>
      <bottom style="thick">
        <color indexed="64"/>
      </bottom>
      <diagonal/>
    </border>
    <border>
      <left/>
      <right/>
      <top style="thin">
        <color indexed="64"/>
      </top>
      <bottom style="thick">
        <color indexed="64"/>
      </bottom>
      <diagonal/>
    </border>
    <border>
      <left/>
      <right style="thin">
        <color indexed="64"/>
      </right>
      <top style="thin">
        <color auto="1"/>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283">
    <xf numFmtId="0" fontId="0" fillId="0" borderId="0"/>
    <xf numFmtId="0" fontId="1" fillId="0" borderId="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77" fillId="0" borderId="0"/>
    <xf numFmtId="43" fontId="77" fillId="0" borderId="0" applyFont="0" applyFill="0" applyBorder="0" applyAlignment="0" applyProtection="0"/>
    <xf numFmtId="9" fontId="77" fillId="0" borderId="0" applyFont="0" applyFill="0" applyBorder="0" applyAlignment="0" applyProtection="0"/>
    <xf numFmtId="44" fontId="77" fillId="0" borderId="0" applyFont="0" applyFill="0" applyBorder="0" applyAlignment="0" applyProtection="0"/>
    <xf numFmtId="0" fontId="3" fillId="0" borderId="0"/>
    <xf numFmtId="9" fontId="2" fillId="0" borderId="0" applyFont="0" applyFill="0" applyBorder="0" applyAlignment="0" applyProtection="0"/>
    <xf numFmtId="0" fontId="2" fillId="0" borderId="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194" fontId="1" fillId="41"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8" borderId="0"/>
    <xf numFmtId="0" fontId="1" fillId="49" borderId="0"/>
    <xf numFmtId="0" fontId="92" fillId="23" borderId="0" applyNumberFormat="0" applyBorder="0" applyAlignment="0" applyProtection="0"/>
    <xf numFmtId="0" fontId="92" fillId="27" borderId="0" applyNumberFormat="0" applyBorder="0" applyAlignment="0" applyProtection="0"/>
    <xf numFmtId="0" fontId="92" fillId="31" borderId="0" applyNumberFormat="0" applyBorder="0" applyAlignment="0" applyProtection="0"/>
    <xf numFmtId="0" fontId="92" fillId="35" borderId="0" applyNumberFormat="0" applyBorder="0" applyAlignment="0" applyProtection="0"/>
    <xf numFmtId="0" fontId="92" fillId="39" borderId="0" applyNumberFormat="0" applyBorder="0" applyAlignment="0" applyProtection="0"/>
    <xf numFmtId="0" fontId="92" fillId="43"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100" fillId="20" borderId="0" applyNumberFormat="0" applyBorder="0" applyAlignment="0" applyProtection="0"/>
    <xf numFmtId="0" fontId="101" fillId="20"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9" fillId="24" borderId="0" applyNumberFormat="0" applyBorder="0" applyAlignment="0" applyProtection="0"/>
    <xf numFmtId="195" fontId="102" fillId="24" borderId="0" applyNumberFormat="0" applyBorder="0" applyAlignment="0" applyProtection="0"/>
    <xf numFmtId="0" fontId="100" fillId="24" borderId="0" applyNumberFormat="0" applyBorder="0" applyAlignment="0" applyProtection="0"/>
    <xf numFmtId="0" fontId="101" fillId="24" borderId="0" applyNumberFormat="0" applyBorder="0" applyAlignment="0" applyProtection="0"/>
    <xf numFmtId="0" fontId="92" fillId="28" borderId="0" applyNumberFormat="0" applyBorder="0" applyAlignment="0" applyProtection="0"/>
    <xf numFmtId="0" fontId="92" fillId="28" borderId="0" applyNumberFormat="0" applyBorder="0" applyAlignment="0" applyProtection="0"/>
    <xf numFmtId="0" fontId="92" fillId="28" borderId="0" applyNumberFormat="0" applyBorder="0" applyAlignment="0" applyProtection="0"/>
    <xf numFmtId="0" fontId="92" fillId="28" borderId="0" applyNumberFormat="0" applyBorder="0" applyAlignment="0" applyProtection="0"/>
    <xf numFmtId="0" fontId="100" fillId="28" borderId="0" applyNumberFormat="0" applyBorder="0" applyAlignment="0" applyProtection="0"/>
    <xf numFmtId="0" fontId="101" fillId="28" borderId="0" applyNumberFormat="0" applyBorder="0" applyAlignment="0" applyProtection="0"/>
    <xf numFmtId="0" fontId="92" fillId="32" borderId="0" applyNumberFormat="0" applyBorder="0" applyAlignment="0" applyProtection="0"/>
    <xf numFmtId="0" fontId="92" fillId="32" borderId="0" applyNumberFormat="0" applyBorder="0" applyAlignment="0" applyProtection="0"/>
    <xf numFmtId="0" fontId="92" fillId="32" borderId="0" applyNumberFormat="0" applyBorder="0" applyAlignment="0" applyProtection="0"/>
    <xf numFmtId="0" fontId="92" fillId="32" borderId="0" applyNumberFormat="0" applyBorder="0" applyAlignment="0" applyProtection="0"/>
    <xf numFmtId="0" fontId="92" fillId="36" borderId="0" applyNumberFormat="0" applyBorder="0" applyAlignment="0" applyProtection="0"/>
    <xf numFmtId="0" fontId="92" fillId="40" borderId="0" applyNumberFormat="0" applyBorder="0" applyAlignment="0" applyProtection="0"/>
    <xf numFmtId="196" fontId="22" fillId="0" borderId="0">
      <alignment vertical="center"/>
    </xf>
    <xf numFmtId="0" fontId="82" fillId="14" borderId="0" applyNumberFormat="0" applyBorder="0" applyAlignment="0" applyProtection="0"/>
    <xf numFmtId="195" fontId="103" fillId="14" borderId="0" applyNumberFormat="0" applyBorder="0" applyAlignment="0" applyProtection="0"/>
    <xf numFmtId="0" fontId="104" fillId="0" borderId="95" applyNumberFormat="0" applyFont="0" applyProtection="0">
      <alignment wrapText="1"/>
    </xf>
    <xf numFmtId="0" fontId="86" fillId="17" borderId="86" applyNumberFormat="0" applyAlignment="0" applyProtection="0"/>
    <xf numFmtId="0" fontId="86" fillId="17" borderId="86" applyNumberFormat="0" applyAlignment="0" applyProtection="0"/>
    <xf numFmtId="0" fontId="105" fillId="17" borderId="86" applyNumberFormat="0" applyAlignment="0" applyProtection="0"/>
    <xf numFmtId="0" fontId="106" fillId="17" borderId="86" applyNumberFormat="0" applyAlignment="0" applyProtection="0"/>
    <xf numFmtId="0" fontId="88" fillId="18" borderId="89" applyNumberFormat="0" applyAlignment="0" applyProtection="0"/>
    <xf numFmtId="0" fontId="1" fillId="50" borderId="0"/>
    <xf numFmtId="0" fontId="1" fillId="51" borderId="0"/>
    <xf numFmtId="0" fontId="1" fillId="52" borderId="0"/>
    <xf numFmtId="0" fontId="1" fillId="53" borderId="0"/>
    <xf numFmtId="0" fontId="107" fillId="0" borderId="0">
      <alignment horizontal="center" vertical="center" wrapText="1"/>
    </xf>
    <xf numFmtId="43" fontId="37" fillId="0" borderId="0" applyFont="0" applyFill="0" applyBorder="0" applyAlignment="0" applyProtection="0">
      <alignment vertical="top"/>
    </xf>
    <xf numFmtId="43" fontId="108"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 fillId="0" borderId="0" applyFont="0" applyFill="0" applyBorder="0" applyAlignment="0" applyProtection="0"/>
    <xf numFmtId="43" fontId="111" fillId="0" borderId="0" applyFont="0" applyFill="0" applyBorder="0" applyAlignment="0" applyProtection="0"/>
    <xf numFmtId="43" fontId="1" fillId="0" borderId="0" applyFont="0" applyFill="0" applyBorder="0" applyAlignment="0" applyProtection="0"/>
    <xf numFmtId="3" fontId="2" fillId="0" borderId="0" applyFont="0" applyFill="0" applyBorder="0" applyAlignment="0" applyProtection="0"/>
    <xf numFmtId="0" fontId="112" fillId="0" borderId="0">
      <alignment horizontal="left" vertical="center" wrapText="1"/>
    </xf>
    <xf numFmtId="44" fontId="37" fillId="0" borderId="0" applyFont="0" applyFill="0" applyBorder="0" applyAlignment="0" applyProtection="0">
      <alignment vertical="top"/>
    </xf>
    <xf numFmtId="44" fontId="37" fillId="0" borderId="0" applyFont="0" applyFill="0" applyBorder="0" applyAlignment="0" applyProtection="0">
      <alignment vertical="top"/>
    </xf>
    <xf numFmtId="44" fontId="108" fillId="0" borderId="0" applyFont="0" applyFill="0" applyBorder="0" applyAlignment="0" applyProtection="0"/>
    <xf numFmtId="44" fontId="1" fillId="0" borderId="0" applyFont="0" applyFill="0" applyBorder="0" applyAlignment="0" applyProtection="0"/>
    <xf numFmtId="44" fontId="110" fillId="0" borderId="0" applyFont="0" applyFill="0" applyBorder="0" applyAlignment="0" applyProtection="0"/>
    <xf numFmtId="44" fontId="1" fillId="0" borderId="0" applyFont="0" applyFill="0" applyBorder="0" applyAlignment="0" applyProtection="0"/>
    <xf numFmtId="44" fontId="111" fillId="0" borderId="0" applyFont="0" applyFill="0" applyBorder="0" applyAlignment="0" applyProtection="0"/>
    <xf numFmtId="197" fontId="2" fillId="0" borderId="0" applyFont="0" applyFill="0" applyBorder="0" applyAlignment="0" applyProtection="0"/>
    <xf numFmtId="198" fontId="113" fillId="0" borderId="96" applyNumberFormat="0" applyFill="0">
      <alignment horizontal="right"/>
    </xf>
    <xf numFmtId="198" fontId="113" fillId="0" borderId="96" applyNumberFormat="0" applyFill="0">
      <alignment horizontal="right"/>
    </xf>
    <xf numFmtId="199" fontId="114" fillId="0" borderId="96">
      <alignment horizontal="right" vertical="center"/>
    </xf>
    <xf numFmtId="49" fontId="115" fillId="0" borderId="96">
      <alignment horizontal="left" vertical="center"/>
    </xf>
    <xf numFmtId="198" fontId="113" fillId="0" borderId="96" applyNumberFormat="0" applyFill="0">
      <alignment horizontal="right"/>
    </xf>
    <xf numFmtId="200" fontId="113" fillId="0" borderId="96">
      <alignment horizontal="right"/>
    </xf>
    <xf numFmtId="0" fontId="2" fillId="0" borderId="0" applyFont="0" applyFill="0" applyBorder="0" applyAlignment="0" applyProtection="0"/>
    <xf numFmtId="0" fontId="90" fillId="0" borderId="0" applyNumberFormat="0" applyFill="0" applyBorder="0" applyAlignment="0" applyProtection="0"/>
    <xf numFmtId="2" fontId="2" fillId="0" borderId="0" applyFont="0" applyFill="0" applyBorder="0" applyAlignment="0" applyProtection="0"/>
    <xf numFmtId="0" fontId="81" fillId="13" borderId="0" applyNumberFormat="0" applyBorder="0" applyAlignment="0" applyProtection="0"/>
    <xf numFmtId="38" fontId="18" fillId="4" borderId="0" applyNumberFormat="0" applyBorder="0" applyAlignment="0" applyProtection="0"/>
    <xf numFmtId="0" fontId="78" fillId="0" borderId="83" applyNumberFormat="0" applyFill="0" applyAlignment="0" applyProtection="0"/>
    <xf numFmtId="0" fontId="79" fillId="0" borderId="84" applyNumberFormat="0" applyFill="0" applyAlignment="0" applyProtection="0"/>
    <xf numFmtId="0" fontId="79" fillId="0" borderId="84" applyNumberFormat="0" applyFill="0" applyAlignment="0" applyProtection="0"/>
    <xf numFmtId="0" fontId="116" fillId="0" borderId="84" applyNumberFormat="0" applyFill="0" applyAlignment="0" applyProtection="0"/>
    <xf numFmtId="0" fontId="117" fillId="0" borderId="84" applyNumberFormat="0" applyFill="0" applyAlignment="0" applyProtection="0"/>
    <xf numFmtId="0" fontId="80" fillId="0" borderId="85" applyNumberFormat="0" applyFill="0" applyAlignment="0" applyProtection="0"/>
    <xf numFmtId="0" fontId="80" fillId="0" borderId="0" applyNumberFormat="0" applyFill="0" applyBorder="0" applyAlignment="0" applyProtection="0"/>
    <xf numFmtId="195" fontId="118" fillId="0" borderId="96">
      <alignment horizontal="left"/>
    </xf>
    <xf numFmtId="195" fontId="118" fillId="0" borderId="96">
      <alignment horizontal="left"/>
    </xf>
    <xf numFmtId="0" fontId="119" fillId="0" borderId="20">
      <alignment horizontal="right" vertical="center"/>
    </xf>
    <xf numFmtId="0" fontId="120" fillId="0" borderId="96">
      <alignment horizontal="left" vertical="center"/>
    </xf>
    <xf numFmtId="0" fontId="113" fillId="0" borderId="96">
      <alignment horizontal="left" vertical="center"/>
    </xf>
    <xf numFmtId="0" fontId="118" fillId="0" borderId="96">
      <alignment horizontal="left"/>
    </xf>
    <xf numFmtId="195" fontId="118" fillId="54" borderId="0">
      <alignment horizontal="centerContinuous" wrapText="1"/>
    </xf>
    <xf numFmtId="49" fontId="118" fillId="54" borderId="40">
      <alignment horizontal="left" vertical="center"/>
    </xf>
    <xf numFmtId="195" fontId="118" fillId="54" borderId="0">
      <alignment horizontal="centerContinuous" wrapText="1"/>
    </xf>
    <xf numFmtId="0" fontId="118" fillId="54" borderId="0">
      <alignment horizontal="centerContinuous" vertical="center" wrapText="1"/>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xf numFmtId="10" fontId="18" fillId="2" borderId="57" applyNumberFormat="0" applyBorder="0" applyAlignment="0" applyProtection="0"/>
    <xf numFmtId="0" fontId="123" fillId="16" borderId="86" applyNumberFormat="0" applyAlignment="0" applyProtection="0"/>
    <xf numFmtId="0" fontId="123" fillId="16" borderId="86" applyNumberFormat="0" applyAlignment="0" applyProtection="0"/>
    <xf numFmtId="0" fontId="123" fillId="16" borderId="86" applyNumberFormat="0" applyAlignment="0" applyProtection="0"/>
    <xf numFmtId="0" fontId="123" fillId="16" borderId="86" applyNumberFormat="0" applyAlignment="0" applyProtection="0"/>
    <xf numFmtId="0" fontId="123" fillId="16" borderId="86" applyNumberFormat="0" applyAlignment="0" applyProtection="0"/>
    <xf numFmtId="0" fontId="124" fillId="16" borderId="86" applyNumberFormat="0" applyAlignment="0" applyProtection="0"/>
    <xf numFmtId="0" fontId="84" fillId="16" borderId="86" applyNumberFormat="0" applyAlignment="0" applyProtection="0"/>
    <xf numFmtId="0" fontId="84" fillId="16" borderId="86" applyNumberFormat="0" applyAlignment="0" applyProtection="0"/>
    <xf numFmtId="0" fontId="84" fillId="16" borderId="86" applyNumberFormat="0" applyAlignment="0" applyProtection="0"/>
    <xf numFmtId="0" fontId="84" fillId="16" borderId="86" applyNumberFormat="0" applyAlignment="0" applyProtection="0"/>
    <xf numFmtId="0" fontId="125" fillId="0" borderId="86" applyNumberFormat="0" applyAlignment="0" applyProtection="0"/>
    <xf numFmtId="0" fontId="125" fillId="0" borderId="86" applyNumberFormat="0" applyAlignment="0" applyProtection="0"/>
    <xf numFmtId="0" fontId="125" fillId="0" borderId="86" applyNumberFormat="0" applyAlignment="0" applyProtection="0"/>
    <xf numFmtId="0" fontId="125" fillId="0" borderId="86" applyNumberFormat="0" applyAlignment="0" applyProtection="0"/>
    <xf numFmtId="0" fontId="84" fillId="16" borderId="86" applyNumberFormat="0" applyAlignment="0" applyProtection="0"/>
    <xf numFmtId="0" fontId="84" fillId="16" borderId="86" applyNumberFormat="0" applyAlignment="0" applyProtection="0"/>
    <xf numFmtId="0" fontId="123" fillId="16" borderId="86" applyNumberFormat="0" applyAlignment="0" applyProtection="0"/>
    <xf numFmtId="0" fontId="123" fillId="16" borderId="86" applyNumberFormat="0" applyAlignment="0" applyProtection="0"/>
    <xf numFmtId="0" fontId="123" fillId="16" borderId="86" applyNumberFormat="0" applyAlignment="0" applyProtection="0"/>
    <xf numFmtId="0" fontId="87" fillId="0" borderId="88" applyNumberFormat="0" applyFill="0" applyAlignment="0" applyProtection="0"/>
    <xf numFmtId="0" fontId="83" fillId="15" borderId="0" applyNumberFormat="0" applyBorder="0" applyAlignment="0" applyProtection="0"/>
    <xf numFmtId="201"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37" fillId="0" borderId="0">
      <alignment vertical="top"/>
    </xf>
    <xf numFmtId="195" fontId="108" fillId="0" borderId="0"/>
    <xf numFmtId="0" fontId="127" fillId="0" borderId="0"/>
    <xf numFmtId="0" fontId="1" fillId="0" borderId="0"/>
    <xf numFmtId="0" fontId="37" fillId="0" borderId="0">
      <alignment vertical="top"/>
    </xf>
    <xf numFmtId="0" fontId="1" fillId="0" borderId="0"/>
    <xf numFmtId="0" fontId="1" fillId="0" borderId="0"/>
    <xf numFmtId="0" fontId="1" fillId="0" borderId="0"/>
    <xf numFmtId="0" fontId="1" fillId="0" borderId="0"/>
    <xf numFmtId="0" fontId="128" fillId="0" borderId="0"/>
    <xf numFmtId="0" fontId="1" fillId="0" borderId="0"/>
    <xf numFmtId="0" fontId="111" fillId="0" borderId="0"/>
    <xf numFmtId="0" fontId="1" fillId="0" borderId="0"/>
    <xf numFmtId="0" fontId="1" fillId="0" borderId="0"/>
    <xf numFmtId="0" fontId="1" fillId="0" borderId="0"/>
    <xf numFmtId="194" fontId="1" fillId="0" borderId="0"/>
    <xf numFmtId="0" fontId="1" fillId="0" borderId="0"/>
    <xf numFmtId="195" fontId="2" fillId="0" borderId="0"/>
    <xf numFmtId="0" fontId="2" fillId="0" borderId="0"/>
    <xf numFmtId="0" fontId="129" fillId="0" borderId="0"/>
    <xf numFmtId="0" fontId="2" fillId="0" borderId="0"/>
    <xf numFmtId="0" fontId="2" fillId="0" borderId="0"/>
    <xf numFmtId="0" fontId="2" fillId="0" borderId="0"/>
    <xf numFmtId="0" fontId="2" fillId="0" borderId="0"/>
    <xf numFmtId="0" fontId="2" fillId="0" borderId="0"/>
    <xf numFmtId="0" fontId="1" fillId="0" borderId="0"/>
    <xf numFmtId="195" fontId="2" fillId="0" borderId="0"/>
    <xf numFmtId="194" fontId="1" fillId="0" borderId="0"/>
    <xf numFmtId="195" fontId="3" fillId="0" borderId="0"/>
    <xf numFmtId="195" fontId="3" fillId="0" borderId="0"/>
    <xf numFmtId="0" fontId="128" fillId="0" borderId="0"/>
    <xf numFmtId="0" fontId="130" fillId="0" borderId="0"/>
    <xf numFmtId="0" fontId="130" fillId="0" borderId="0"/>
    <xf numFmtId="194" fontId="1" fillId="0" borderId="0"/>
    <xf numFmtId="195" fontId="108" fillId="0" borderId="0"/>
    <xf numFmtId="0" fontId="1" fillId="0" borderId="0"/>
    <xf numFmtId="0" fontId="1" fillId="0" borderId="0"/>
    <xf numFmtId="0" fontId="1" fillId="0" borderId="0"/>
    <xf numFmtId="0" fontId="1" fillId="0" borderId="0"/>
    <xf numFmtId="0" fontId="131" fillId="0" borderId="0"/>
    <xf numFmtId="0" fontId="1" fillId="19" borderId="90" applyNumberFormat="0" applyFont="0" applyAlignment="0" applyProtection="0"/>
    <xf numFmtId="0" fontId="127" fillId="19" borderId="90" applyNumberFormat="0" applyFont="0" applyAlignment="0" applyProtection="0"/>
    <xf numFmtId="0" fontId="85" fillId="17" borderId="87" applyNumberFormat="0" applyAlignment="0" applyProtection="0"/>
    <xf numFmtId="10" fontId="2" fillId="0" borderId="0" applyFont="0" applyFill="0" applyBorder="0" applyAlignment="0" applyProtection="0"/>
    <xf numFmtId="9" fontId="1" fillId="0" borderId="0" applyFont="0" applyFill="0" applyBorder="0" applyAlignment="0" applyProtection="0"/>
    <xf numFmtId="9" fontId="128" fillId="0" borderId="0" applyFont="0" applyFill="0" applyBorder="0" applyAlignment="0" applyProtection="0"/>
    <xf numFmtId="9" fontId="11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7" fillId="0" borderId="0" applyFont="0" applyFill="0" applyBorder="0" applyAlignment="0" applyProtection="0">
      <alignment vertical="top"/>
    </xf>
    <xf numFmtId="9" fontId="108" fillId="0" borderId="0" applyFont="0" applyFill="0" applyBorder="0" applyAlignment="0" applyProtection="0"/>
    <xf numFmtId="9" fontId="130" fillId="0" borderId="0" applyFont="0" applyFill="0" applyBorder="0" applyAlignment="0" applyProtection="0"/>
    <xf numFmtId="9" fontId="13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10" fillId="0" borderId="0" applyFont="0" applyFill="0" applyBorder="0" applyAlignment="0" applyProtection="0"/>
    <xf numFmtId="9" fontId="1" fillId="0" borderId="0" applyFont="0" applyFill="0" applyBorder="0" applyAlignment="0" applyProtection="0"/>
    <xf numFmtId="0" fontId="2" fillId="0" borderId="0"/>
    <xf numFmtId="3" fontId="114" fillId="0" borderId="0">
      <alignment horizontal="left" vertical="center"/>
    </xf>
    <xf numFmtId="0" fontId="1" fillId="55" borderId="0"/>
    <xf numFmtId="0" fontId="1" fillId="56" borderId="0"/>
    <xf numFmtId="0" fontId="1" fillId="57" borderId="0"/>
    <xf numFmtId="0" fontId="1" fillId="58" borderId="0"/>
    <xf numFmtId="0" fontId="1" fillId="59" borderId="0"/>
    <xf numFmtId="0" fontId="1" fillId="60" borderId="0"/>
    <xf numFmtId="0" fontId="1" fillId="61" borderId="0"/>
    <xf numFmtId="0" fontId="1" fillId="62" borderId="0"/>
    <xf numFmtId="0" fontId="1" fillId="63" borderId="0"/>
    <xf numFmtId="0" fontId="1" fillId="64" borderId="0"/>
    <xf numFmtId="0" fontId="1" fillId="65" borderId="0"/>
    <xf numFmtId="0" fontId="107" fillId="0" borderId="0">
      <alignment horizontal="left" vertical="center"/>
    </xf>
    <xf numFmtId="0" fontId="132" fillId="0" borderId="0">
      <alignment horizontal="right"/>
    </xf>
    <xf numFmtId="49" fontId="132" fillId="0" borderId="0">
      <alignment horizontal="center"/>
    </xf>
    <xf numFmtId="195" fontId="115" fillId="0" borderId="0">
      <alignment horizontal="right"/>
    </xf>
    <xf numFmtId="195" fontId="115" fillId="0" borderId="0">
      <alignment horizontal="right"/>
    </xf>
    <xf numFmtId="195" fontId="132" fillId="0" borderId="0">
      <alignment horizontal="left"/>
    </xf>
    <xf numFmtId="195" fontId="132" fillId="0" borderId="0">
      <alignment horizontal="left"/>
    </xf>
    <xf numFmtId="0" fontId="132" fillId="0" borderId="0">
      <alignment horizontal="left"/>
    </xf>
    <xf numFmtId="49" fontId="114" fillId="0" borderId="0">
      <alignment horizontal="left" vertical="center"/>
    </xf>
    <xf numFmtId="0" fontId="133" fillId="0" borderId="0"/>
    <xf numFmtId="49" fontId="115" fillId="0" borderId="96">
      <alignment horizontal="left" vertical="center"/>
    </xf>
    <xf numFmtId="49" fontId="107" fillId="0" borderId="96" applyFill="0">
      <alignment horizontal="left" vertical="center"/>
    </xf>
    <xf numFmtId="49" fontId="115" fillId="0" borderId="96">
      <alignment horizontal="left"/>
    </xf>
    <xf numFmtId="198" fontId="114" fillId="0" borderId="0" applyNumberFormat="0">
      <alignment horizontal="right"/>
    </xf>
    <xf numFmtId="0" fontId="119" fillId="66" borderId="0">
      <alignment horizontal="centerContinuous" vertical="center" wrapText="1"/>
    </xf>
    <xf numFmtId="0" fontId="119" fillId="0" borderId="97">
      <alignment horizontal="left" vertical="center"/>
    </xf>
    <xf numFmtId="0" fontId="134" fillId="0" borderId="0">
      <alignment horizontal="left" vertical="top"/>
    </xf>
    <xf numFmtId="40" fontId="135" fillId="0" borderId="0"/>
    <xf numFmtId="0" fontId="118" fillId="0" borderId="0">
      <alignment horizontal="left"/>
    </xf>
    <xf numFmtId="0" fontId="112" fillId="0" borderId="0">
      <alignment horizontal="left"/>
    </xf>
    <xf numFmtId="0" fontId="113" fillId="0" borderId="0">
      <alignment horizontal="left"/>
    </xf>
    <xf numFmtId="195" fontId="134" fillId="0" borderId="0">
      <alignment horizontal="left" vertical="top"/>
    </xf>
    <xf numFmtId="195" fontId="134" fillId="0" borderId="0">
      <alignment horizontal="left" vertical="top"/>
    </xf>
    <xf numFmtId="0" fontId="134" fillId="0" borderId="0">
      <alignment horizontal="left" vertical="top"/>
    </xf>
    <xf numFmtId="195" fontId="112" fillId="0" borderId="0">
      <alignment horizontal="left"/>
    </xf>
    <xf numFmtId="195" fontId="112" fillId="0" borderId="0">
      <alignment horizontal="left"/>
    </xf>
    <xf numFmtId="0" fontId="113" fillId="0" borderId="0">
      <alignment horizontal="left"/>
    </xf>
    <xf numFmtId="0" fontId="91" fillId="0" borderId="91" applyNumberFormat="0" applyFill="0" applyAlignment="0" applyProtection="0"/>
    <xf numFmtId="195" fontId="136" fillId="0" borderId="91"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49" fontId="114" fillId="0" borderId="96">
      <alignment horizontal="left"/>
    </xf>
    <xf numFmtId="0" fontId="119" fillId="0" borderId="20">
      <alignment horizontal="left"/>
    </xf>
    <xf numFmtId="0" fontId="118" fillId="0" borderId="0">
      <alignment horizontal="left" vertical="center"/>
    </xf>
    <xf numFmtId="49" fontId="132" fillId="0" borderId="96">
      <alignment horizontal="left"/>
    </xf>
    <xf numFmtId="0" fontId="2" fillId="0" borderId="0"/>
    <xf numFmtId="9" fontId="1" fillId="0" borderId="0" applyFont="0" applyFill="0" applyBorder="0" applyAlignment="0" applyProtection="0"/>
    <xf numFmtId="194" fontId="1" fillId="0" borderId="0"/>
    <xf numFmtId="0" fontId="122" fillId="0" borderId="0" applyNumberFormat="0" applyFill="0" applyBorder="0" applyAlignment="0" applyProtection="0"/>
    <xf numFmtId="43" fontId="1" fillId="0" borderId="0" applyFont="0" applyFill="0" applyBorder="0" applyAlignment="0" applyProtection="0"/>
  </cellStyleXfs>
  <cellXfs count="1802">
    <xf numFmtId="0" fontId="0" fillId="0" borderId="0" xfId="0"/>
    <xf numFmtId="0" fontId="2" fillId="0" borderId="0" xfId="2"/>
    <xf numFmtId="0" fontId="2" fillId="0" borderId="0" xfId="2" applyAlignment="1">
      <alignment vertical="center"/>
    </xf>
    <xf numFmtId="164" fontId="2" fillId="0" borderId="0" xfId="2" applyNumberFormat="1"/>
    <xf numFmtId="164" fontId="2" fillId="0" borderId="0" xfId="2" applyNumberFormat="1" applyAlignment="1">
      <alignment horizontal="center" vertical="center"/>
    </xf>
    <xf numFmtId="164" fontId="2" fillId="0" borderId="0" xfId="2" applyNumberFormat="1" applyAlignment="1">
      <alignment horizontal="center"/>
    </xf>
    <xf numFmtId="0" fontId="13" fillId="0" borderId="0" xfId="2" applyFont="1" applyAlignment="1">
      <alignment vertical="center"/>
    </xf>
    <xf numFmtId="165" fontId="14" fillId="0" borderId="0" xfId="2" applyNumberFormat="1" applyFont="1" applyAlignment="1">
      <alignment vertical="center"/>
    </xf>
    <xf numFmtId="0" fontId="15" fillId="0" borderId="0" xfId="2" applyFont="1" applyAlignment="1">
      <alignment horizontal="left" vertical="center"/>
    </xf>
    <xf numFmtId="164" fontId="16" fillId="0" borderId="0" xfId="2" applyNumberFormat="1" applyFont="1" applyAlignment="1">
      <alignment vertical="center"/>
    </xf>
    <xf numFmtId="0" fontId="17" fillId="3" borderId="7" xfId="2" applyFont="1" applyFill="1" applyBorder="1" applyAlignment="1">
      <alignment vertical="center"/>
    </xf>
    <xf numFmtId="0" fontId="16" fillId="0" borderId="0" xfId="2" quotePrefix="1" applyFont="1" applyAlignment="1">
      <alignment horizontal="left" vertical="center"/>
    </xf>
    <xf numFmtId="0" fontId="18" fillId="0" borderId="0" xfId="2" applyFont="1" applyAlignment="1">
      <alignment vertical="center"/>
    </xf>
    <xf numFmtId="164" fontId="2" fillId="0" borderId="0" xfId="2" applyNumberFormat="1" applyAlignment="1">
      <alignment vertical="center"/>
    </xf>
    <xf numFmtId="165" fontId="19" fillId="0" borderId="0" xfId="2" applyNumberFormat="1" applyFont="1" applyAlignment="1">
      <alignment horizontal="left" vertical="center"/>
    </xf>
    <xf numFmtId="0" fontId="15" fillId="0" borderId="0" xfId="2" applyFont="1" applyAlignment="1">
      <alignment vertical="center"/>
    </xf>
    <xf numFmtId="0" fontId="16" fillId="0" borderId="0" xfId="2" applyFont="1" applyAlignment="1">
      <alignment vertical="center"/>
    </xf>
    <xf numFmtId="0" fontId="20" fillId="0" borderId="0" xfId="2" applyFont="1" applyAlignment="1">
      <alignment horizontal="left" vertical="center"/>
    </xf>
    <xf numFmtId="0" fontId="21" fillId="0" borderId="7" xfId="2" applyFont="1" applyBorder="1" applyAlignment="1">
      <alignment horizontal="right" vertical="center"/>
    </xf>
    <xf numFmtId="0" fontId="22" fillId="0" borderId="0" xfId="2" applyFont="1" applyAlignment="1">
      <alignment vertical="center"/>
    </xf>
    <xf numFmtId="0" fontId="17" fillId="0" borderId="0" xfId="2" applyFont="1" applyAlignment="1">
      <alignment horizontal="left" vertical="center"/>
    </xf>
    <xf numFmtId="0" fontId="8" fillId="0" borderId="0" xfId="2" applyFont="1"/>
    <xf numFmtId="0" fontId="23" fillId="0" borderId="0" xfId="2" applyFont="1" applyAlignment="1">
      <alignment vertical="center"/>
    </xf>
    <xf numFmtId="0" fontId="24" fillId="0" borderId="0" xfId="2" applyFont="1" applyAlignment="1">
      <alignment horizontal="right" vertical="center"/>
    </xf>
    <xf numFmtId="0" fontId="8" fillId="0" borderId="0" xfId="2" applyFont="1" applyAlignment="1">
      <alignment vertical="center"/>
    </xf>
    <xf numFmtId="0" fontId="2" fillId="0" borderId="11" xfId="2" applyBorder="1"/>
    <xf numFmtId="0" fontId="2" fillId="0" borderId="12" xfId="2" applyBorder="1" applyAlignment="1">
      <alignment vertical="center"/>
    </xf>
    <xf numFmtId="0" fontId="2" fillId="0" borderId="12" xfId="2" applyBorder="1"/>
    <xf numFmtId="0" fontId="2" fillId="0" borderId="13" xfId="2" applyBorder="1"/>
    <xf numFmtId="164" fontId="2" fillId="0" borderId="12" xfId="2" applyNumberFormat="1" applyBorder="1" applyAlignment="1">
      <alignment horizontal="center"/>
    </xf>
    <xf numFmtId="165" fontId="2" fillId="0" borderId="12" xfId="2" applyNumberFormat="1" applyBorder="1"/>
    <xf numFmtId="165" fontId="2" fillId="2" borderId="14" xfId="2" applyNumberFormat="1" applyFill="1" applyBorder="1" applyAlignment="1">
      <alignment horizontal="centerContinuous" vertical="center"/>
    </xf>
    <xf numFmtId="0" fontId="2" fillId="2" borderId="15" xfId="2" applyFill="1" applyBorder="1" applyAlignment="1">
      <alignment horizontal="centerContinuous" vertical="center"/>
    </xf>
    <xf numFmtId="165" fontId="25" fillId="2" borderId="15" xfId="2" applyNumberFormat="1" applyFont="1" applyFill="1" applyBorder="1" applyAlignment="1">
      <alignment horizontal="centerContinuous" vertical="center"/>
    </xf>
    <xf numFmtId="165" fontId="2" fillId="2" borderId="16" xfId="2" applyNumberFormat="1" applyFill="1" applyBorder="1" applyAlignment="1">
      <alignment horizontal="centerContinuous" vertical="center"/>
    </xf>
    <xf numFmtId="0" fontId="2" fillId="0" borderId="17" xfId="2" applyBorder="1"/>
    <xf numFmtId="0" fontId="2" fillId="0" borderId="0" xfId="2" applyAlignment="1">
      <alignment horizontal="center" vertical="center"/>
    </xf>
    <xf numFmtId="0" fontId="26" fillId="0" borderId="0" xfId="2" applyFont="1" applyAlignment="1">
      <alignment horizontal="centerContinuous" vertical="center"/>
    </xf>
    <xf numFmtId="0" fontId="2" fillId="0" borderId="0" xfId="2" applyAlignment="1">
      <alignment horizontal="centerContinuous" vertical="center"/>
    </xf>
    <xf numFmtId="0" fontId="2" fillId="0" borderId="18" xfId="2" applyBorder="1"/>
    <xf numFmtId="0" fontId="2" fillId="2" borderId="19" xfId="2" applyFill="1" applyBorder="1" applyAlignment="1">
      <alignment vertical="center"/>
    </xf>
    <xf numFmtId="165" fontId="2" fillId="2" borderId="20" xfId="2" applyNumberFormat="1" applyFill="1" applyBorder="1" applyAlignment="1">
      <alignment horizontal="left" vertical="center"/>
    </xf>
    <xf numFmtId="165" fontId="2" fillId="2" borderId="21" xfId="2" applyNumberFormat="1" applyFill="1" applyBorder="1" applyAlignment="1">
      <alignment horizontal="right" vertical="center"/>
    </xf>
    <xf numFmtId="0" fontId="2" fillId="2" borderId="22" xfId="2" applyFill="1" applyBorder="1"/>
    <xf numFmtId="0" fontId="28" fillId="2" borderId="22" xfId="2" applyFont="1" applyFill="1" applyBorder="1" applyAlignment="1">
      <alignment horizontal="center"/>
    </xf>
    <xf numFmtId="0" fontId="29" fillId="2" borderId="2" xfId="2" applyFont="1" applyFill="1" applyBorder="1" applyAlignment="1">
      <alignment horizontal="right"/>
    </xf>
    <xf numFmtId="0" fontId="31" fillId="0" borderId="0" xfId="2" applyFont="1" applyAlignment="1">
      <alignment horizontal="center" vertical="center"/>
    </xf>
    <xf numFmtId="164" fontId="18" fillId="0" borderId="0" xfId="2" applyNumberFormat="1" applyFont="1" applyAlignment="1">
      <alignment horizontal="center" vertical="center"/>
    </xf>
    <xf numFmtId="49" fontId="18" fillId="0" borderId="0" xfId="2" applyNumberFormat="1" applyFont="1" applyAlignment="1">
      <alignment horizontal="center" vertical="center"/>
    </xf>
    <xf numFmtId="0" fontId="2" fillId="2" borderId="3" xfId="2" applyFill="1" applyBorder="1"/>
    <xf numFmtId="0" fontId="20" fillId="2" borderId="0" xfId="2" applyFont="1" applyFill="1"/>
    <xf numFmtId="0" fontId="2" fillId="2" borderId="0" xfId="2" applyFill="1"/>
    <xf numFmtId="0" fontId="2" fillId="2" borderId="23" xfId="2" applyFill="1" applyBorder="1" applyAlignment="1">
      <alignment horizontal="center" vertical="center"/>
    </xf>
    <xf numFmtId="165" fontId="17" fillId="2" borderId="1" xfId="2" applyNumberFormat="1" applyFont="1" applyFill="1" applyBorder="1" applyAlignment="1">
      <alignment horizontal="centerContinuous" vertical="center"/>
    </xf>
    <xf numFmtId="165" fontId="32" fillId="2" borderId="22" xfId="2" applyNumberFormat="1" applyFont="1" applyFill="1" applyBorder="1" applyAlignment="1">
      <alignment horizontal="centerContinuous" vertical="center"/>
    </xf>
    <xf numFmtId="165" fontId="32" fillId="2" borderId="22" xfId="2" applyNumberFormat="1" applyFont="1" applyFill="1" applyBorder="1" applyAlignment="1">
      <alignment horizontal="centerContinuous"/>
    </xf>
    <xf numFmtId="165" fontId="32" fillId="2" borderId="24" xfId="2" applyNumberFormat="1" applyFont="1" applyFill="1" applyBorder="1" applyAlignment="1">
      <alignment horizontal="centerContinuous" vertical="center"/>
    </xf>
    <xf numFmtId="0" fontId="2" fillId="2" borderId="25" xfId="2" applyFill="1" applyBorder="1" applyAlignment="1">
      <alignment vertical="center"/>
    </xf>
    <xf numFmtId="0" fontId="17" fillId="2" borderId="26" xfId="2" applyFont="1" applyFill="1" applyBorder="1" applyAlignment="1">
      <alignment horizontal="center" vertical="center"/>
    </xf>
    <xf numFmtId="0" fontId="2" fillId="2" borderId="22" xfId="2" applyFill="1" applyBorder="1" applyAlignment="1">
      <alignment vertical="center"/>
    </xf>
    <xf numFmtId="0" fontId="2" fillId="2" borderId="2" xfId="2" applyFill="1" applyBorder="1" applyAlignment="1">
      <alignment vertical="center"/>
    </xf>
    <xf numFmtId="0" fontId="2" fillId="2" borderId="3" xfId="2" applyFill="1" applyBorder="1" applyAlignment="1">
      <alignment horizontal="centerContinuous"/>
    </xf>
    <xf numFmtId="0" fontId="2" fillId="2" borderId="4" xfId="2" applyFill="1" applyBorder="1"/>
    <xf numFmtId="0" fontId="20" fillId="0" borderId="0" xfId="2" applyFont="1"/>
    <xf numFmtId="0" fontId="33" fillId="3" borderId="7" xfId="2" applyFont="1" applyFill="1" applyBorder="1" applyAlignment="1">
      <alignment horizontal="center"/>
    </xf>
    <xf numFmtId="0" fontId="2" fillId="2" borderId="27" xfId="2" applyFill="1" applyBorder="1" applyAlignment="1">
      <alignment horizontal="center" vertical="center"/>
    </xf>
    <xf numFmtId="0" fontId="34" fillId="2" borderId="28" xfId="2" applyFont="1" applyFill="1" applyBorder="1" applyAlignment="1">
      <alignment horizontal="centerContinuous" vertical="center"/>
    </xf>
    <xf numFmtId="0" fontId="34" fillId="2" borderId="9" xfId="2" applyFont="1" applyFill="1" applyBorder="1" applyAlignment="1">
      <alignment horizontal="centerContinuous" vertical="center"/>
    </xf>
    <xf numFmtId="0" fontId="34" fillId="2" borderId="29" xfId="2" applyFont="1" applyFill="1" applyBorder="1" applyAlignment="1">
      <alignment horizontal="centerContinuous" vertical="center"/>
    </xf>
    <xf numFmtId="165" fontId="34" fillId="2" borderId="28" xfId="2" applyNumberFormat="1" applyFont="1" applyFill="1" applyBorder="1" applyAlignment="1">
      <alignment horizontal="centerContinuous" vertical="center"/>
    </xf>
    <xf numFmtId="0" fontId="17" fillId="2" borderId="30" xfId="2" applyFont="1" applyFill="1" applyBorder="1" applyAlignment="1">
      <alignment horizontal="center" vertical="center"/>
    </xf>
    <xf numFmtId="0" fontId="17" fillId="2" borderId="4" xfId="2" applyFont="1" applyFill="1" applyBorder="1" applyAlignment="1">
      <alignment horizontal="center" vertical="center"/>
    </xf>
    <xf numFmtId="0" fontId="17" fillId="2" borderId="20" xfId="2" applyFont="1" applyFill="1" applyBorder="1" applyAlignment="1">
      <alignment horizontal="centerContinuous" vertical="center"/>
    </xf>
    <xf numFmtId="0" fontId="8" fillId="2" borderId="31" xfId="2" applyFont="1" applyFill="1" applyBorder="1" applyAlignment="1">
      <alignment horizontal="centerContinuous" vertical="center"/>
    </xf>
    <xf numFmtId="0" fontId="27" fillId="2" borderId="3" xfId="2" applyFont="1" applyFill="1" applyBorder="1"/>
    <xf numFmtId="0" fontId="33" fillId="3" borderId="32" xfId="2" applyFont="1" applyFill="1" applyBorder="1" applyAlignment="1">
      <alignment horizontal="center"/>
    </xf>
    <xf numFmtId="0" fontId="20" fillId="0" borderId="0" xfId="2" applyFont="1" applyAlignment="1">
      <alignment horizontal="left" indent="1"/>
    </xf>
    <xf numFmtId="0" fontId="15" fillId="2" borderId="27" xfId="2" applyFont="1" applyFill="1" applyBorder="1" applyAlignment="1">
      <alignment horizontal="center" vertical="center"/>
    </xf>
    <xf numFmtId="165" fontId="15" fillId="2" borderId="33" xfId="2" applyNumberFormat="1" applyFont="1" applyFill="1" applyBorder="1" applyAlignment="1">
      <alignment horizontal="center" vertical="center"/>
    </xf>
    <xf numFmtId="165" fontId="15" fillId="2" borderId="30" xfId="2" applyNumberFormat="1" applyFont="1" applyFill="1" applyBorder="1" applyAlignment="1">
      <alignment horizontal="center" vertical="center"/>
    </xf>
    <xf numFmtId="165" fontId="15" fillId="2" borderId="34" xfId="2" applyNumberFormat="1" applyFont="1" applyFill="1" applyBorder="1" applyAlignment="1">
      <alignment horizontal="center" vertical="center"/>
    </xf>
    <xf numFmtId="165" fontId="15" fillId="2" borderId="4" xfId="2" applyNumberFormat="1" applyFont="1" applyFill="1" applyBorder="1" applyAlignment="1">
      <alignment horizontal="center" vertical="center"/>
    </xf>
    <xf numFmtId="0" fontId="17" fillId="2" borderId="0" xfId="2" applyFont="1" applyFill="1" applyAlignment="1">
      <alignment horizontal="center" vertical="center"/>
    </xf>
    <xf numFmtId="0" fontId="35" fillId="2" borderId="35" xfId="2" applyFont="1" applyFill="1" applyBorder="1" applyAlignment="1">
      <alignment horizontal="center" vertical="center"/>
    </xf>
    <xf numFmtId="0" fontId="35" fillId="2" borderId="4" xfId="2" applyFont="1" applyFill="1" applyBorder="1" applyAlignment="1">
      <alignment horizontal="center" vertical="center"/>
    </xf>
    <xf numFmtId="0" fontId="22" fillId="2" borderId="0" xfId="2" applyFont="1" applyFill="1" applyAlignment="1">
      <alignment horizontal="left" vertical="center"/>
    </xf>
    <xf numFmtId="0" fontId="36" fillId="2" borderId="36" xfId="2" applyFont="1" applyFill="1" applyBorder="1" applyAlignment="1">
      <alignment horizontal="center" vertical="center"/>
    </xf>
    <xf numFmtId="165" fontId="15" fillId="2" borderId="37" xfId="2" applyNumberFormat="1" applyFont="1" applyFill="1" applyBorder="1" applyAlignment="1">
      <alignment horizontal="center" vertical="center"/>
    </xf>
    <xf numFmtId="165" fontId="15" fillId="2" borderId="38" xfId="2" applyNumberFormat="1" applyFont="1" applyFill="1" applyBorder="1" applyAlignment="1">
      <alignment horizontal="center" vertical="center"/>
    </xf>
    <xf numFmtId="165" fontId="15" fillId="2" borderId="39" xfId="2" applyNumberFormat="1" applyFont="1" applyFill="1" applyBorder="1" applyAlignment="1">
      <alignment horizontal="center" vertical="center"/>
    </xf>
    <xf numFmtId="165" fontId="34" fillId="2" borderId="38" xfId="2" applyNumberFormat="1" applyFont="1" applyFill="1" applyBorder="1" applyAlignment="1">
      <alignment horizontal="center" vertical="center"/>
    </xf>
    <xf numFmtId="165" fontId="34" fillId="2" borderId="6" xfId="2" applyNumberFormat="1" applyFont="1" applyFill="1" applyBorder="1" applyAlignment="1">
      <alignment horizontal="center" vertical="center"/>
    </xf>
    <xf numFmtId="0" fontId="17" fillId="2" borderId="38" xfId="2" applyFont="1" applyFill="1" applyBorder="1" applyAlignment="1">
      <alignment horizontal="center" vertical="center"/>
    </xf>
    <xf numFmtId="0" fontId="17" fillId="2" borderId="40" xfId="2" applyFont="1" applyFill="1" applyBorder="1" applyAlignment="1">
      <alignment horizontal="center" vertical="center"/>
    </xf>
    <xf numFmtId="0" fontId="35" fillId="2" borderId="36" xfId="2" applyFont="1" applyFill="1" applyBorder="1" applyAlignment="1">
      <alignment horizontal="center" vertical="center"/>
    </xf>
    <xf numFmtId="0" fontId="35" fillId="2" borderId="6" xfId="2" applyFont="1" applyFill="1" applyBorder="1" applyAlignment="1">
      <alignment horizontal="center" vertical="center"/>
    </xf>
    <xf numFmtId="169" fontId="33" fillId="0" borderId="0" xfId="2" applyNumberFormat="1" applyFont="1" applyAlignment="1">
      <alignment horizontal="center" vertical="center"/>
    </xf>
    <xf numFmtId="164" fontId="15" fillId="4" borderId="41" xfId="2" applyNumberFormat="1" applyFont="1" applyFill="1" applyBorder="1"/>
    <xf numFmtId="164" fontId="2" fillId="4" borderId="42" xfId="2" applyNumberFormat="1" applyFill="1" applyBorder="1" applyAlignment="1">
      <alignment horizontal="center"/>
    </xf>
    <xf numFmtId="165" fontId="2" fillId="4" borderId="42" xfId="2" applyNumberFormat="1" applyFill="1" applyBorder="1"/>
    <xf numFmtId="165" fontId="2" fillId="4" borderId="43" xfId="2" applyNumberFormat="1" applyFill="1" applyBorder="1"/>
    <xf numFmtId="0" fontId="22" fillId="0" borderId="0" xfId="2" applyFont="1"/>
    <xf numFmtId="0" fontId="2" fillId="0" borderId="44" xfId="2" applyBorder="1" applyAlignment="1">
      <alignment horizontal="center" vertical="center"/>
    </xf>
    <xf numFmtId="5" fontId="2" fillId="3" borderId="45" xfId="2" applyNumberFormat="1" applyFill="1" applyBorder="1" applyAlignment="1">
      <alignment vertical="center"/>
    </xf>
    <xf numFmtId="5" fontId="37" fillId="3" borderId="46" xfId="2" applyNumberFormat="1" applyFont="1" applyFill="1" applyBorder="1" applyAlignment="1">
      <alignment vertical="center"/>
    </xf>
    <xf numFmtId="5" fontId="37" fillId="3" borderId="24" xfId="2" applyNumberFormat="1" applyFont="1" applyFill="1" applyBorder="1" applyAlignment="1">
      <alignment vertical="center"/>
    </xf>
    <xf numFmtId="5" fontId="13" fillId="0" borderId="0" xfId="2" applyNumberFormat="1" applyFont="1" applyAlignment="1">
      <alignment horizontal="centerContinuous" vertical="center"/>
    </xf>
    <xf numFmtId="5" fontId="2" fillId="0" borderId="0" xfId="2" applyNumberFormat="1" applyAlignment="1">
      <alignment horizontal="centerContinuous" vertical="center"/>
    </xf>
    <xf numFmtId="165" fontId="2" fillId="3" borderId="45" xfId="2" applyNumberFormat="1" applyFill="1" applyBorder="1" applyAlignment="1">
      <alignment vertical="center"/>
    </xf>
    <xf numFmtId="165" fontId="2" fillId="3" borderId="0" xfId="2" applyNumberFormat="1" applyFill="1" applyAlignment="1">
      <alignment vertical="center"/>
    </xf>
    <xf numFmtId="5" fontId="2" fillId="2" borderId="47" xfId="2" applyNumberFormat="1" applyFill="1" applyBorder="1" applyAlignment="1">
      <alignment vertical="center"/>
    </xf>
    <xf numFmtId="164" fontId="30" fillId="0" borderId="0" xfId="2" applyNumberFormat="1" applyFont="1" applyAlignment="1">
      <alignment horizontal="left" vertical="center"/>
    </xf>
    <xf numFmtId="0" fontId="2" fillId="0" borderId="48" xfId="2" applyBorder="1" applyAlignment="1">
      <alignment horizontal="center" vertical="center"/>
    </xf>
    <xf numFmtId="37" fontId="2" fillId="3" borderId="49" xfId="2" applyNumberFormat="1" applyFill="1" applyBorder="1" applyAlignment="1">
      <alignment vertical="center"/>
    </xf>
    <xf numFmtId="37" fontId="37" fillId="3" borderId="10" xfId="2" applyNumberFormat="1" applyFont="1" applyFill="1" applyBorder="1" applyAlignment="1">
      <alignment vertical="center"/>
    </xf>
    <xf numFmtId="5" fontId="37" fillId="3" borderId="31" xfId="2" applyNumberFormat="1" applyFont="1" applyFill="1" applyBorder="1" applyAlignment="1">
      <alignment vertical="center"/>
    </xf>
    <xf numFmtId="165" fontId="2" fillId="3" borderId="49" xfId="2" applyNumberFormat="1" applyFill="1" applyBorder="1" applyAlignment="1">
      <alignment vertical="center"/>
    </xf>
    <xf numFmtId="165" fontId="2" fillId="3" borderId="15" xfId="2" applyNumberFormat="1" applyFill="1" applyBorder="1" applyAlignment="1">
      <alignment vertical="center"/>
    </xf>
    <xf numFmtId="37" fontId="2" fillId="2" borderId="44" xfId="2" applyNumberFormat="1" applyFill="1" applyBorder="1" applyAlignment="1">
      <alignment vertical="center"/>
    </xf>
    <xf numFmtId="37" fontId="2" fillId="2" borderId="50" xfId="2" applyNumberFormat="1" applyFill="1" applyBorder="1" applyAlignment="1">
      <alignment vertical="center"/>
    </xf>
    <xf numFmtId="0" fontId="27" fillId="2" borderId="5" xfId="2" applyFont="1" applyFill="1" applyBorder="1"/>
    <xf numFmtId="0" fontId="20" fillId="2" borderId="40" xfId="2" applyFont="1" applyFill="1" applyBorder="1"/>
    <xf numFmtId="0" fontId="22" fillId="2" borderId="40" xfId="2" applyFont="1" applyFill="1" applyBorder="1" applyAlignment="1">
      <alignment horizontal="left" vertical="center"/>
    </xf>
    <xf numFmtId="1" fontId="33" fillId="2" borderId="40" xfId="2" applyNumberFormat="1" applyFont="1" applyFill="1" applyBorder="1" applyAlignment="1">
      <alignment horizontal="center"/>
    </xf>
    <xf numFmtId="0" fontId="2" fillId="2" borderId="40" xfId="2" applyFill="1" applyBorder="1"/>
    <xf numFmtId="164" fontId="38" fillId="0" borderId="0" xfId="2" applyNumberFormat="1" applyFont="1" applyAlignment="1">
      <alignment horizontal="left" vertical="center"/>
    </xf>
    <xf numFmtId="0" fontId="2" fillId="0" borderId="51" xfId="2" applyBorder="1"/>
    <xf numFmtId="0" fontId="2" fillId="0" borderId="52" xfId="2" applyBorder="1"/>
    <xf numFmtId="0" fontId="2" fillId="0" borderId="53" xfId="2" applyBorder="1"/>
    <xf numFmtId="167" fontId="33" fillId="0" borderId="0" xfId="2" applyNumberFormat="1" applyFont="1" applyAlignment="1">
      <alignment horizontal="center" vertical="center"/>
    </xf>
    <xf numFmtId="9" fontId="33" fillId="0" borderId="0" xfId="3" applyFont="1" applyFill="1" applyBorder="1" applyAlignment="1" applyProtection="1">
      <alignment horizontal="center" vertical="center"/>
    </xf>
    <xf numFmtId="9" fontId="33" fillId="0" borderId="0" xfId="3" applyFont="1" applyFill="1" applyBorder="1" applyAlignment="1">
      <alignment horizontal="center" vertical="center"/>
    </xf>
    <xf numFmtId="37" fontId="37" fillId="3" borderId="29" xfId="2" applyNumberFormat="1" applyFont="1" applyFill="1" applyBorder="1" applyAlignment="1">
      <alignment vertical="center"/>
    </xf>
    <xf numFmtId="37" fontId="37" fillId="3" borderId="32" xfId="2" applyNumberFormat="1" applyFont="1" applyFill="1" applyBorder="1" applyAlignment="1">
      <alignment vertical="center"/>
    </xf>
    <xf numFmtId="37" fontId="2" fillId="3" borderId="54" xfId="2" applyNumberFormat="1" applyFill="1" applyBorder="1" applyAlignment="1">
      <alignment vertical="center"/>
    </xf>
    <xf numFmtId="37" fontId="37" fillId="3" borderId="55" xfId="2" applyNumberFormat="1" applyFont="1" applyFill="1" applyBorder="1" applyAlignment="1">
      <alignment vertical="center"/>
    </xf>
    <xf numFmtId="37" fontId="37" fillId="3" borderId="56" xfId="2" applyNumberFormat="1" applyFont="1" applyFill="1" applyBorder="1" applyAlignment="1">
      <alignment vertical="center"/>
    </xf>
    <xf numFmtId="165" fontId="2" fillId="3" borderId="54" xfId="2" applyNumberFormat="1" applyFill="1" applyBorder="1" applyAlignment="1">
      <alignment vertical="center"/>
    </xf>
    <xf numFmtId="0" fontId="27" fillId="0" borderId="0" xfId="2" applyFont="1"/>
    <xf numFmtId="164" fontId="15" fillId="4" borderId="57" xfId="2" applyNumberFormat="1" applyFont="1" applyFill="1" applyBorder="1"/>
    <xf numFmtId="0" fontId="32" fillId="0" borderId="0" xfId="2" applyFont="1" applyAlignment="1">
      <alignment vertical="center"/>
    </xf>
    <xf numFmtId="169" fontId="2" fillId="0" borderId="44" xfId="2" applyNumberFormat="1" applyBorder="1" applyAlignment="1">
      <alignment horizontal="center" vertical="center"/>
    </xf>
    <xf numFmtId="165" fontId="2" fillId="0" borderId="1" xfId="2" applyNumberFormat="1" applyBorder="1" applyAlignment="1">
      <alignment vertical="center"/>
    </xf>
    <xf numFmtId="165" fontId="2" fillId="0" borderId="22" xfId="2" applyNumberFormat="1" applyBorder="1" applyAlignment="1">
      <alignment vertical="center"/>
    </xf>
    <xf numFmtId="165" fontId="2" fillId="0" borderId="2" xfId="2" applyNumberFormat="1" applyBorder="1" applyAlignment="1">
      <alignment vertical="center"/>
    </xf>
    <xf numFmtId="5" fontId="2" fillId="3" borderId="21" xfId="2" applyNumberFormat="1" applyFill="1" applyBorder="1" applyAlignment="1">
      <alignment vertical="center"/>
    </xf>
    <xf numFmtId="5" fontId="2" fillId="5" borderId="0" xfId="2" applyNumberFormat="1" applyFill="1" applyAlignment="1">
      <alignment vertical="center"/>
    </xf>
    <xf numFmtId="5" fontId="2" fillId="2" borderId="44" xfId="2" applyNumberFormat="1" applyFill="1" applyBorder="1" applyAlignment="1">
      <alignment vertical="center"/>
    </xf>
    <xf numFmtId="0" fontId="33" fillId="0" borderId="0" xfId="2" applyFont="1" applyAlignment="1">
      <alignment horizontal="center" vertical="center"/>
    </xf>
    <xf numFmtId="0" fontId="2" fillId="0" borderId="0" xfId="2" applyAlignment="1">
      <alignment horizontal="right" vertical="center"/>
    </xf>
    <xf numFmtId="0" fontId="39" fillId="0" borderId="0" xfId="2" applyFont="1" applyAlignment="1">
      <alignment horizontal="centerContinuous" vertical="center"/>
    </xf>
    <xf numFmtId="0" fontId="32" fillId="0" borderId="0" xfId="2" applyFont="1" applyAlignment="1">
      <alignment horizontal="centerContinuous" vertical="center"/>
    </xf>
    <xf numFmtId="169" fontId="2" fillId="0" borderId="48" xfId="2" applyNumberFormat="1" applyBorder="1" applyAlignment="1">
      <alignment horizontal="center" vertical="center"/>
    </xf>
    <xf numFmtId="165" fontId="2" fillId="0" borderId="3" xfId="2" applyNumberFormat="1" applyBorder="1" applyAlignment="1">
      <alignment vertical="center"/>
    </xf>
    <xf numFmtId="165" fontId="2" fillId="0" borderId="0" xfId="2" applyNumberFormat="1" applyAlignment="1">
      <alignment vertical="center"/>
    </xf>
    <xf numFmtId="165" fontId="2" fillId="0" borderId="4" xfId="2" applyNumberFormat="1" applyBorder="1" applyAlignment="1">
      <alignment vertical="center"/>
    </xf>
    <xf numFmtId="170" fontId="2" fillId="5" borderId="15" xfId="2" applyNumberFormat="1" applyFill="1" applyBorder="1" applyAlignment="1">
      <alignment vertical="center"/>
    </xf>
    <xf numFmtId="164" fontId="32" fillId="0" borderId="0" xfId="2" applyNumberFormat="1" applyFont="1" applyAlignment="1">
      <alignment vertical="center"/>
    </xf>
    <xf numFmtId="0" fontId="33" fillId="0" borderId="0" xfId="2" applyFont="1" applyAlignment="1">
      <alignment horizontal="center"/>
    </xf>
    <xf numFmtId="0" fontId="2" fillId="0" borderId="0" xfId="2" applyAlignment="1">
      <alignment horizontal="center"/>
    </xf>
    <xf numFmtId="164" fontId="30" fillId="0" borderId="0" xfId="2" applyNumberFormat="1" applyFont="1" applyAlignment="1">
      <alignment vertical="center"/>
    </xf>
    <xf numFmtId="0" fontId="27" fillId="0" borderId="0" xfId="2" applyFont="1" applyAlignment="1">
      <alignment vertical="center"/>
    </xf>
    <xf numFmtId="0" fontId="2" fillId="0" borderId="0" xfId="2" applyAlignment="1">
      <alignment horizontal="centerContinuous"/>
    </xf>
    <xf numFmtId="0" fontId="32" fillId="0" borderId="0" xfId="2" quotePrefix="1" applyFont="1" applyAlignment="1">
      <alignment horizontal="left" vertical="center"/>
    </xf>
    <xf numFmtId="3" fontId="33" fillId="0" borderId="0" xfId="2" applyNumberFormat="1" applyFont="1" applyAlignment="1">
      <alignment horizontal="center" vertical="center"/>
    </xf>
    <xf numFmtId="0" fontId="32" fillId="0" borderId="0" xfId="2" applyFont="1" applyAlignment="1">
      <alignment horizontal="center"/>
    </xf>
    <xf numFmtId="166" fontId="33" fillId="0" borderId="0" xfId="2" applyNumberFormat="1" applyFont="1" applyAlignment="1">
      <alignment horizontal="center" vertical="center"/>
    </xf>
    <xf numFmtId="0" fontId="22" fillId="0" borderId="0" xfId="2" applyFont="1" applyAlignment="1">
      <alignment horizontal="left" vertical="center"/>
    </xf>
    <xf numFmtId="37" fontId="33" fillId="0" borderId="0" xfId="2" applyNumberFormat="1" applyFont="1" applyAlignment="1">
      <alignment horizontal="center" vertical="center"/>
    </xf>
    <xf numFmtId="164" fontId="27" fillId="0" borderId="0" xfId="2" applyNumberFormat="1" applyFont="1" applyAlignment="1">
      <alignment vertical="center"/>
    </xf>
    <xf numFmtId="171" fontId="33" fillId="0" borderId="0" xfId="2" applyNumberFormat="1" applyFont="1" applyAlignment="1">
      <alignment horizontal="center" vertical="center"/>
    </xf>
    <xf numFmtId="0" fontId="32" fillId="0" borderId="0" xfId="2" applyFont="1"/>
    <xf numFmtId="0" fontId="40" fillId="0" borderId="0" xfId="2" applyFont="1" applyAlignment="1">
      <alignment vertical="center"/>
    </xf>
    <xf numFmtId="37" fontId="41" fillId="0" borderId="0" xfId="2" applyNumberFormat="1" applyFont="1" applyAlignment="1">
      <alignment horizontal="center" vertical="center"/>
    </xf>
    <xf numFmtId="172" fontId="33" fillId="0" borderId="0" xfId="3" applyNumberFormat="1" applyFont="1" applyFill="1" applyBorder="1" applyAlignment="1">
      <alignment horizontal="center" vertical="center"/>
    </xf>
    <xf numFmtId="0" fontId="42" fillId="0" borderId="0" xfId="2" applyFont="1"/>
    <xf numFmtId="0" fontId="15" fillId="4" borderId="57" xfId="2" applyFont="1" applyFill="1" applyBorder="1" applyAlignment="1">
      <alignment horizontal="center" vertical="center"/>
    </xf>
    <xf numFmtId="5" fontId="2" fillId="4" borderId="58" xfId="2" applyNumberFormat="1" applyFill="1" applyBorder="1" applyAlignment="1">
      <alignment vertical="center"/>
    </xf>
    <xf numFmtId="5" fontId="2" fillId="4" borderId="59" xfId="2" applyNumberFormat="1" applyFill="1" applyBorder="1" applyAlignment="1">
      <alignment vertical="center"/>
    </xf>
    <xf numFmtId="5" fontId="37" fillId="4" borderId="57" xfId="2" applyNumberFormat="1" applyFont="1" applyFill="1" applyBorder="1" applyAlignment="1">
      <alignment vertical="center"/>
    </xf>
    <xf numFmtId="5" fontId="37" fillId="4" borderId="43" xfId="2" applyNumberFormat="1" applyFont="1" applyFill="1" applyBorder="1" applyAlignment="1">
      <alignment vertical="center"/>
    </xf>
    <xf numFmtId="169" fontId="33" fillId="0" borderId="0" xfId="3" applyNumberFormat="1" applyFont="1" applyFill="1" applyBorder="1" applyAlignment="1">
      <alignment horizontal="center" vertical="center"/>
    </xf>
    <xf numFmtId="0" fontId="32" fillId="0" borderId="0" xfId="2" applyFont="1" applyAlignment="1">
      <alignment horizontal="left" vertical="center"/>
    </xf>
    <xf numFmtId="3" fontId="33" fillId="0" borderId="0" xfId="3" applyNumberFormat="1" applyFont="1" applyFill="1" applyBorder="1" applyAlignment="1">
      <alignment horizontal="center" vertical="center"/>
    </xf>
    <xf numFmtId="165" fontId="2" fillId="0" borderId="0" xfId="2" applyNumberFormat="1"/>
    <xf numFmtId="173" fontId="33" fillId="0" borderId="0" xfId="2" applyNumberFormat="1" applyFont="1" applyAlignment="1">
      <alignment horizontal="center" vertical="center"/>
    </xf>
    <xf numFmtId="173" fontId="33" fillId="0" borderId="0" xfId="3" applyNumberFormat="1" applyFont="1" applyFill="1" applyBorder="1" applyAlignment="1">
      <alignment horizontal="center" vertical="center"/>
    </xf>
    <xf numFmtId="1" fontId="33" fillId="0" borderId="0" xfId="2" applyNumberFormat="1" applyFont="1" applyAlignment="1">
      <alignment horizontal="center" vertical="center"/>
    </xf>
    <xf numFmtId="5" fontId="33" fillId="0" borderId="0" xfId="4" applyNumberFormat="1" applyFont="1" applyFill="1" applyBorder="1" applyAlignment="1" applyProtection="1">
      <alignment horizontal="center" vertical="center"/>
    </xf>
    <xf numFmtId="5" fontId="33" fillId="0" borderId="0" xfId="4" applyNumberFormat="1" applyFont="1" applyFill="1" applyBorder="1" applyAlignment="1">
      <alignment horizontal="center" vertical="center"/>
    </xf>
    <xf numFmtId="5" fontId="2" fillId="0" borderId="0" xfId="2" applyNumberFormat="1"/>
    <xf numFmtId="0" fontId="18" fillId="0" borderId="0" xfId="2" applyFont="1"/>
    <xf numFmtId="0" fontId="31" fillId="0" borderId="0" xfId="2" applyFont="1" applyAlignment="1">
      <alignment horizontal="center"/>
    </xf>
    <xf numFmtId="2" fontId="33" fillId="0" borderId="0" xfId="2" applyNumberFormat="1" applyFont="1" applyAlignment="1">
      <alignment horizontal="center" vertical="center"/>
    </xf>
    <xf numFmtId="0" fontId="15" fillId="0" borderId="0" xfId="2" applyFont="1"/>
    <xf numFmtId="38" fontId="2" fillId="0" borderId="0" xfId="2" applyNumberFormat="1"/>
    <xf numFmtId="0" fontId="24" fillId="0" borderId="0" xfId="2" applyFont="1" applyAlignment="1">
      <alignment horizontal="center" wrapText="1"/>
    </xf>
    <xf numFmtId="0" fontId="8" fillId="2" borderId="60" xfId="2" applyFont="1" applyFill="1" applyBorder="1"/>
    <xf numFmtId="43" fontId="2" fillId="0" borderId="0" xfId="5" applyFill="1" applyBorder="1" applyAlignment="1"/>
    <xf numFmtId="172" fontId="2" fillId="0" borderId="0" xfId="2" applyNumberFormat="1"/>
    <xf numFmtId="0" fontId="2" fillId="2" borderId="24" xfId="2" applyFill="1" applyBorder="1"/>
    <xf numFmtId="0" fontId="8" fillId="2" borderId="61" xfId="2" applyFont="1" applyFill="1" applyBorder="1"/>
    <xf numFmtId="0" fontId="2" fillId="2" borderId="62" xfId="2" applyFill="1" applyBorder="1"/>
    <xf numFmtId="0" fontId="24" fillId="0" borderId="0" xfId="2" applyFont="1"/>
    <xf numFmtId="0" fontId="15" fillId="2" borderId="1" xfId="2" applyFont="1" applyFill="1" applyBorder="1"/>
    <xf numFmtId="0" fontId="2" fillId="2" borderId="2" xfId="2" applyFill="1" applyBorder="1"/>
    <xf numFmtId="0" fontId="8" fillId="2" borderId="0" xfId="2" applyFont="1" applyFill="1"/>
    <xf numFmtId="174" fontId="2" fillId="2" borderId="22" xfId="2" applyNumberFormat="1" applyFill="1" applyBorder="1"/>
    <xf numFmtId="0" fontId="2" fillId="2" borderId="5" xfId="2" applyFill="1" applyBorder="1"/>
    <xf numFmtId="0" fontId="8" fillId="2" borderId="40" xfId="2" applyFont="1" applyFill="1" applyBorder="1"/>
    <xf numFmtId="0" fontId="2" fillId="2" borderId="6" xfId="2" applyFill="1" applyBorder="1"/>
    <xf numFmtId="0" fontId="24" fillId="0" borderId="0" xfId="2" applyFont="1" applyAlignment="1">
      <alignment horizontal="left" vertical="center"/>
    </xf>
    <xf numFmtId="0" fontId="43" fillId="0" borderId="0" xfId="2" applyFont="1" applyAlignment="1">
      <alignment vertical="center"/>
    </xf>
    <xf numFmtId="175" fontId="21" fillId="0" borderId="7" xfId="2" applyNumberFormat="1" applyFont="1" applyBorder="1" applyAlignment="1">
      <alignment horizontal="right" vertical="center"/>
    </xf>
    <xf numFmtId="0" fontId="43" fillId="0" borderId="0" xfId="2" quotePrefix="1" applyFont="1" applyAlignment="1">
      <alignment horizontal="left" vertical="center"/>
    </xf>
    <xf numFmtId="176" fontId="22" fillId="0" borderId="0" xfId="2" applyNumberFormat="1" applyFont="1" applyAlignment="1">
      <alignment horizontal="left" vertical="center"/>
    </xf>
    <xf numFmtId="0" fontId="44" fillId="0" borderId="11" xfId="2" applyFont="1" applyBorder="1" applyAlignment="1">
      <alignment horizontal="left" vertical="center"/>
    </xf>
    <xf numFmtId="0" fontId="44" fillId="0" borderId="12" xfId="2" applyFont="1" applyBorder="1" applyAlignment="1">
      <alignment horizontal="left" vertical="center"/>
    </xf>
    <xf numFmtId="0" fontId="18" fillId="0" borderId="12" xfId="2" applyFont="1" applyBorder="1" applyAlignment="1">
      <alignment vertical="center"/>
    </xf>
    <xf numFmtId="0" fontId="2" fillId="0" borderId="17" xfId="2" applyBorder="1" applyAlignment="1">
      <alignment horizontal="center" vertical="center"/>
    </xf>
    <xf numFmtId="0" fontId="45" fillId="0" borderId="0" xfId="2" applyFont="1" applyAlignment="1">
      <alignment horizontal="centerContinuous" vertical="center"/>
    </xf>
    <xf numFmtId="0" fontId="8" fillId="0" borderId="0" xfId="2" applyFont="1" applyAlignment="1">
      <alignment horizontal="centerContinuous" vertical="center"/>
    </xf>
    <xf numFmtId="0" fontId="46" fillId="0" borderId="17" xfId="2" applyFont="1" applyBorder="1" applyAlignment="1">
      <alignment horizontal="centerContinuous" vertical="center"/>
    </xf>
    <xf numFmtId="0" fontId="46" fillId="0" borderId="0" xfId="2" applyFont="1" applyAlignment="1">
      <alignment horizontal="centerContinuous" vertical="center"/>
    </xf>
    <xf numFmtId="0" fontId="47" fillId="0" borderId="0" xfId="2" applyFont="1" applyAlignment="1">
      <alignment horizontal="centerContinuous" vertical="center"/>
    </xf>
    <xf numFmtId="5" fontId="44" fillId="0" borderId="0" xfId="2" applyNumberFormat="1" applyFont="1" applyAlignment="1">
      <alignment horizontal="centerContinuous" vertical="center"/>
    </xf>
    <xf numFmtId="0" fontId="48" fillId="0" borderId="0" xfId="2" quotePrefix="1" applyFont="1" applyAlignment="1">
      <alignment horizontal="centerContinuous" vertical="center"/>
    </xf>
    <xf numFmtId="5" fontId="44" fillId="0" borderId="0" xfId="2" applyNumberFormat="1" applyFont="1" applyAlignment="1">
      <alignment vertical="center"/>
    </xf>
    <xf numFmtId="0" fontId="46" fillId="0" borderId="17" xfId="2" applyFont="1" applyBorder="1" applyAlignment="1">
      <alignment horizontal="left" vertical="center"/>
    </xf>
    <xf numFmtId="0" fontId="46" fillId="2" borderId="1" xfId="2" applyFont="1" applyFill="1" applyBorder="1" applyAlignment="1">
      <alignment horizontal="left" vertical="center"/>
    </xf>
    <xf numFmtId="0" fontId="46" fillId="2" borderId="22" xfId="2" applyFont="1" applyFill="1" applyBorder="1" applyAlignment="1">
      <alignment horizontal="left" vertical="center"/>
    </xf>
    <xf numFmtId="0" fontId="23" fillId="2" borderId="22" xfId="2" applyFont="1" applyFill="1" applyBorder="1" applyAlignment="1">
      <alignment vertical="center"/>
    </xf>
    <xf numFmtId="0" fontId="23" fillId="2" borderId="2" xfId="2" applyFont="1" applyFill="1" applyBorder="1" applyAlignment="1">
      <alignment vertical="center"/>
    </xf>
    <xf numFmtId="0" fontId="44" fillId="0" borderId="0" xfId="2" applyFont="1" applyAlignment="1">
      <alignment vertical="center"/>
    </xf>
    <xf numFmtId="0" fontId="44" fillId="2" borderId="1" xfId="2" applyFont="1" applyFill="1" applyBorder="1" applyAlignment="1">
      <alignment vertical="center"/>
    </xf>
    <xf numFmtId="0" fontId="49" fillId="2" borderId="22" xfId="2" applyFont="1" applyFill="1" applyBorder="1" applyAlignment="1">
      <alignment horizontal="center"/>
    </xf>
    <xf numFmtId="0" fontId="2" fillId="0" borderId="17" xfId="2" applyBorder="1" applyAlignment="1">
      <alignment vertical="center"/>
    </xf>
    <xf numFmtId="0" fontId="2" fillId="2" borderId="3" xfId="2" applyFill="1" applyBorder="1" applyAlignment="1">
      <alignment vertical="center"/>
    </xf>
    <xf numFmtId="0" fontId="47" fillId="2" borderId="20" xfId="2" applyFont="1" applyFill="1" applyBorder="1" applyAlignment="1">
      <alignment horizontal="left" vertical="center"/>
    </xf>
    <xf numFmtId="177" fontId="50" fillId="0" borderId="7" xfId="2" applyNumberFormat="1" applyFont="1" applyBorder="1" applyAlignment="1">
      <alignment horizontal="right" vertical="center"/>
    </xf>
    <xf numFmtId="177" fontId="50" fillId="2" borderId="4" xfId="2" applyNumberFormat="1" applyFont="1" applyFill="1" applyBorder="1" applyAlignment="1">
      <alignment horizontal="right" vertical="center"/>
    </xf>
    <xf numFmtId="178" fontId="44" fillId="0" borderId="0" xfId="2" applyNumberFormat="1" applyFont="1" applyAlignment="1">
      <alignment vertical="center"/>
    </xf>
    <xf numFmtId="178" fontId="44" fillId="2" borderId="3" xfId="2" applyNumberFormat="1" applyFont="1" applyFill="1" applyBorder="1" applyAlignment="1">
      <alignment vertical="center"/>
    </xf>
    <xf numFmtId="0" fontId="51" fillId="2" borderId="0" xfId="2" applyFont="1" applyFill="1"/>
    <xf numFmtId="0" fontId="49" fillId="2" borderId="0" xfId="2" applyFont="1" applyFill="1" applyAlignment="1">
      <alignment horizontal="center"/>
    </xf>
    <xf numFmtId="177" fontId="50" fillId="0" borderId="67" xfId="2" applyNumberFormat="1" applyFont="1" applyBorder="1" applyAlignment="1">
      <alignment horizontal="right" vertical="center"/>
    </xf>
    <xf numFmtId="0" fontId="44" fillId="2" borderId="3" xfId="2" applyFont="1" applyFill="1" applyBorder="1" applyAlignment="1">
      <alignment vertical="center"/>
    </xf>
    <xf numFmtId="178" fontId="50" fillId="2" borderId="4" xfId="2" applyNumberFormat="1" applyFont="1" applyFill="1" applyBorder="1" applyAlignment="1">
      <alignment horizontal="right" vertical="center"/>
    </xf>
    <xf numFmtId="0" fontId="18" fillId="2" borderId="3" xfId="2" applyFont="1" applyFill="1" applyBorder="1" applyAlignment="1">
      <alignment vertical="center"/>
    </xf>
    <xf numFmtId="2" fontId="50" fillId="0" borderId="7" xfId="2" applyNumberFormat="1" applyFont="1" applyBorder="1" applyAlignment="1">
      <alignment horizontal="right" vertical="center"/>
    </xf>
    <xf numFmtId="172" fontId="50" fillId="2" borderId="4" xfId="2" applyNumberFormat="1" applyFont="1" applyFill="1" applyBorder="1" applyAlignment="1">
      <alignment horizontal="right" vertical="center"/>
    </xf>
    <xf numFmtId="0" fontId="51" fillId="2" borderId="20" xfId="2" applyFont="1" applyFill="1" applyBorder="1" applyAlignment="1">
      <alignment horizontal="left" vertical="center"/>
    </xf>
    <xf numFmtId="172" fontId="50" fillId="0" borderId="7" xfId="2" applyNumberFormat="1" applyFont="1" applyBorder="1" applyAlignment="1">
      <alignment horizontal="right" vertical="center"/>
    </xf>
    <xf numFmtId="0" fontId="51" fillId="2" borderId="0" xfId="2" applyFont="1" applyFill="1" applyAlignment="1">
      <alignment horizontal="left" vertical="center"/>
    </xf>
    <xf numFmtId="0" fontId="47" fillId="2" borderId="0" xfId="2" applyFont="1" applyFill="1" applyAlignment="1">
      <alignment horizontal="left" vertical="center"/>
    </xf>
    <xf numFmtId="3" fontId="50" fillId="0" borderId="7" xfId="2" applyNumberFormat="1" applyFont="1" applyBorder="1" applyAlignment="1">
      <alignment horizontal="right" vertical="center"/>
    </xf>
    <xf numFmtId="172" fontId="50" fillId="2" borderId="0" xfId="2" applyNumberFormat="1" applyFont="1" applyFill="1" applyAlignment="1">
      <alignment horizontal="right" vertical="center"/>
    </xf>
    <xf numFmtId="0" fontId="2" fillId="2" borderId="5" xfId="2" applyFill="1" applyBorder="1" applyAlignment="1">
      <alignment vertical="center"/>
    </xf>
    <xf numFmtId="0" fontId="53" fillId="2" borderId="40" xfId="2" quotePrefix="1" applyFont="1" applyFill="1" applyBorder="1" applyAlignment="1">
      <alignment horizontal="left" vertical="center"/>
    </xf>
    <xf numFmtId="172" fontId="50" fillId="2" borderId="40" xfId="2" applyNumberFormat="1" applyFont="1" applyFill="1" applyBorder="1" applyAlignment="1">
      <alignment horizontal="right" vertical="center"/>
    </xf>
    <xf numFmtId="172" fontId="50" fillId="2" borderId="6" xfId="2" applyNumberFormat="1" applyFont="1" applyFill="1" applyBorder="1" applyAlignment="1">
      <alignment horizontal="right" vertical="center"/>
    </xf>
    <xf numFmtId="0" fontId="18" fillId="2" borderId="5" xfId="2" applyFont="1" applyFill="1" applyBorder="1" applyAlignment="1">
      <alignment vertical="center"/>
    </xf>
    <xf numFmtId="0" fontId="2" fillId="0" borderId="51" xfId="2" applyBorder="1" applyAlignment="1">
      <alignment vertical="center"/>
    </xf>
    <xf numFmtId="0" fontId="2" fillId="0" borderId="52" xfId="2" applyBorder="1" applyAlignment="1">
      <alignment vertical="center"/>
    </xf>
    <xf numFmtId="0" fontId="53" fillId="0" borderId="52" xfId="2" quotePrefix="1" applyFont="1" applyBorder="1" applyAlignment="1">
      <alignment horizontal="left" vertical="center"/>
    </xf>
    <xf numFmtId="172" fontId="50" fillId="0" borderId="52" xfId="2" applyNumberFormat="1" applyFont="1" applyBorder="1" applyAlignment="1">
      <alignment horizontal="right" vertical="center"/>
    </xf>
    <xf numFmtId="0" fontId="18" fillId="0" borderId="52" xfId="2" applyFont="1" applyBorder="1" applyAlignment="1">
      <alignment vertical="center"/>
    </xf>
    <xf numFmtId="0" fontId="54" fillId="2" borderId="1" xfId="2" applyFont="1" applyFill="1" applyBorder="1"/>
    <xf numFmtId="0" fontId="54" fillId="2" borderId="22" xfId="2" applyFont="1" applyFill="1" applyBorder="1"/>
    <xf numFmtId="172" fontId="50" fillId="2" borderId="3" xfId="2" applyNumberFormat="1" applyFont="1" applyFill="1" applyBorder="1" applyAlignment="1">
      <alignment horizontal="right" vertical="center"/>
    </xf>
    <xf numFmtId="0" fontId="2" fillId="2" borderId="0" xfId="2" applyFill="1" applyAlignment="1">
      <alignment vertical="center"/>
    </xf>
    <xf numFmtId="0" fontId="53" fillId="2" borderId="0" xfId="2" quotePrefix="1" applyFont="1" applyFill="1" applyAlignment="1">
      <alignment horizontal="left" vertical="center"/>
    </xf>
    <xf numFmtId="172" fontId="29" fillId="2" borderId="4" xfId="2" applyNumberFormat="1" applyFont="1" applyFill="1" applyBorder="1" applyAlignment="1">
      <alignment horizontal="right" vertical="center"/>
    </xf>
    <xf numFmtId="172" fontId="50" fillId="0" borderId="7" xfId="2" applyNumberFormat="1" applyFont="1" applyBorder="1" applyAlignment="1">
      <alignment horizontal="center" vertical="center"/>
    </xf>
    <xf numFmtId="0" fontId="55" fillId="2" borderId="0" xfId="2" applyFont="1" applyFill="1" applyAlignment="1">
      <alignment horizontal="left" vertical="center"/>
    </xf>
    <xf numFmtId="0" fontId="31" fillId="2" borderId="0" xfId="2" applyFont="1" applyFill="1" applyAlignment="1">
      <alignment horizontal="center" vertical="center"/>
    </xf>
    <xf numFmtId="0" fontId="10" fillId="2" borderId="0" xfId="2" applyFont="1" applyFill="1" applyAlignment="1">
      <alignment horizontal="left" vertical="center" indent="2"/>
    </xf>
    <xf numFmtId="0" fontId="31" fillId="2" borderId="15" xfId="2" applyFont="1" applyFill="1" applyBorder="1" applyAlignment="1">
      <alignment horizontal="center" vertical="center"/>
    </xf>
    <xf numFmtId="172" fontId="50" fillId="2" borderId="5" xfId="2" applyNumberFormat="1" applyFont="1" applyFill="1" applyBorder="1" applyAlignment="1">
      <alignment horizontal="right" vertical="center"/>
    </xf>
    <xf numFmtId="0" fontId="2" fillId="2" borderId="40" xfId="2" applyFill="1" applyBorder="1" applyAlignment="1">
      <alignment vertical="center"/>
    </xf>
    <xf numFmtId="0" fontId="2" fillId="2" borderId="40" xfId="2" applyFill="1" applyBorder="1" applyAlignment="1">
      <alignment horizontal="center" vertical="center"/>
    </xf>
    <xf numFmtId="172" fontId="29" fillId="2" borderId="6" xfId="2" applyNumberFormat="1" applyFont="1" applyFill="1" applyBorder="1" applyAlignment="1">
      <alignment horizontal="right" vertical="center"/>
    </xf>
    <xf numFmtId="0" fontId="57" fillId="0" borderId="0" xfId="2" applyFont="1"/>
    <xf numFmtId="37" fontId="2" fillId="0" borderId="0" xfId="2" applyNumberFormat="1"/>
    <xf numFmtId="164" fontId="58" fillId="0" borderId="0" xfId="2" applyNumberFormat="1" applyFont="1" applyAlignment="1">
      <alignment horizontal="left" vertical="center"/>
    </xf>
    <xf numFmtId="164" fontId="59" fillId="2" borderId="1" xfId="2" applyNumberFormat="1" applyFont="1" applyFill="1" applyBorder="1" applyAlignment="1">
      <alignment horizontal="left" vertical="center"/>
    </xf>
    <xf numFmtId="164" fontId="2" fillId="2" borderId="22" xfId="2" applyNumberFormat="1" applyFill="1" applyBorder="1" applyAlignment="1">
      <alignment vertical="center"/>
    </xf>
    <xf numFmtId="164" fontId="60" fillId="2" borderId="3" xfId="2" applyNumberFormat="1" applyFont="1" applyFill="1" applyBorder="1" applyAlignment="1">
      <alignment horizontal="left" vertical="center"/>
    </xf>
    <xf numFmtId="164" fontId="2" fillId="2" borderId="0" xfId="2" applyNumberFormat="1" applyFill="1" applyAlignment="1">
      <alignment vertical="center"/>
    </xf>
    <xf numFmtId="164" fontId="2" fillId="3" borderId="8" xfId="2" applyNumberFormat="1" applyFill="1" applyBorder="1" applyAlignment="1">
      <alignment horizontal="left" vertical="center"/>
    </xf>
    <xf numFmtId="164" fontId="2" fillId="3" borderId="10" xfId="2" applyNumberFormat="1" applyFill="1" applyBorder="1"/>
    <xf numFmtId="0" fontId="2" fillId="3" borderId="9" xfId="2" applyFill="1" applyBorder="1" applyAlignment="1">
      <alignment vertical="center"/>
    </xf>
    <xf numFmtId="0" fontId="2" fillId="3" borderId="10" xfId="2" applyFill="1" applyBorder="1" applyAlignment="1">
      <alignment vertical="center"/>
    </xf>
    <xf numFmtId="0" fontId="2" fillId="2" borderId="4" xfId="2" applyFill="1" applyBorder="1" applyAlignment="1">
      <alignment vertical="center"/>
    </xf>
    <xf numFmtId="165" fontId="2" fillId="2" borderId="20" xfId="2" applyNumberFormat="1" applyFill="1" applyBorder="1" applyAlignment="1">
      <alignment horizontal="centerContinuous" vertical="center"/>
    </xf>
    <xf numFmtId="165" fontId="2" fillId="2" borderId="21" xfId="2" applyNumberFormat="1" applyFill="1" applyBorder="1" applyAlignment="1">
      <alignment horizontal="centerContinuous" vertical="center"/>
    </xf>
    <xf numFmtId="164" fontId="2" fillId="3" borderId="28" xfId="2" applyNumberFormat="1" applyFill="1" applyBorder="1" applyAlignment="1">
      <alignment horizontal="left" vertical="center"/>
    </xf>
    <xf numFmtId="164" fontId="2" fillId="3" borderId="9" xfId="2" applyNumberFormat="1" applyFill="1" applyBorder="1" applyAlignment="1">
      <alignment vertical="center"/>
    </xf>
    <xf numFmtId="0" fontId="2" fillId="3" borderId="10" xfId="2" applyFill="1" applyBorder="1"/>
    <xf numFmtId="164" fontId="61" fillId="2" borderId="0" xfId="2" quotePrefix="1" applyNumberFormat="1" applyFont="1" applyFill="1" applyAlignment="1">
      <alignment horizontal="left" vertical="center"/>
    </xf>
    <xf numFmtId="0" fontId="61" fillId="2" borderId="0" xfId="2" applyFont="1" applyFill="1" applyAlignment="1">
      <alignment horizontal="right" vertical="center"/>
    </xf>
    <xf numFmtId="0" fontId="2" fillId="2" borderId="15" xfId="2" applyFill="1" applyBorder="1" applyAlignment="1">
      <alignment vertical="center"/>
    </xf>
    <xf numFmtId="164" fontId="2" fillId="0" borderId="0" xfId="2" applyNumberFormat="1" applyAlignment="1">
      <alignment horizontal="left" vertical="center"/>
    </xf>
    <xf numFmtId="164" fontId="61" fillId="2" borderId="3" xfId="2" applyNumberFormat="1" applyFont="1" applyFill="1" applyBorder="1" applyAlignment="1">
      <alignment horizontal="left" vertical="center"/>
    </xf>
    <xf numFmtId="0" fontId="2" fillId="3" borderId="8" xfId="2" applyFill="1" applyBorder="1" applyAlignment="1">
      <alignment horizontal="left" vertical="center"/>
    </xf>
    <xf numFmtId="164" fontId="61" fillId="0" borderId="0" xfId="2" applyNumberFormat="1" applyFont="1" applyAlignment="1">
      <alignment horizontal="left" vertical="center"/>
    </xf>
    <xf numFmtId="0" fontId="61" fillId="0" borderId="0" xfId="2" applyFont="1" applyAlignment="1">
      <alignment horizontal="right" vertical="center"/>
    </xf>
    <xf numFmtId="164" fontId="61" fillId="2" borderId="5" xfId="2" quotePrefix="1" applyNumberFormat="1" applyFont="1" applyFill="1" applyBorder="1" applyAlignment="1">
      <alignment horizontal="left" vertical="center"/>
    </xf>
    <xf numFmtId="164" fontId="61" fillId="2" borderId="40" xfId="2" quotePrefix="1" applyNumberFormat="1" applyFont="1" applyFill="1" applyBorder="1" applyAlignment="1">
      <alignment horizontal="left" vertical="center"/>
    </xf>
    <xf numFmtId="0" fontId="61" fillId="2" borderId="40" xfId="2" applyFont="1" applyFill="1" applyBorder="1" applyAlignment="1">
      <alignment horizontal="left" vertical="center"/>
    </xf>
    <xf numFmtId="164" fontId="61" fillId="0" borderId="0" xfId="2" quotePrefix="1" applyNumberFormat="1" applyFont="1" applyAlignment="1">
      <alignment horizontal="left" vertical="center"/>
    </xf>
    <xf numFmtId="0" fontId="61" fillId="0" borderId="0" xfId="2" applyFont="1" applyAlignment="1">
      <alignment horizontal="left" vertical="center"/>
    </xf>
    <xf numFmtId="0" fontId="62" fillId="0" borderId="0" xfId="2" applyFont="1" applyAlignment="1">
      <alignment horizontal="centerContinuous"/>
    </xf>
    <xf numFmtId="0" fontId="63" fillId="0" borderId="0" xfId="2" applyFont="1" applyAlignment="1">
      <alignment horizontal="centerContinuous" vertical="center"/>
    </xf>
    <xf numFmtId="164" fontId="63" fillId="0" borderId="0" xfId="2" quotePrefix="1" applyNumberFormat="1" applyFont="1" applyAlignment="1">
      <alignment horizontal="centerContinuous" vertical="center"/>
    </xf>
    <xf numFmtId="0" fontId="63" fillId="0" borderId="0" xfId="2" applyFont="1" applyAlignment="1">
      <alignment horizontal="centerContinuous"/>
    </xf>
    <xf numFmtId="0" fontId="62" fillId="0" borderId="0" xfId="2" applyFont="1" applyAlignment="1">
      <alignment horizontal="left"/>
    </xf>
    <xf numFmtId="164" fontId="2" fillId="0" borderId="0" xfId="2" quotePrefix="1" applyNumberFormat="1" applyAlignment="1">
      <alignment horizontal="left" vertical="center"/>
    </xf>
    <xf numFmtId="0" fontId="2" fillId="0" borderId="0" xfId="2" applyAlignment="1">
      <alignment horizontal="left" vertical="center"/>
    </xf>
    <xf numFmtId="0" fontId="64" fillId="0" borderId="0" xfId="2" applyFont="1" applyAlignment="1">
      <alignment vertical="center"/>
    </xf>
    <xf numFmtId="164" fontId="15" fillId="0" borderId="0" xfId="2" quotePrefix="1" applyNumberFormat="1" applyFont="1" applyAlignment="1">
      <alignment horizontal="center" vertical="center"/>
    </xf>
    <xf numFmtId="164" fontId="8" fillId="0" borderId="0" xfId="2" applyNumberFormat="1" applyFont="1" applyAlignment="1">
      <alignment vertical="center"/>
    </xf>
    <xf numFmtId="0" fontId="2" fillId="2" borderId="23" xfId="2" applyFill="1" applyBorder="1" applyAlignment="1">
      <alignment vertical="center"/>
    </xf>
    <xf numFmtId="0" fontId="17" fillId="2" borderId="22" xfId="2" applyFont="1" applyFill="1" applyBorder="1" applyAlignment="1">
      <alignment horizontal="centerContinuous" vertical="center"/>
    </xf>
    <xf numFmtId="0" fontId="2" fillId="2" borderId="2" xfId="2" applyFill="1" applyBorder="1" applyAlignment="1">
      <alignment horizontal="centerContinuous" vertical="center"/>
    </xf>
    <xf numFmtId="0" fontId="17" fillId="2" borderId="1" xfId="2" applyFont="1" applyFill="1" applyBorder="1" applyAlignment="1">
      <alignment horizontal="centerContinuous" vertical="center"/>
    </xf>
    <xf numFmtId="0" fontId="8" fillId="2" borderId="2" xfId="2" applyFont="1" applyFill="1" applyBorder="1" applyAlignment="1">
      <alignment horizontal="centerContinuous" vertical="center"/>
    </xf>
    <xf numFmtId="0" fontId="17" fillId="2" borderId="68" xfId="2" applyFont="1" applyFill="1" applyBorder="1" applyAlignment="1">
      <alignment horizontal="centerContinuous" vertical="center"/>
    </xf>
    <xf numFmtId="0" fontId="17" fillId="2" borderId="26" xfId="2" applyFont="1" applyFill="1" applyBorder="1" applyAlignment="1">
      <alignment horizontal="centerContinuous" vertical="center"/>
    </xf>
    <xf numFmtId="0" fontId="18" fillId="4" borderId="1" xfId="2" applyFont="1" applyFill="1" applyBorder="1" applyAlignment="1">
      <alignment horizontal="center" vertical="center"/>
    </xf>
    <xf numFmtId="0" fontId="2" fillId="4" borderId="23" xfId="2" applyFill="1" applyBorder="1" applyAlignment="1">
      <alignment vertical="center"/>
    </xf>
    <xf numFmtId="0" fontId="24" fillId="2" borderId="23" xfId="2" applyFont="1" applyFill="1" applyBorder="1" applyAlignment="1">
      <alignment horizontal="centerContinuous" vertical="center"/>
    </xf>
    <xf numFmtId="0" fontId="17" fillId="0" borderId="0" xfId="2" applyFont="1" applyAlignment="1">
      <alignment horizontal="centerContinuous" vertical="center"/>
    </xf>
    <xf numFmtId="0" fontId="15" fillId="4" borderId="23" xfId="2" applyFont="1" applyFill="1" applyBorder="1" applyAlignment="1">
      <alignment horizontal="center" vertical="center"/>
    </xf>
    <xf numFmtId="0" fontId="15" fillId="0" borderId="27" xfId="2" applyFont="1" applyBorder="1" applyAlignment="1">
      <alignment horizontal="center" vertical="center"/>
    </xf>
    <xf numFmtId="0" fontId="2" fillId="2" borderId="27" xfId="2" applyFill="1" applyBorder="1"/>
    <xf numFmtId="0" fontId="65" fillId="2" borderId="0" xfId="2" applyFont="1" applyFill="1" applyAlignment="1">
      <alignment horizontal="centerContinuous" vertical="center"/>
    </xf>
    <xf numFmtId="0" fontId="65" fillId="2" borderId="4" xfId="2" quotePrefix="1" applyFont="1" applyFill="1" applyBorder="1" applyAlignment="1">
      <alignment horizontal="centerContinuous" vertical="center"/>
    </xf>
    <xf numFmtId="0" fontId="65" fillId="2" borderId="3" xfId="2" applyFont="1" applyFill="1" applyBorder="1" applyAlignment="1">
      <alignment horizontal="centerContinuous" vertical="center"/>
    </xf>
    <xf numFmtId="0" fontId="65" fillId="2" borderId="4" xfId="2" applyFont="1" applyFill="1" applyBorder="1" applyAlignment="1">
      <alignment horizontal="centerContinuous" vertical="center"/>
    </xf>
    <xf numFmtId="0" fontId="65" fillId="2" borderId="33" xfId="2" applyFont="1" applyFill="1" applyBorder="1" applyAlignment="1">
      <alignment horizontal="centerContinuous" vertical="center"/>
    </xf>
    <xf numFmtId="0" fontId="65" fillId="2" borderId="34" xfId="2" applyFont="1" applyFill="1" applyBorder="1" applyAlignment="1">
      <alignment horizontal="centerContinuous" vertical="center"/>
    </xf>
    <xf numFmtId="0" fontId="2" fillId="4" borderId="3" xfId="2" applyFill="1" applyBorder="1" applyAlignment="1">
      <alignment vertical="center"/>
    </xf>
    <xf numFmtId="0" fontId="2" fillId="4" borderId="27" xfId="2" applyFill="1" applyBorder="1" applyAlignment="1">
      <alignment vertical="center"/>
    </xf>
    <xf numFmtId="0" fontId="24" fillId="2" borderId="27" xfId="2" applyFont="1" applyFill="1" applyBorder="1" applyAlignment="1">
      <alignment horizontal="centerContinuous" vertical="center"/>
    </xf>
    <xf numFmtId="0" fontId="65" fillId="0" borderId="0" xfId="2" applyFont="1" applyAlignment="1">
      <alignment horizontal="centerContinuous" vertical="center"/>
    </xf>
    <xf numFmtId="0" fontId="65" fillId="0" borderId="0" xfId="2" quotePrefix="1" applyFont="1" applyAlignment="1">
      <alignment horizontal="centerContinuous" vertical="center"/>
    </xf>
    <xf numFmtId="0" fontId="15" fillId="4" borderId="27" xfId="2" applyFont="1" applyFill="1" applyBorder="1" applyAlignment="1">
      <alignment horizontal="center" vertical="center"/>
    </xf>
    <xf numFmtId="0" fontId="35" fillId="2" borderId="0" xfId="2" applyFont="1" applyFill="1" applyAlignment="1">
      <alignment horizontal="center" vertical="center"/>
    </xf>
    <xf numFmtId="0" fontId="35" fillId="2" borderId="34" xfId="2" applyFont="1" applyFill="1" applyBorder="1" applyAlignment="1">
      <alignment horizontal="center" vertical="center"/>
    </xf>
    <xf numFmtId="0" fontId="35" fillId="2" borderId="33" xfId="2" applyFont="1" applyFill="1" applyBorder="1" applyAlignment="1">
      <alignment horizontal="center" vertical="center"/>
    </xf>
    <xf numFmtId="0" fontId="15" fillId="4" borderId="3" xfId="2" applyFont="1" applyFill="1" applyBorder="1" applyAlignment="1">
      <alignment horizontal="center" vertical="center"/>
    </xf>
    <xf numFmtId="0" fontId="15" fillId="0" borderId="0" xfId="2" applyFont="1" applyAlignment="1">
      <alignment horizontal="center" vertical="center"/>
    </xf>
    <xf numFmtId="0" fontId="24" fillId="2" borderId="27" xfId="2" applyFont="1" applyFill="1" applyBorder="1" applyAlignment="1">
      <alignment horizontal="center" vertical="center"/>
    </xf>
    <xf numFmtId="0" fontId="35" fillId="0" borderId="0" xfId="2" applyFont="1" applyAlignment="1">
      <alignment horizontal="center" vertical="center"/>
    </xf>
    <xf numFmtId="0" fontId="66" fillId="2" borderId="36" xfId="2" applyFont="1" applyFill="1" applyBorder="1" applyAlignment="1">
      <alignment vertical="center"/>
    </xf>
    <xf numFmtId="0" fontId="35" fillId="2" borderId="40" xfId="2" applyFont="1" applyFill="1" applyBorder="1" applyAlignment="1">
      <alignment horizontal="center" vertical="center"/>
    </xf>
    <xf numFmtId="0" fontId="35" fillId="2" borderId="39" xfId="2" applyFont="1" applyFill="1" applyBorder="1" applyAlignment="1">
      <alignment horizontal="center" vertical="center"/>
    </xf>
    <xf numFmtId="0" fontId="35" fillId="2" borderId="37" xfId="2" applyFont="1" applyFill="1" applyBorder="1" applyAlignment="1">
      <alignment horizontal="center" vertical="center"/>
    </xf>
    <xf numFmtId="0" fontId="15" fillId="4" borderId="5" xfId="2" applyFont="1" applyFill="1" applyBorder="1" applyAlignment="1">
      <alignment horizontal="center" vertical="center"/>
    </xf>
    <xf numFmtId="0" fontId="15" fillId="4" borderId="36" xfId="2" applyFont="1" applyFill="1" applyBorder="1" applyAlignment="1">
      <alignment horizontal="center" vertical="center"/>
    </xf>
    <xf numFmtId="0" fontId="24" fillId="2" borderId="36" xfId="2" applyFont="1" applyFill="1" applyBorder="1" applyAlignment="1">
      <alignment horizontal="center" vertical="center"/>
    </xf>
    <xf numFmtId="0" fontId="66" fillId="0" borderId="0" xfId="2" applyFont="1" applyAlignment="1">
      <alignment vertical="center"/>
    </xf>
    <xf numFmtId="169" fontId="2" fillId="5" borderId="28" xfId="2" applyNumberFormat="1" applyFill="1" applyBorder="1" applyAlignment="1">
      <alignment horizontal="center" vertical="center"/>
    </xf>
    <xf numFmtId="38" fontId="2" fillId="5" borderId="49" xfId="5" applyNumberFormat="1" applyFont="1" applyFill="1" applyBorder="1" applyAlignment="1">
      <alignment horizontal="right" vertical="center"/>
    </xf>
    <xf numFmtId="38" fontId="2" fillId="5" borderId="29" xfId="5" applyNumberFormat="1" applyFont="1" applyFill="1" applyBorder="1" applyAlignment="1">
      <alignment horizontal="right" vertical="center"/>
    </xf>
    <xf numFmtId="39" fontId="2" fillId="0" borderId="45" xfId="2" applyNumberFormat="1" applyBorder="1" applyAlignment="1">
      <alignment vertical="center"/>
    </xf>
    <xf numFmtId="5" fontId="2" fillId="0" borderId="45" xfId="2" applyNumberFormat="1" applyBorder="1" applyAlignment="1">
      <alignment vertical="center"/>
    </xf>
    <xf numFmtId="5" fontId="2" fillId="0" borderId="69" xfId="2" applyNumberFormat="1" applyBorder="1" applyAlignment="1">
      <alignment vertical="center"/>
    </xf>
    <xf numFmtId="5" fontId="2" fillId="4" borderId="28" xfId="2" applyNumberFormat="1" applyFill="1" applyBorder="1" applyAlignment="1">
      <alignment vertical="center"/>
    </xf>
    <xf numFmtId="5" fontId="2" fillId="4" borderId="48" xfId="5" applyNumberFormat="1" applyFont="1" applyFill="1" applyBorder="1" applyAlignment="1" applyProtection="1">
      <alignment vertical="center"/>
    </xf>
    <xf numFmtId="5" fontId="2" fillId="0" borderId="0" xfId="5" applyNumberFormat="1" applyFont="1" applyFill="1" applyBorder="1" applyAlignment="1" applyProtection="1">
      <alignment vertical="center"/>
    </xf>
    <xf numFmtId="169" fontId="2" fillId="0" borderId="0" xfId="2" applyNumberFormat="1" applyAlignment="1">
      <alignment horizontal="center" vertical="center"/>
    </xf>
    <xf numFmtId="38" fontId="2" fillId="0" borderId="0" xfId="5" applyNumberFormat="1" applyFont="1" applyFill="1" applyBorder="1" applyAlignment="1">
      <alignment horizontal="right" vertical="center"/>
    </xf>
    <xf numFmtId="37" fontId="2" fillId="0" borderId="0" xfId="2" applyNumberFormat="1" applyAlignment="1">
      <alignment vertical="center"/>
    </xf>
    <xf numFmtId="169" fontId="2" fillId="0" borderId="70" xfId="2" applyNumberFormat="1" applyBorder="1" applyAlignment="1">
      <alignment horizontal="center" vertical="center"/>
    </xf>
    <xf numFmtId="5" fontId="2" fillId="0" borderId="48" xfId="5" applyNumberFormat="1" applyFont="1" applyFill="1" applyBorder="1" applyAlignment="1" applyProtection="1">
      <alignment vertical="center"/>
    </xf>
    <xf numFmtId="5" fontId="2" fillId="0" borderId="27" xfId="5" applyNumberFormat="1" applyFont="1" applyFill="1" applyBorder="1" applyAlignment="1" applyProtection="1">
      <alignment vertical="center"/>
    </xf>
    <xf numFmtId="37" fontId="2" fillId="0" borderId="48" xfId="5" applyNumberFormat="1" applyFont="1" applyFill="1" applyBorder="1" applyAlignment="1" applyProtection="1">
      <alignment vertical="center"/>
    </xf>
    <xf numFmtId="169" fontId="2" fillId="5" borderId="71" xfId="2" applyNumberFormat="1" applyFill="1" applyBorder="1" applyAlignment="1">
      <alignment horizontal="center" vertical="center"/>
    </xf>
    <xf numFmtId="38" fontId="2" fillId="5" borderId="72" xfId="5" applyNumberFormat="1" applyFont="1" applyFill="1" applyBorder="1" applyAlignment="1">
      <alignment horizontal="right" vertical="center"/>
    </xf>
    <xf numFmtId="38" fontId="2" fillId="5" borderId="15" xfId="5" applyNumberFormat="1" applyFont="1" applyFill="1" applyBorder="1" applyAlignment="1">
      <alignment horizontal="right" vertical="center"/>
    </xf>
    <xf numFmtId="39" fontId="2" fillId="0" borderId="54" xfId="2" applyNumberFormat="1" applyBorder="1" applyAlignment="1">
      <alignment vertical="center"/>
    </xf>
    <xf numFmtId="5" fontId="2" fillId="0" borderId="54" xfId="2" applyNumberFormat="1" applyBorder="1" applyAlignment="1">
      <alignment vertical="center"/>
    </xf>
    <xf numFmtId="5" fontId="2" fillId="0" borderId="56" xfId="2" applyNumberFormat="1" applyBorder="1" applyAlignment="1">
      <alignment vertical="center"/>
    </xf>
    <xf numFmtId="169" fontId="2" fillId="0" borderId="42" xfId="2" applyNumberFormat="1" applyBorder="1" applyAlignment="1">
      <alignment horizontal="center" vertical="center"/>
    </xf>
    <xf numFmtId="38" fontId="2" fillId="0" borderId="42" xfId="5" applyNumberFormat="1" applyFont="1" applyFill="1" applyBorder="1" applyAlignment="1">
      <alignment horizontal="right" vertical="center"/>
    </xf>
    <xf numFmtId="40" fontId="2" fillId="7" borderId="42" xfId="5" applyNumberFormat="1" applyFont="1" applyFill="1" applyBorder="1" applyAlignment="1">
      <alignment horizontal="right" vertical="center"/>
    </xf>
    <xf numFmtId="37" fontId="2" fillId="0" borderId="42" xfId="2" applyNumberFormat="1" applyBorder="1" applyAlignment="1">
      <alignment vertical="center"/>
    </xf>
    <xf numFmtId="38" fontId="2" fillId="0" borderId="42" xfId="5" applyNumberFormat="1" applyFont="1" applyFill="1" applyBorder="1" applyAlignment="1" applyProtection="1">
      <alignment vertical="center"/>
    </xf>
    <xf numFmtId="38" fontId="2" fillId="0" borderId="0" xfId="5" applyNumberFormat="1" applyFont="1" applyFill="1" applyBorder="1" applyAlignment="1" applyProtection="1">
      <alignment vertical="center"/>
    </xf>
    <xf numFmtId="179" fontId="2" fillId="0" borderId="0" xfId="5" applyNumberFormat="1" applyFont="1" applyFill="1" applyBorder="1" applyAlignment="1" applyProtection="1">
      <alignment vertical="center"/>
    </xf>
    <xf numFmtId="180" fontId="2" fillId="0" borderId="0" xfId="5" applyNumberFormat="1" applyFont="1" applyFill="1" applyBorder="1" applyAlignment="1">
      <alignment horizontal="right" vertical="center"/>
    </xf>
    <xf numFmtId="38" fontId="2" fillId="0" borderId="45" xfId="5" applyNumberFormat="1" applyFont="1" applyBorder="1" applyAlignment="1">
      <alignment horizontal="right" vertical="center"/>
    </xf>
    <xf numFmtId="38" fontId="2" fillId="0" borderId="69" xfId="5" applyNumberFormat="1" applyFont="1" applyBorder="1" applyAlignment="1">
      <alignment horizontal="right" vertical="center"/>
    </xf>
    <xf numFmtId="40" fontId="2" fillId="0" borderId="45" xfId="5" applyNumberFormat="1" applyFont="1" applyBorder="1" applyAlignment="1">
      <alignment horizontal="right" vertical="center"/>
    </xf>
    <xf numFmtId="40" fontId="2" fillId="0" borderId="69" xfId="5" applyNumberFormat="1" applyFont="1" applyBorder="1" applyAlignment="1">
      <alignment horizontal="right" vertical="center"/>
    </xf>
    <xf numFmtId="172" fontId="2" fillId="0" borderId="45" xfId="3" applyNumberFormat="1" applyFont="1" applyBorder="1" applyAlignment="1">
      <alignment horizontal="right" vertical="center"/>
    </xf>
    <xf numFmtId="172" fontId="2" fillId="0" borderId="69" xfId="3" applyNumberFormat="1" applyFont="1" applyBorder="1" applyAlignment="1">
      <alignment horizontal="right" vertical="center"/>
    </xf>
    <xf numFmtId="5" fontId="2" fillId="0" borderId="49" xfId="2" applyNumberFormat="1" applyBorder="1" applyAlignment="1">
      <alignment vertical="center"/>
    </xf>
    <xf numFmtId="5" fontId="2" fillId="0" borderId="32" xfId="2" applyNumberFormat="1" applyBorder="1" applyAlignment="1">
      <alignment vertical="center"/>
    </xf>
    <xf numFmtId="38" fontId="2" fillId="0" borderId="49" xfId="5" applyNumberFormat="1" applyFont="1" applyBorder="1" applyAlignment="1">
      <alignment horizontal="right" vertical="center"/>
    </xf>
    <xf numFmtId="38" fontId="2" fillId="0" borderId="32" xfId="5" applyNumberFormat="1" applyFont="1" applyBorder="1" applyAlignment="1">
      <alignment horizontal="right" vertical="center"/>
    </xf>
    <xf numFmtId="40" fontId="2" fillId="0" borderId="49" xfId="5" applyNumberFormat="1" applyFont="1" applyBorder="1" applyAlignment="1">
      <alignment horizontal="right" vertical="center"/>
    </xf>
    <xf numFmtId="40" fontId="2" fillId="0" borderId="32" xfId="5" applyNumberFormat="1" applyFont="1" applyBorder="1" applyAlignment="1">
      <alignment horizontal="right" vertical="center"/>
    </xf>
    <xf numFmtId="172" fontId="2" fillId="0" borderId="49" xfId="3" applyNumberFormat="1" applyFont="1" applyBorder="1" applyAlignment="1">
      <alignment horizontal="right" vertical="center"/>
    </xf>
    <xf numFmtId="172" fontId="2" fillId="0" borderId="32" xfId="3" applyNumberFormat="1" applyFont="1" applyBorder="1" applyAlignment="1">
      <alignment horizontal="right" vertical="center"/>
    </xf>
    <xf numFmtId="0" fontId="15" fillId="0" borderId="41" xfId="2" applyFont="1" applyBorder="1" applyAlignment="1">
      <alignment horizontal="center" vertical="center"/>
    </xf>
    <xf numFmtId="5" fontId="24" fillId="0" borderId="57" xfId="5" applyNumberFormat="1" applyFont="1" applyFill="1" applyBorder="1" applyAlignment="1" applyProtection="1">
      <alignment vertical="center"/>
    </xf>
    <xf numFmtId="5" fontId="24" fillId="4" borderId="57" xfId="5" applyNumberFormat="1" applyFont="1" applyFill="1" applyBorder="1" applyAlignment="1" applyProtection="1">
      <alignment vertical="center"/>
    </xf>
    <xf numFmtId="5" fontId="24" fillId="0" borderId="27" xfId="5" applyNumberFormat="1" applyFont="1" applyFill="1" applyBorder="1" applyAlignment="1" applyProtection="1">
      <alignment vertical="center"/>
    </xf>
    <xf numFmtId="37" fontId="24" fillId="0" borderId="57" xfId="5" applyNumberFormat="1" applyFont="1" applyFill="1" applyBorder="1" applyAlignment="1" applyProtection="1">
      <alignment vertical="center"/>
    </xf>
    <xf numFmtId="0" fontId="49" fillId="0" borderId="0" xfId="2" applyFont="1"/>
    <xf numFmtId="38" fontId="2" fillId="0" borderId="42" xfId="5" applyNumberFormat="1" applyFont="1" applyBorder="1" applyAlignment="1">
      <alignment vertical="center"/>
    </xf>
    <xf numFmtId="0" fontId="2" fillId="0" borderId="42" xfId="2" applyBorder="1" applyAlignment="1">
      <alignment vertical="center"/>
    </xf>
    <xf numFmtId="5" fontId="2" fillId="0" borderId="42" xfId="2" applyNumberFormat="1" applyBorder="1" applyAlignment="1">
      <alignment vertical="center"/>
    </xf>
    <xf numFmtId="5" fontId="24" fillId="0" borderId="0" xfId="5" applyNumberFormat="1" applyFont="1" applyFill="1" applyBorder="1" applyAlignment="1" applyProtection="1">
      <alignment vertical="center"/>
    </xf>
    <xf numFmtId="38" fontId="2" fillId="0" borderId="0" xfId="5" applyNumberFormat="1" applyFont="1" applyFill="1" applyBorder="1" applyAlignment="1">
      <alignment vertical="center"/>
    </xf>
    <xf numFmtId="3" fontId="2" fillId="0" borderId="0" xfId="2" applyNumberFormat="1" applyAlignment="1">
      <alignment vertical="center"/>
    </xf>
    <xf numFmtId="164" fontId="67" fillId="0" borderId="0" xfId="2" applyNumberFormat="1" applyFont="1" applyAlignment="1">
      <alignment horizontal="left" vertical="center"/>
    </xf>
    <xf numFmtId="0" fontId="61" fillId="2" borderId="0" xfId="2" applyFont="1" applyFill="1" applyAlignment="1">
      <alignment vertical="center"/>
    </xf>
    <xf numFmtId="164" fontId="61" fillId="2" borderId="0" xfId="2" applyNumberFormat="1" applyFont="1" applyFill="1" applyAlignment="1">
      <alignment horizontal="left" vertical="center"/>
    </xf>
    <xf numFmtId="0" fontId="2" fillId="2" borderId="20" xfId="2" applyFill="1" applyBorder="1"/>
    <xf numFmtId="0" fontId="2" fillId="3" borderId="9" xfId="2" applyFill="1" applyBorder="1"/>
    <xf numFmtId="164" fontId="61" fillId="2" borderId="5" xfId="2" applyNumberFormat="1" applyFont="1" applyFill="1" applyBorder="1" applyAlignment="1">
      <alignment horizontal="left" vertical="center"/>
    </xf>
    <xf numFmtId="164" fontId="61" fillId="2" borderId="40" xfId="2" applyNumberFormat="1" applyFont="1" applyFill="1" applyBorder="1" applyAlignment="1">
      <alignment horizontal="left" vertical="center"/>
    </xf>
    <xf numFmtId="181" fontId="2" fillId="0" borderId="0" xfId="2" applyNumberFormat="1" applyAlignment="1">
      <alignment horizontal="left" vertical="center"/>
    </xf>
    <xf numFmtId="0" fontId="2" fillId="2" borderId="22" xfId="2" applyFill="1" applyBorder="1" applyAlignment="1">
      <alignment horizontal="centerContinuous" vertical="center"/>
    </xf>
    <xf numFmtId="0" fontId="65" fillId="2" borderId="0" xfId="2" quotePrefix="1" applyFont="1" applyFill="1" applyAlignment="1">
      <alignment horizontal="centerContinuous" vertical="center"/>
    </xf>
    <xf numFmtId="180" fontId="2" fillId="0" borderId="45" xfId="5" applyNumberFormat="1" applyFont="1" applyFill="1" applyBorder="1" applyAlignment="1">
      <alignment horizontal="right" vertical="center"/>
    </xf>
    <xf numFmtId="180" fontId="2" fillId="0" borderId="69" xfId="5" applyNumberFormat="1" applyFont="1" applyFill="1" applyBorder="1" applyAlignment="1">
      <alignment horizontal="right" vertical="center"/>
    </xf>
    <xf numFmtId="39" fontId="2" fillId="0" borderId="0" xfId="2" applyNumberFormat="1" applyAlignment="1">
      <alignment vertical="center"/>
    </xf>
    <xf numFmtId="180" fontId="2" fillId="0" borderId="54" xfId="5" applyNumberFormat="1" applyFont="1" applyFill="1" applyBorder="1" applyAlignment="1">
      <alignment horizontal="right" vertical="center"/>
    </xf>
    <xf numFmtId="180" fontId="2" fillId="0" borderId="56" xfId="5" applyNumberFormat="1" applyFont="1" applyFill="1" applyBorder="1" applyAlignment="1">
      <alignment horizontal="right" vertical="center"/>
    </xf>
    <xf numFmtId="180" fontId="2" fillId="0" borderId="42" xfId="5" applyNumberFormat="1" applyFont="1" applyFill="1" applyBorder="1" applyAlignment="1">
      <alignment horizontal="right" vertical="center"/>
    </xf>
    <xf numFmtId="180" fontId="2" fillId="0" borderId="49" xfId="5" applyNumberFormat="1" applyFont="1" applyFill="1" applyBorder="1" applyAlignment="1">
      <alignment horizontal="right" vertical="center"/>
    </xf>
    <xf numFmtId="180" fontId="2" fillId="0" borderId="32" xfId="5" applyNumberFormat="1" applyFont="1" applyFill="1" applyBorder="1" applyAlignment="1">
      <alignment horizontal="right" vertical="center"/>
    </xf>
    <xf numFmtId="182" fontId="2" fillId="0" borderId="0" xfId="2" applyNumberFormat="1"/>
    <xf numFmtId="37" fontId="24" fillId="0" borderId="65" xfId="5" applyNumberFormat="1" applyFont="1" applyFill="1" applyBorder="1" applyAlignment="1" applyProtection="1">
      <alignment vertical="center"/>
    </xf>
    <xf numFmtId="5" fontId="24" fillId="0" borderId="59" xfId="5" applyNumberFormat="1" applyFont="1" applyFill="1" applyBorder="1" applyAlignment="1" applyProtection="1">
      <alignment vertical="center"/>
    </xf>
    <xf numFmtId="0" fontId="65" fillId="0" borderId="0" xfId="2" applyFont="1" applyAlignment="1">
      <alignment horizontal="left" vertical="center"/>
    </xf>
    <xf numFmtId="5" fontId="2" fillId="0" borderId="47" xfId="2" applyNumberFormat="1" applyBorder="1" applyAlignment="1">
      <alignment vertical="center"/>
    </xf>
    <xf numFmtId="5" fontId="2" fillId="0" borderId="48" xfId="2" applyNumberFormat="1" applyBorder="1" applyAlignment="1">
      <alignment vertical="center"/>
    </xf>
    <xf numFmtId="0" fontId="63" fillId="0" borderId="0" xfId="2" applyFont="1" applyAlignment="1">
      <alignment vertical="center"/>
    </xf>
    <xf numFmtId="164" fontId="63" fillId="0" borderId="0" xfId="2" quotePrefix="1" applyNumberFormat="1" applyFont="1" applyAlignment="1">
      <alignment vertical="center"/>
    </xf>
    <xf numFmtId="0" fontId="24" fillId="3" borderId="23" xfId="2" applyFont="1" applyFill="1" applyBorder="1" applyAlignment="1">
      <alignment horizontal="centerContinuous" vertical="center"/>
    </xf>
    <xf numFmtId="0" fontId="15" fillId="5" borderId="23" xfId="2" applyFont="1" applyFill="1" applyBorder="1" applyAlignment="1">
      <alignment horizontal="center" vertical="center"/>
    </xf>
    <xf numFmtId="0" fontId="15" fillId="8" borderId="23" xfId="2" applyFont="1" applyFill="1" applyBorder="1" applyAlignment="1">
      <alignment horizontal="center" vertical="center"/>
    </xf>
    <xf numFmtId="0" fontId="2" fillId="2" borderId="27" xfId="2" applyFill="1" applyBorder="1" applyAlignment="1">
      <alignment vertical="center"/>
    </xf>
    <xf numFmtId="0" fontId="24" fillId="2" borderId="3" xfId="2" applyFont="1" applyFill="1" applyBorder="1" applyAlignment="1">
      <alignment horizontal="centerContinuous" vertical="center"/>
    </xf>
    <xf numFmtId="0" fontId="24" fillId="2" borderId="0" xfId="2" applyFont="1" applyFill="1" applyAlignment="1">
      <alignment horizontal="centerContinuous" vertical="center"/>
    </xf>
    <xf numFmtId="0" fontId="24" fillId="2" borderId="4" xfId="2" applyFont="1" applyFill="1" applyBorder="1" applyAlignment="1">
      <alignment horizontal="centerContinuous" vertical="center"/>
    </xf>
    <xf numFmtId="0" fontId="24" fillId="3" borderId="3" xfId="2" applyFont="1" applyFill="1" applyBorder="1" applyAlignment="1">
      <alignment horizontal="centerContinuous" vertical="center"/>
    </xf>
    <xf numFmtId="0" fontId="24" fillId="3" borderId="0" xfId="2" applyFont="1" applyFill="1" applyAlignment="1">
      <alignment horizontal="centerContinuous" vertical="center"/>
    </xf>
    <xf numFmtId="0" fontId="24" fillId="3" borderId="4" xfId="2" applyFont="1" applyFill="1" applyBorder="1" applyAlignment="1">
      <alignment horizontal="centerContinuous" vertical="center"/>
    </xf>
    <xf numFmtId="0" fontId="15" fillId="5" borderId="27" xfId="2" applyFont="1" applyFill="1" applyBorder="1" applyAlignment="1">
      <alignment horizontal="center" vertical="center"/>
    </xf>
    <xf numFmtId="0" fontId="15" fillId="8" borderId="27" xfId="2" applyFont="1" applyFill="1" applyBorder="1" applyAlignment="1">
      <alignment horizontal="center" vertical="center"/>
    </xf>
    <xf numFmtId="0" fontId="24" fillId="3" borderId="27" xfId="2" applyFont="1" applyFill="1" applyBorder="1" applyAlignment="1">
      <alignment horizontal="center" vertical="center"/>
    </xf>
    <xf numFmtId="0" fontId="15" fillId="2" borderId="27" xfId="2" applyFont="1" applyFill="1" applyBorder="1" applyAlignment="1">
      <alignment horizontal="center"/>
    </xf>
    <xf numFmtId="0" fontId="24" fillId="2" borderId="0" xfId="2" applyFont="1" applyFill="1" applyAlignment="1">
      <alignment horizontal="center" vertical="center"/>
    </xf>
    <xf numFmtId="0" fontId="24" fillId="3" borderId="0" xfId="2" applyFont="1" applyFill="1" applyAlignment="1">
      <alignment horizontal="center" vertical="center"/>
    </xf>
    <xf numFmtId="0" fontId="24" fillId="3" borderId="36" xfId="2" applyFont="1" applyFill="1" applyBorder="1" applyAlignment="1">
      <alignment horizontal="center" vertical="center"/>
    </xf>
    <xf numFmtId="0" fontId="15" fillId="5" borderId="36" xfId="2" applyFont="1" applyFill="1" applyBorder="1" applyAlignment="1">
      <alignment horizontal="center" vertical="center"/>
    </xf>
    <xf numFmtId="0" fontId="15" fillId="8" borderId="36" xfId="2" applyFont="1" applyFill="1" applyBorder="1" applyAlignment="1">
      <alignment horizontal="center" vertical="center"/>
    </xf>
    <xf numFmtId="0" fontId="15" fillId="2" borderId="36" xfId="2" applyFont="1" applyFill="1" applyBorder="1" applyAlignment="1">
      <alignment horizontal="center" vertical="center"/>
    </xf>
    <xf numFmtId="164" fontId="2" fillId="0" borderId="1" xfId="2" applyNumberFormat="1" applyBorder="1" applyAlignment="1">
      <alignment horizontal="center"/>
    </xf>
    <xf numFmtId="165" fontId="2" fillId="0" borderId="22" xfId="2" applyNumberFormat="1" applyBorder="1"/>
    <xf numFmtId="165" fontId="2" fillId="0" borderId="2" xfId="2" applyNumberFormat="1" applyBorder="1"/>
    <xf numFmtId="165" fontId="2" fillId="0" borderId="1" xfId="2" applyNumberFormat="1" applyBorder="1"/>
    <xf numFmtId="5" fontId="2" fillId="5" borderId="48" xfId="5" applyNumberFormat="1" applyFont="1" applyFill="1" applyBorder="1" applyAlignment="1" applyProtection="1">
      <alignment vertical="center"/>
    </xf>
    <xf numFmtId="5" fontId="2" fillId="8" borderId="48" xfId="5" applyNumberFormat="1" applyFont="1" applyFill="1" applyBorder="1" applyAlignment="1" applyProtection="1">
      <alignment vertical="center"/>
    </xf>
    <xf numFmtId="5" fontId="2" fillId="0" borderId="23" xfId="5" applyNumberFormat="1" applyFont="1" applyFill="1" applyBorder="1" applyAlignment="1" applyProtection="1">
      <alignment vertical="center"/>
    </xf>
    <xf numFmtId="164" fontId="2" fillId="0" borderId="3" xfId="2" applyNumberFormat="1" applyBorder="1" applyAlignment="1">
      <alignment horizontal="center"/>
    </xf>
    <xf numFmtId="165" fontId="2" fillId="0" borderId="4" xfId="2" applyNumberFormat="1" applyBorder="1"/>
    <xf numFmtId="165" fontId="2" fillId="0" borderId="3" xfId="2" applyNumberFormat="1" applyBorder="1"/>
    <xf numFmtId="164" fontId="2" fillId="0" borderId="5" xfId="2" applyNumberFormat="1" applyBorder="1" applyAlignment="1">
      <alignment horizontal="center"/>
    </xf>
    <xf numFmtId="165" fontId="2" fillId="0" borderId="40" xfId="2" applyNumberFormat="1" applyBorder="1"/>
    <xf numFmtId="165" fontId="2" fillId="0" borderId="6" xfId="2" applyNumberFormat="1" applyBorder="1"/>
    <xf numFmtId="165" fontId="2" fillId="0" borderId="5" xfId="2" applyNumberFormat="1" applyBorder="1"/>
    <xf numFmtId="5" fontId="2" fillId="0" borderId="36" xfId="5" applyNumberFormat="1" applyFont="1" applyFill="1" applyBorder="1" applyAlignment="1" applyProtection="1">
      <alignment vertical="center"/>
    </xf>
    <xf numFmtId="5" fontId="2" fillId="3" borderId="48" xfId="5" applyNumberFormat="1" applyFont="1" applyFill="1" applyBorder="1" applyAlignment="1" applyProtection="1">
      <alignment vertical="center"/>
    </xf>
    <xf numFmtId="5" fontId="69" fillId="3" borderId="48" xfId="5" applyNumberFormat="1" applyFont="1" applyFill="1" applyBorder="1" applyAlignment="1" applyProtection="1">
      <alignment vertical="center"/>
    </xf>
    <xf numFmtId="0" fontId="2" fillId="0" borderId="22" xfId="2" applyBorder="1"/>
    <xf numFmtId="169" fontId="24" fillId="0" borderId="0" xfId="2" applyNumberFormat="1" applyFont="1" applyAlignment="1">
      <alignment horizontal="center" vertical="center"/>
    </xf>
    <xf numFmtId="164" fontId="70" fillId="0" borderId="0" xfId="2" applyNumberFormat="1" applyFont="1" applyAlignment="1">
      <alignment vertical="center"/>
    </xf>
    <xf numFmtId="0" fontId="3" fillId="0" borderId="0" xfId="2" applyFont="1" applyAlignment="1">
      <alignment vertical="center"/>
    </xf>
    <xf numFmtId="164" fontId="3" fillId="0" borderId="0" xfId="2" applyNumberFormat="1" applyFont="1" applyAlignment="1">
      <alignment vertical="center"/>
    </xf>
    <xf numFmtId="38" fontId="69" fillId="0" borderId="42" xfId="5" applyNumberFormat="1" applyFont="1" applyFill="1" applyBorder="1" applyAlignment="1" applyProtection="1">
      <alignment vertical="center"/>
    </xf>
    <xf numFmtId="38" fontId="2" fillId="0" borderId="22" xfId="5" applyNumberFormat="1" applyFont="1" applyFill="1" applyBorder="1" applyAlignment="1" applyProtection="1">
      <alignment vertical="center"/>
    </xf>
    <xf numFmtId="0" fontId="24" fillId="0" borderId="0" xfId="2" applyFont="1" applyAlignment="1">
      <alignment horizontal="center" vertical="center"/>
    </xf>
    <xf numFmtId="10" fontId="24" fillId="9" borderId="57" xfId="3" applyNumberFormat="1" applyFont="1" applyFill="1" applyBorder="1" applyAlignment="1" applyProtection="1">
      <alignment horizontal="center" vertical="center"/>
    </xf>
    <xf numFmtId="5" fontId="2" fillId="0" borderId="57" xfId="5" applyNumberFormat="1" applyFont="1" applyFill="1" applyBorder="1" applyAlignment="1" applyProtection="1">
      <alignment vertical="center"/>
    </xf>
    <xf numFmtId="5" fontId="24" fillId="9" borderId="57" xfId="5" applyNumberFormat="1" applyFont="1" applyFill="1" applyBorder="1" applyAlignment="1" applyProtection="1">
      <alignment vertical="center"/>
    </xf>
    <xf numFmtId="5" fontId="24" fillId="5" borderId="57" xfId="5" applyNumberFormat="1" applyFont="1" applyFill="1" applyBorder="1" applyAlignment="1" applyProtection="1">
      <alignment vertical="center"/>
    </xf>
    <xf numFmtId="5" fontId="24" fillId="8" borderId="57" xfId="5" applyNumberFormat="1" applyFont="1" applyFill="1" applyBorder="1" applyAlignment="1" applyProtection="1">
      <alignment vertical="center"/>
    </xf>
    <xf numFmtId="5" fontId="24" fillId="0" borderId="49" xfId="5" applyNumberFormat="1" applyFont="1" applyFill="1" applyBorder="1" applyAlignment="1" applyProtection="1">
      <alignment vertical="center"/>
    </xf>
    <xf numFmtId="37" fontId="2" fillId="0" borderId="57" xfId="5" applyNumberFormat="1" applyFont="1" applyFill="1" applyBorder="1" applyAlignment="1" applyProtection="1">
      <alignment vertical="center"/>
    </xf>
    <xf numFmtId="37" fontId="2" fillId="3" borderId="57" xfId="5" applyNumberFormat="1" applyFont="1" applyFill="1" applyBorder="1" applyAlignment="1" applyProtection="1">
      <alignment vertical="center"/>
    </xf>
    <xf numFmtId="0" fontId="24" fillId="9" borderId="57" xfId="5" applyNumberFormat="1" applyFont="1" applyFill="1" applyBorder="1" applyAlignment="1" applyProtection="1">
      <alignment horizontal="center" vertical="center"/>
    </xf>
    <xf numFmtId="5" fontId="2" fillId="3" borderId="57" xfId="5" applyNumberFormat="1" applyFont="1" applyFill="1" applyBorder="1" applyAlignment="1" applyProtection="1">
      <alignment vertical="center"/>
    </xf>
    <xf numFmtId="0" fontId="8" fillId="2" borderId="41" xfId="2" applyFont="1" applyFill="1" applyBorder="1"/>
    <xf numFmtId="0" fontId="2" fillId="0" borderId="0" xfId="6" applyFont="1"/>
    <xf numFmtId="0" fontId="2" fillId="2" borderId="1" xfId="10" applyFont="1" applyFill="1" applyBorder="1"/>
    <xf numFmtId="0" fontId="4" fillId="2" borderId="2" xfId="10" applyFont="1" applyFill="1" applyBorder="1" applyAlignment="1">
      <alignment horizontal="center" vertical="center" wrapText="1"/>
    </xf>
    <xf numFmtId="0" fontId="2" fillId="0" borderId="0" xfId="10" applyFont="1"/>
    <xf numFmtId="0" fontId="2" fillId="2" borderId="3" xfId="10" applyFont="1" applyFill="1" applyBorder="1"/>
    <xf numFmtId="0" fontId="7" fillId="2" borderId="4" xfId="10" applyFont="1" applyFill="1" applyBorder="1" applyAlignment="1">
      <alignment horizontal="center" vertical="center"/>
    </xf>
    <xf numFmtId="0" fontId="8" fillId="2" borderId="4" xfId="10" applyFont="1" applyFill="1" applyBorder="1" applyAlignment="1">
      <alignment horizontal="center" vertical="center"/>
    </xf>
    <xf numFmtId="0" fontId="9" fillId="2" borderId="3" xfId="10" applyFont="1" applyFill="1" applyBorder="1" applyAlignment="1">
      <alignment horizontal="centerContinuous"/>
    </xf>
    <xf numFmtId="0" fontId="9" fillId="2" borderId="4" xfId="10" applyFont="1" applyFill="1" applyBorder="1" applyAlignment="1">
      <alignment horizontal="centerContinuous"/>
    </xf>
    <xf numFmtId="0" fontId="9" fillId="2" borderId="3" xfId="10" applyFont="1" applyFill="1" applyBorder="1" applyAlignment="1">
      <alignment horizontal="centerContinuous" vertical="top"/>
    </xf>
    <xf numFmtId="0" fontId="9" fillId="2" borderId="4" xfId="10" applyFont="1" applyFill="1" applyBorder="1" applyAlignment="1">
      <alignment horizontal="centerContinuous" vertical="top"/>
    </xf>
    <xf numFmtId="0" fontId="10" fillId="2" borderId="3" xfId="10" quotePrefix="1" applyFont="1" applyFill="1" applyBorder="1" applyAlignment="1">
      <alignment horizontal="centerContinuous" vertical="top"/>
    </xf>
    <xf numFmtId="0" fontId="11" fillId="2" borderId="4" xfId="10" applyFont="1" applyFill="1" applyBorder="1" applyAlignment="1">
      <alignment horizontal="centerContinuous" vertical="top"/>
    </xf>
    <xf numFmtId="0" fontId="2" fillId="2" borderId="5" xfId="10" applyFont="1" applyFill="1" applyBorder="1"/>
    <xf numFmtId="0" fontId="2" fillId="2" borderId="6" xfId="10" applyFont="1" applyFill="1" applyBorder="1"/>
    <xf numFmtId="164" fontId="12" fillId="0" borderId="0" xfId="6" applyNumberFormat="1" applyFont="1" applyAlignment="1">
      <alignment vertical="center"/>
    </xf>
    <xf numFmtId="164" fontId="12" fillId="0" borderId="0" xfId="6" applyNumberFormat="1" applyFont="1" applyAlignment="1">
      <alignment horizontal="left" vertical="center"/>
    </xf>
    <xf numFmtId="165" fontId="19" fillId="0" borderId="0" xfId="0" applyNumberFormat="1" applyFont="1" applyAlignment="1">
      <alignment horizontal="left" vertical="center"/>
    </xf>
    <xf numFmtId="0" fontId="32" fillId="10" borderId="7" xfId="2" applyFont="1" applyFill="1" applyBorder="1" applyAlignment="1">
      <alignment horizontal="center"/>
    </xf>
    <xf numFmtId="0" fontId="2" fillId="0" borderId="0" xfId="0" applyFont="1" applyAlignment="1">
      <alignment horizontal="center" vertical="center"/>
    </xf>
    <xf numFmtId="0" fontId="26" fillId="0" borderId="0" xfId="0" applyFont="1" applyAlignment="1">
      <alignment horizontal="centerContinuous" vertical="center"/>
    </xf>
    <xf numFmtId="0" fontId="2" fillId="0" borderId="0" xfId="0" applyFont="1" applyAlignment="1">
      <alignment horizontal="centerContinuous" vertical="center"/>
    </xf>
    <xf numFmtId="0" fontId="27" fillId="2" borderId="1" xfId="0" applyFont="1" applyFill="1" applyBorder="1"/>
    <xf numFmtId="166" fontId="33" fillId="11" borderId="7" xfId="2" applyNumberFormat="1" applyFont="1" applyFill="1" applyBorder="1" applyAlignment="1">
      <alignment horizontal="center" vertical="center"/>
    </xf>
    <xf numFmtId="0" fontId="2" fillId="0" borderId="18" xfId="2" applyBorder="1" applyAlignment="1">
      <alignment horizontal="centerContinuous" vertical="center"/>
    </xf>
    <xf numFmtId="164" fontId="2" fillId="0" borderId="52" xfId="2" applyNumberFormat="1" applyBorder="1"/>
    <xf numFmtId="0" fontId="30" fillId="12" borderId="1" xfId="2" applyFont="1" applyFill="1" applyBorder="1" applyAlignment="1">
      <alignment horizontal="left" vertical="center"/>
    </xf>
    <xf numFmtId="0" fontId="2" fillId="12" borderId="22" xfId="2" applyFill="1" applyBorder="1"/>
    <xf numFmtId="164" fontId="2" fillId="12" borderId="22" xfId="2" applyNumberFormat="1" applyFill="1" applyBorder="1"/>
    <xf numFmtId="0" fontId="31" fillId="12" borderId="2" xfId="2" applyFont="1" applyFill="1" applyBorder="1" applyAlignment="1">
      <alignment horizontal="center" vertical="center"/>
    </xf>
    <xf numFmtId="0" fontId="30" fillId="12" borderId="3" xfId="2" quotePrefix="1" applyFont="1" applyFill="1" applyBorder="1" applyAlignment="1">
      <alignment horizontal="left" vertical="center"/>
    </xf>
    <xf numFmtId="0" fontId="2" fillId="12" borderId="0" xfId="2" applyFill="1"/>
    <xf numFmtId="0" fontId="31" fillId="12" borderId="0" xfId="2" applyFont="1" applyFill="1" applyAlignment="1">
      <alignment horizontal="center" vertical="center"/>
    </xf>
    <xf numFmtId="0" fontId="31" fillId="12" borderId="4" xfId="2" applyFont="1" applyFill="1" applyBorder="1" applyAlignment="1">
      <alignment horizontal="center" vertical="center"/>
    </xf>
    <xf numFmtId="0" fontId="2" fillId="12" borderId="5" xfId="2" applyFill="1" applyBorder="1"/>
    <xf numFmtId="0" fontId="20" fillId="12" borderId="40" xfId="2" applyFont="1" applyFill="1" applyBorder="1" applyAlignment="1">
      <alignment horizontal="left" indent="1"/>
    </xf>
    <xf numFmtId="0" fontId="2" fillId="12" borderId="40" xfId="2" applyFill="1" applyBorder="1"/>
    <xf numFmtId="169" fontId="33" fillId="12" borderId="40" xfId="2" applyNumberFormat="1" applyFont="1" applyFill="1" applyBorder="1" applyAlignment="1">
      <alignment horizontal="center" vertical="center"/>
    </xf>
    <xf numFmtId="167" fontId="32" fillId="12" borderId="6" xfId="2" applyNumberFormat="1" applyFont="1" applyFill="1" applyBorder="1" applyAlignment="1">
      <alignment horizontal="center" vertical="center"/>
    </xf>
    <xf numFmtId="167" fontId="32" fillId="12" borderId="4" xfId="2" applyNumberFormat="1" applyFont="1" applyFill="1" applyBorder="1" applyAlignment="1">
      <alignment horizontal="center" vertical="center"/>
    </xf>
    <xf numFmtId="168" fontId="32" fillId="12" borderId="4" xfId="2" applyNumberFormat="1" applyFont="1" applyFill="1" applyBorder="1" applyAlignment="1">
      <alignment horizontal="center" vertical="center"/>
    </xf>
    <xf numFmtId="0" fontId="2" fillId="12" borderId="0" xfId="2" applyFill="1" applyAlignment="1">
      <alignment horizontal="right"/>
    </xf>
    <xf numFmtId="0" fontId="2" fillId="12" borderId="0" xfId="2" quotePrefix="1" applyFill="1" applyAlignment="1">
      <alignment horizontal="right"/>
    </xf>
    <xf numFmtId="0" fontId="20" fillId="12" borderId="0" xfId="2" applyFont="1" applyFill="1"/>
    <xf numFmtId="0" fontId="2" fillId="12" borderId="3" xfId="2" applyFill="1" applyBorder="1"/>
    <xf numFmtId="169" fontId="33" fillId="0" borderId="52" xfId="2" applyNumberFormat="1" applyFont="1" applyBorder="1" applyAlignment="1">
      <alignment horizontal="center" vertical="center"/>
    </xf>
    <xf numFmtId="0" fontId="33" fillId="12" borderId="4" xfId="2" applyFont="1" applyFill="1" applyBorder="1" applyAlignment="1">
      <alignment horizontal="center"/>
    </xf>
    <xf numFmtId="0" fontId="0" fillId="0" borderId="30" xfId="0" applyBorder="1"/>
    <xf numFmtId="0" fontId="0" fillId="0" borderId="76" xfId="0" applyBorder="1"/>
    <xf numFmtId="0" fontId="2" fillId="0" borderId="0" xfId="2" applyAlignment="1">
      <alignment horizontal="left"/>
    </xf>
    <xf numFmtId="183" fontId="2" fillId="0" borderId="7" xfId="5" applyNumberFormat="1" applyFont="1" applyFill="1" applyBorder="1" applyAlignment="1">
      <alignment horizontal="center" vertical="center"/>
    </xf>
    <xf numFmtId="183" fontId="2" fillId="0" borderId="32" xfId="5" applyNumberFormat="1" applyFont="1" applyFill="1" applyBorder="1" applyAlignment="1">
      <alignment horizontal="center" vertical="center"/>
    </xf>
    <xf numFmtId="10" fontId="2" fillId="0" borderId="46" xfId="11" applyNumberFormat="1" applyFont="1" applyFill="1" applyBorder="1" applyAlignment="1">
      <alignment horizontal="center"/>
    </xf>
    <xf numFmtId="10" fontId="2" fillId="0" borderId="69" xfId="11" applyNumberFormat="1" applyFont="1" applyFill="1" applyBorder="1" applyAlignment="1">
      <alignment horizontal="center"/>
    </xf>
    <xf numFmtId="10" fontId="2" fillId="0" borderId="10" xfId="11" applyNumberFormat="1" applyFont="1" applyFill="1" applyBorder="1" applyAlignment="1">
      <alignment horizontal="center"/>
    </xf>
    <xf numFmtId="10" fontId="2" fillId="0" borderId="32" xfId="11" applyNumberFormat="1" applyFont="1" applyFill="1" applyBorder="1" applyAlignment="1">
      <alignment horizontal="center"/>
    </xf>
    <xf numFmtId="10" fontId="2" fillId="0" borderId="55" xfId="11" applyNumberFormat="1" applyFont="1" applyFill="1" applyBorder="1" applyAlignment="1">
      <alignment horizontal="center"/>
    </xf>
    <xf numFmtId="10" fontId="2" fillId="0" borderId="56" xfId="11" applyNumberFormat="1" applyFont="1" applyFill="1" applyBorder="1" applyAlignment="1">
      <alignment horizontal="center"/>
    </xf>
    <xf numFmtId="185" fontId="2" fillId="0" borderId="0" xfId="2" applyNumberFormat="1"/>
    <xf numFmtId="44" fontId="2" fillId="0" borderId="7" xfId="4" applyFont="1" applyFill="1" applyBorder="1"/>
    <xf numFmtId="179" fontId="2" fillId="0" borderId="7" xfId="5" applyNumberFormat="1" applyFont="1" applyFill="1" applyBorder="1"/>
    <xf numFmtId="1" fontId="2" fillId="44" borderId="7" xfId="4" applyNumberFormat="1" applyFont="1" applyFill="1" applyBorder="1"/>
    <xf numFmtId="44" fontId="2" fillId="5" borderId="7" xfId="4" applyFont="1" applyFill="1" applyBorder="1"/>
    <xf numFmtId="2" fontId="2" fillId="44" borderId="7" xfId="4" applyNumberFormat="1" applyFont="1" applyFill="1" applyBorder="1"/>
    <xf numFmtId="186" fontId="2" fillId="0" borderId="66" xfId="5" applyNumberFormat="1" applyFont="1" applyFill="1" applyBorder="1" applyAlignment="1">
      <alignment horizontal="center"/>
    </xf>
    <xf numFmtId="186" fontId="2" fillId="0" borderId="59" xfId="5" applyNumberFormat="1" applyFont="1" applyFill="1" applyBorder="1" applyAlignment="1">
      <alignment horizontal="center"/>
    </xf>
    <xf numFmtId="185" fontId="2" fillId="5" borderId="46" xfId="4" applyNumberFormat="1" applyFont="1" applyFill="1" applyBorder="1" applyAlignment="1"/>
    <xf numFmtId="185" fontId="2" fillId="5" borderId="64" xfId="4" applyNumberFormat="1" applyFont="1" applyFill="1" applyBorder="1" applyAlignment="1"/>
    <xf numFmtId="185" fontId="2" fillId="5" borderId="69" xfId="4" applyNumberFormat="1" applyFont="1" applyFill="1" applyBorder="1" applyAlignment="1"/>
    <xf numFmtId="9" fontId="2" fillId="0" borderId="7" xfId="11" applyFont="1" applyFill="1" applyBorder="1" applyAlignment="1">
      <alignment horizontal="right" vertical="center"/>
    </xf>
    <xf numFmtId="172" fontId="2" fillId="0" borderId="7" xfId="11" applyNumberFormat="1" applyFont="1" applyFill="1" applyBorder="1"/>
    <xf numFmtId="9" fontId="73" fillId="0" borderId="0" xfId="11" applyFont="1" applyAlignment="1">
      <alignment horizontal="left"/>
    </xf>
    <xf numFmtId="186" fontId="2" fillId="0" borderId="64" xfId="5" applyNumberFormat="1" applyFont="1" applyFill="1" applyBorder="1" applyAlignment="1">
      <alignment horizontal="center"/>
    </xf>
    <xf numFmtId="186" fontId="2" fillId="0" borderId="69" xfId="5" applyNumberFormat="1" applyFont="1" applyFill="1" applyBorder="1" applyAlignment="1">
      <alignment horizontal="center"/>
    </xf>
    <xf numFmtId="186" fontId="2" fillId="0" borderId="78" xfId="5" applyNumberFormat="1" applyFont="1" applyFill="1" applyBorder="1" applyAlignment="1">
      <alignment horizontal="center"/>
    </xf>
    <xf numFmtId="186" fontId="2" fillId="0" borderId="56" xfId="5" applyNumberFormat="1" applyFont="1" applyFill="1" applyBorder="1" applyAlignment="1">
      <alignment horizontal="center"/>
    </xf>
    <xf numFmtId="44" fontId="2" fillId="44" borderId="7" xfId="4" applyFont="1" applyFill="1" applyBorder="1"/>
    <xf numFmtId="9" fontId="2" fillId="0" borderId="33" xfId="11" applyFont="1" applyBorder="1" applyAlignment="1">
      <alignment horizontal="center"/>
    </xf>
    <xf numFmtId="9" fontId="2" fillId="0" borderId="76" xfId="11" applyFont="1" applyBorder="1" applyAlignment="1">
      <alignment horizontal="center"/>
    </xf>
    <xf numFmtId="9" fontId="2" fillId="0" borderId="4" xfId="11" applyFont="1" applyBorder="1" applyAlignment="1">
      <alignment horizontal="center"/>
    </xf>
    <xf numFmtId="9" fontId="2" fillId="4" borderId="76" xfId="11" quotePrefix="1" applyFont="1" applyFill="1" applyBorder="1" applyAlignment="1">
      <alignment horizontal="center"/>
    </xf>
    <xf numFmtId="9" fontId="2" fillId="4" borderId="4" xfId="11" quotePrefix="1" applyFont="1" applyFill="1" applyBorder="1" applyAlignment="1">
      <alignment horizontal="center"/>
    </xf>
    <xf numFmtId="9" fontId="2" fillId="0" borderId="37" xfId="11" applyFont="1" applyBorder="1" applyAlignment="1">
      <alignment horizontal="center"/>
    </xf>
    <xf numFmtId="9" fontId="2" fillId="4" borderId="77" xfId="11" quotePrefix="1" applyFont="1" applyFill="1" applyBorder="1" applyAlignment="1">
      <alignment horizontal="center"/>
    </xf>
    <xf numFmtId="9" fontId="2" fillId="4" borderId="6" xfId="11" quotePrefix="1" applyFont="1" applyFill="1" applyBorder="1" applyAlignment="1">
      <alignment horizontal="center"/>
    </xf>
    <xf numFmtId="10" fontId="73" fillId="0" borderId="0" xfId="11" applyNumberFormat="1" applyFont="1" applyFill="1" applyBorder="1" applyAlignment="1">
      <alignment horizontal="left"/>
    </xf>
    <xf numFmtId="10" fontId="2" fillId="0" borderId="7" xfId="4" applyNumberFormat="1" applyFont="1" applyFill="1" applyBorder="1"/>
    <xf numFmtId="0" fontId="73" fillId="0" borderId="0" xfId="11" applyNumberFormat="1" applyFont="1" applyAlignment="1">
      <alignment horizontal="left"/>
    </xf>
    <xf numFmtId="43" fontId="2" fillId="44" borderId="7" xfId="5" applyFont="1" applyFill="1" applyBorder="1"/>
    <xf numFmtId="186" fontId="2" fillId="0" borderId="7" xfId="5" applyNumberFormat="1" applyFont="1" applyFill="1" applyBorder="1" applyAlignment="1">
      <alignment horizontal="center"/>
    </xf>
    <xf numFmtId="186" fontId="2" fillId="0" borderId="32" xfId="5" applyNumberFormat="1" applyFont="1" applyFill="1" applyBorder="1" applyAlignment="1">
      <alignment horizontal="center"/>
    </xf>
    <xf numFmtId="187" fontId="2" fillId="0" borderId="7" xfId="4" applyNumberFormat="1" applyFont="1" applyFill="1" applyBorder="1"/>
    <xf numFmtId="186" fontId="2" fillId="0" borderId="0" xfId="5" applyNumberFormat="1" applyFont="1" applyFill="1" applyBorder="1" applyAlignment="1">
      <alignment horizontal="center"/>
    </xf>
    <xf numFmtId="193" fontId="2" fillId="0" borderId="7" xfId="5" applyNumberFormat="1" applyFont="1" applyFill="1" applyBorder="1"/>
    <xf numFmtId="193" fontId="2" fillId="0" borderId="7" xfId="11" applyNumberFormat="1" applyFont="1" applyFill="1" applyBorder="1"/>
    <xf numFmtId="10" fontId="2" fillId="0" borderId="45" xfId="11" applyNumberFormat="1" applyFont="1" applyFill="1" applyBorder="1" applyAlignment="1">
      <alignment horizontal="center"/>
    </xf>
    <xf numFmtId="10" fontId="2" fillId="0" borderId="64" xfId="11" applyNumberFormat="1" applyFont="1" applyFill="1" applyBorder="1" applyAlignment="1">
      <alignment horizontal="center"/>
    </xf>
    <xf numFmtId="172" fontId="2" fillId="0" borderId="47" xfId="11" applyNumberFormat="1" applyFont="1" applyFill="1" applyBorder="1" applyAlignment="1"/>
    <xf numFmtId="172" fontId="2" fillId="0" borderId="45" xfId="11" applyNumberFormat="1" applyFont="1" applyFill="1" applyBorder="1" applyAlignment="1">
      <alignment horizontal="center" vertical="center"/>
    </xf>
    <xf numFmtId="172" fontId="2" fillId="0" borderId="64" xfId="11" applyNumberFormat="1" applyFont="1" applyFill="1" applyBorder="1" applyAlignment="1">
      <alignment horizontal="center" vertical="center"/>
    </xf>
    <xf numFmtId="172" fontId="2" fillId="0" borderId="69" xfId="11" applyNumberFormat="1" applyFont="1" applyFill="1" applyBorder="1" applyAlignment="1">
      <alignment horizontal="center" vertical="center"/>
    </xf>
    <xf numFmtId="10" fontId="2" fillId="0" borderId="49" xfId="11" applyNumberFormat="1" applyFont="1" applyFill="1" applyBorder="1" applyAlignment="1">
      <alignment horizontal="center"/>
    </xf>
    <xf numFmtId="10" fontId="2" fillId="0" borderId="7" xfId="11" applyNumberFormat="1" applyFont="1" applyFill="1" applyBorder="1" applyAlignment="1">
      <alignment horizontal="center"/>
    </xf>
    <xf numFmtId="10" fontId="2" fillId="0" borderId="63" xfId="11" applyNumberFormat="1" applyFont="1" applyFill="1" applyBorder="1" applyAlignment="1"/>
    <xf numFmtId="172" fontId="2" fillId="0" borderId="54" xfId="11" applyNumberFormat="1" applyFont="1" applyFill="1" applyBorder="1" applyAlignment="1">
      <alignment horizontal="center" vertical="center"/>
    </xf>
    <xf numFmtId="172" fontId="2" fillId="0" borderId="78" xfId="11" applyNumberFormat="1" applyFont="1" applyFill="1" applyBorder="1" applyAlignment="1">
      <alignment horizontal="center" vertical="center"/>
    </xf>
    <xf numFmtId="172" fontId="2" fillId="0" borderId="56" xfId="11" applyNumberFormat="1" applyFont="1" applyFill="1" applyBorder="1" applyAlignment="1">
      <alignment horizontal="center" vertical="center"/>
    </xf>
    <xf numFmtId="10" fontId="2" fillId="0" borderId="54" xfId="11" applyNumberFormat="1" applyFont="1" applyFill="1" applyBorder="1" applyAlignment="1">
      <alignment horizontal="center"/>
    </xf>
    <xf numFmtId="10" fontId="2" fillId="0" borderId="78" xfId="11" applyNumberFormat="1" applyFont="1" applyFill="1" applyBorder="1" applyAlignment="1">
      <alignment horizontal="center"/>
    </xf>
    <xf numFmtId="10" fontId="2" fillId="0" borderId="22" xfId="11" applyNumberFormat="1" applyFont="1" applyFill="1" applyBorder="1" applyAlignment="1">
      <alignment horizontal="center"/>
    </xf>
    <xf numFmtId="172" fontId="2" fillId="0" borderId="22" xfId="11" applyNumberFormat="1" applyFont="1" applyFill="1" applyBorder="1" applyAlignment="1">
      <alignment horizontal="center" vertical="center"/>
    </xf>
    <xf numFmtId="9" fontId="2" fillId="44" borderId="7" xfId="11" applyFont="1" applyFill="1" applyBorder="1"/>
    <xf numFmtId="172" fontId="2" fillId="0" borderId="23" xfId="11" applyNumberFormat="1" applyFont="1" applyFill="1" applyBorder="1" applyAlignment="1"/>
    <xf numFmtId="2" fontId="2" fillId="0" borderId="45" xfId="11" applyNumberFormat="1" applyFont="1" applyFill="1" applyBorder="1" applyAlignment="1">
      <alignment horizontal="center" vertical="center"/>
    </xf>
    <xf numFmtId="2" fontId="2" fillId="0" borderId="64" xfId="11" applyNumberFormat="1" applyFont="1" applyFill="1" applyBorder="1" applyAlignment="1">
      <alignment horizontal="center" vertical="center"/>
    </xf>
    <xf numFmtId="2" fontId="2" fillId="0" borderId="69" xfId="11" applyNumberFormat="1" applyFont="1" applyFill="1" applyBorder="1" applyAlignment="1">
      <alignment horizontal="center" vertical="center"/>
    </xf>
    <xf numFmtId="189" fontId="2" fillId="0" borderId="7" xfId="4" applyNumberFormat="1" applyFont="1" applyFill="1" applyBorder="1" applyAlignment="1">
      <alignment horizontal="center"/>
    </xf>
    <xf numFmtId="172" fontId="2" fillId="0" borderId="36" xfId="11" applyNumberFormat="1" applyFont="1" applyFill="1" applyBorder="1" applyAlignment="1"/>
    <xf numFmtId="2" fontId="2" fillId="0" borderId="54" xfId="11" applyNumberFormat="1" applyFont="1" applyFill="1" applyBorder="1" applyAlignment="1">
      <alignment horizontal="center" vertical="center"/>
    </xf>
    <xf numFmtId="2" fontId="2" fillId="0" borderId="78" xfId="11" applyNumberFormat="1" applyFont="1" applyFill="1" applyBorder="1" applyAlignment="1">
      <alignment horizontal="center" vertical="center"/>
    </xf>
    <xf numFmtId="2" fontId="2" fillId="0" borderId="56" xfId="11" applyNumberFormat="1" applyFont="1" applyFill="1" applyBorder="1" applyAlignment="1">
      <alignment horizontal="center" vertical="center"/>
    </xf>
    <xf numFmtId="172" fontId="2" fillId="47" borderId="7" xfId="5" applyNumberFormat="1" applyFont="1" applyFill="1" applyBorder="1"/>
    <xf numFmtId="10" fontId="2" fillId="0" borderId="23" xfId="11" applyNumberFormat="1" applyFont="1" applyFill="1" applyBorder="1" applyAlignment="1"/>
    <xf numFmtId="10" fontId="2" fillId="0" borderId="36" xfId="11" applyNumberFormat="1" applyFont="1" applyFill="1" applyBorder="1" applyAlignment="1"/>
    <xf numFmtId="189" fontId="0" fillId="0" borderId="7" xfId="4" applyNumberFormat="1" applyFont="1" applyFill="1" applyBorder="1" applyAlignment="1">
      <alignment horizontal="center"/>
    </xf>
    <xf numFmtId="185" fontId="2" fillId="5" borderId="45" xfId="4" applyNumberFormat="1" applyFont="1" applyFill="1" applyBorder="1" applyAlignment="1"/>
    <xf numFmtId="185" fontId="2" fillId="5" borderId="49" xfId="4" applyNumberFormat="1" applyFont="1" applyFill="1" applyBorder="1" applyAlignment="1"/>
    <xf numFmtId="185" fontId="2" fillId="5" borderId="7" xfId="4" applyNumberFormat="1" applyFont="1" applyFill="1" applyBorder="1" applyAlignment="1"/>
    <xf numFmtId="185" fontId="2" fillId="5" borderId="32" xfId="4" applyNumberFormat="1" applyFont="1" applyFill="1" applyBorder="1" applyAlignment="1"/>
    <xf numFmtId="185" fontId="2" fillId="5" borderId="54" xfId="4" applyNumberFormat="1" applyFont="1" applyFill="1" applyBorder="1" applyAlignment="1"/>
    <xf numFmtId="185" fontId="2" fillId="5" borderId="78" xfId="4" applyNumberFormat="1" applyFont="1" applyFill="1" applyBorder="1" applyAlignment="1"/>
    <xf numFmtId="185" fontId="2" fillId="5" borderId="56" xfId="4" applyNumberFormat="1" applyFont="1" applyFill="1" applyBorder="1" applyAlignment="1"/>
    <xf numFmtId="185" fontId="2" fillId="5" borderId="65" xfId="4" applyNumberFormat="1" applyFont="1" applyFill="1" applyBorder="1" applyAlignment="1"/>
    <xf numFmtId="185" fontId="2" fillId="5" borderId="66" xfId="4" applyNumberFormat="1" applyFont="1" applyFill="1" applyBorder="1" applyAlignment="1"/>
    <xf numFmtId="185" fontId="2" fillId="5" borderId="59" xfId="4" applyNumberFormat="1" applyFont="1" applyFill="1" applyBorder="1" applyAlignment="1"/>
    <xf numFmtId="1" fontId="2" fillId="0" borderId="7" xfId="5" applyNumberFormat="1" applyFont="1" applyFill="1" applyBorder="1"/>
    <xf numFmtId="0" fontId="94" fillId="12" borderId="5" xfId="12" applyFont="1" applyFill="1" applyBorder="1"/>
    <xf numFmtId="0" fontId="95" fillId="12" borderId="40" xfId="12" applyFont="1" applyFill="1" applyBorder="1"/>
    <xf numFmtId="0" fontId="94" fillId="12" borderId="6" xfId="12" applyFont="1" applyFill="1" applyBorder="1" applyAlignment="1">
      <alignment horizontal="center" wrapText="1"/>
    </xf>
    <xf numFmtId="189" fontId="2" fillId="5" borderId="7" xfId="4" applyNumberFormat="1" applyFont="1" applyFill="1" applyBorder="1"/>
    <xf numFmtId="10" fontId="2" fillId="0" borderId="27" xfId="11" applyNumberFormat="1" applyFont="1" applyFill="1" applyBorder="1" applyAlignment="1"/>
    <xf numFmtId="183" fontId="2" fillId="0" borderId="79" xfId="5" applyNumberFormat="1" applyFont="1" applyFill="1" applyBorder="1" applyAlignment="1">
      <alignment horizontal="center" vertical="center"/>
    </xf>
    <xf numFmtId="183" fontId="2" fillId="0" borderId="80" xfId="5" applyNumberFormat="1" applyFont="1" applyFill="1" applyBorder="1" applyAlignment="1">
      <alignment horizontal="center" vertical="center"/>
    </xf>
    <xf numFmtId="172" fontId="2" fillId="0" borderId="27" xfId="11" applyNumberFormat="1" applyFont="1" applyFill="1" applyBorder="1" applyAlignment="1"/>
    <xf numFmtId="191" fontId="2" fillId="0" borderId="7" xfId="5" applyNumberFormat="1" applyFont="1" applyFill="1" applyBorder="1"/>
    <xf numFmtId="172" fontId="2" fillId="0" borderId="94" xfId="11" applyNumberFormat="1" applyFont="1" applyFill="1" applyBorder="1" applyAlignment="1">
      <alignment horizontal="center" vertical="center"/>
    </xf>
    <xf numFmtId="183" fontId="2" fillId="0" borderId="78" xfId="5" applyNumberFormat="1" applyFont="1" applyFill="1" applyBorder="1" applyAlignment="1">
      <alignment horizontal="center" vertical="center"/>
    </xf>
    <xf numFmtId="183" fontId="2" fillId="0" borderId="56" xfId="5" applyNumberFormat="1" applyFont="1" applyFill="1" applyBorder="1" applyAlignment="1">
      <alignment horizontal="center" vertical="center"/>
    </xf>
    <xf numFmtId="43" fontId="2" fillId="0" borderId="7" xfId="5" applyFont="1" applyFill="1" applyBorder="1"/>
    <xf numFmtId="0" fontId="96" fillId="0" borderId="0" xfId="12" applyFont="1"/>
    <xf numFmtId="0" fontId="2" fillId="0" borderId="0" xfId="12"/>
    <xf numFmtId="0" fontId="2" fillId="12" borderId="1" xfId="12" applyFill="1" applyBorder="1"/>
    <xf numFmtId="0" fontId="2" fillId="12" borderId="22" xfId="12" applyFill="1" applyBorder="1"/>
    <xf numFmtId="0" fontId="137" fillId="12" borderId="22" xfId="12" applyFont="1" applyFill="1" applyBorder="1" applyAlignment="1">
      <alignment horizontal="centerContinuous"/>
    </xf>
    <xf numFmtId="0" fontId="2" fillId="12" borderId="22" xfId="12" applyFill="1" applyBorder="1" applyAlignment="1">
      <alignment horizontal="centerContinuous"/>
    </xf>
    <xf numFmtId="0" fontId="2" fillId="12" borderId="2" xfId="12" applyFill="1" applyBorder="1"/>
    <xf numFmtId="0" fontId="2" fillId="12" borderId="3" xfId="12" applyFill="1" applyBorder="1"/>
    <xf numFmtId="0" fontId="2" fillId="12" borderId="0" xfId="12" applyFill="1"/>
    <xf numFmtId="0" fontId="49" fillId="12" borderId="0" xfId="12" applyFont="1" applyFill="1" applyAlignment="1">
      <alignment horizontal="center"/>
    </xf>
    <xf numFmtId="0" fontId="2" fillId="12" borderId="4" xfId="12" applyFill="1" applyBorder="1"/>
    <xf numFmtId="0" fontId="51" fillId="2" borderId="0" xfId="12" applyFont="1" applyFill="1"/>
    <xf numFmtId="0" fontId="18" fillId="12" borderId="3" xfId="12" applyFont="1" applyFill="1" applyBorder="1" applyAlignment="1">
      <alignment vertical="center"/>
    </xf>
    <xf numFmtId="0" fontId="47" fillId="12" borderId="20" xfId="12" applyFont="1" applyFill="1" applyBorder="1" applyAlignment="1">
      <alignment horizontal="left" vertical="center"/>
    </xf>
    <xf numFmtId="0" fontId="51" fillId="12" borderId="20" xfId="12" applyFont="1" applyFill="1" applyBorder="1" applyAlignment="1">
      <alignment horizontal="left" vertical="center"/>
    </xf>
    <xf numFmtId="0" fontId="51" fillId="12" borderId="21" xfId="12" applyFont="1" applyFill="1" applyBorder="1" applyAlignment="1">
      <alignment horizontal="left" vertical="center"/>
    </xf>
    <xf numFmtId="0" fontId="47" fillId="12" borderId="9" xfId="12" applyFont="1" applyFill="1" applyBorder="1" applyAlignment="1">
      <alignment horizontal="left" vertical="center"/>
    </xf>
    <xf numFmtId="0" fontId="51" fillId="12" borderId="9" xfId="12" applyFont="1" applyFill="1" applyBorder="1" applyAlignment="1">
      <alignment horizontal="left" vertical="center"/>
    </xf>
    <xf numFmtId="0" fontId="51" fillId="12" borderId="10" xfId="12" applyFont="1" applyFill="1" applyBorder="1" applyAlignment="1">
      <alignment horizontal="left" vertical="center"/>
    </xf>
    <xf numFmtId="177" fontId="50" fillId="12" borderId="8" xfId="12" applyNumberFormat="1" applyFont="1" applyFill="1" applyBorder="1" applyAlignment="1">
      <alignment horizontal="right" vertical="center"/>
    </xf>
    <xf numFmtId="177" fontId="50" fillId="12" borderId="9" xfId="12" applyNumberFormat="1" applyFont="1" applyFill="1" applyBorder="1" applyAlignment="1">
      <alignment horizontal="right" vertical="center"/>
    </xf>
    <xf numFmtId="0" fontId="2" fillId="12" borderId="5" xfId="12" applyFill="1" applyBorder="1"/>
    <xf numFmtId="0" fontId="2" fillId="12" borderId="40" xfId="12" applyFill="1" applyBorder="1"/>
    <xf numFmtId="0" fontId="2" fillId="12" borderId="6" xfId="12" applyFill="1" applyBorder="1"/>
    <xf numFmtId="0" fontId="53" fillId="0" borderId="0" xfId="2" quotePrefix="1" applyFont="1" applyAlignment="1">
      <alignment horizontal="left" vertical="center"/>
    </xf>
    <xf numFmtId="172" fontId="50" fillId="0" borderId="0" xfId="2" applyNumberFormat="1" applyFont="1" applyAlignment="1">
      <alignment horizontal="right" vertical="center"/>
    </xf>
    <xf numFmtId="5" fontId="2" fillId="0" borderId="0" xfId="0" applyNumberFormat="1" applyFont="1" applyAlignment="1">
      <alignment horizontal="center"/>
    </xf>
    <xf numFmtId="5" fontId="2" fillId="0" borderId="0" xfId="0" applyNumberFormat="1" applyFont="1"/>
    <xf numFmtId="0" fontId="2" fillId="0" borderId="0" xfId="0" applyFont="1"/>
    <xf numFmtId="5" fontId="2" fillId="0" borderId="41" xfId="5" applyNumberFormat="1" applyFont="1" applyFill="1" applyBorder="1" applyAlignment="1" applyProtection="1">
      <alignment vertical="center"/>
    </xf>
    <xf numFmtId="0" fontId="17" fillId="2" borderId="68" xfId="0" applyFont="1" applyFill="1" applyBorder="1" applyAlignment="1">
      <alignment horizontal="centerContinuous" vertical="center"/>
    </xf>
    <xf numFmtId="0" fontId="17" fillId="2" borderId="22" xfId="0" applyFont="1" applyFill="1" applyBorder="1" applyAlignment="1">
      <alignment horizontal="centerContinuous" vertical="center"/>
    </xf>
    <xf numFmtId="0" fontId="17" fillId="2" borderId="26" xfId="0" applyFont="1" applyFill="1" applyBorder="1" applyAlignment="1">
      <alignment horizontal="centerContinuous" vertical="center"/>
    </xf>
    <xf numFmtId="0" fontId="17" fillId="2" borderId="2" xfId="0" applyFont="1" applyFill="1" applyBorder="1" applyAlignment="1">
      <alignment horizontal="centerContinuous" vertical="center"/>
    </xf>
    <xf numFmtId="0" fontId="20" fillId="2" borderId="3" xfId="0" applyFont="1" applyFill="1" applyBorder="1" applyAlignment="1">
      <alignment horizontal="centerContinuous" vertical="center"/>
    </xf>
    <xf numFmtId="0" fontId="20" fillId="2" borderId="0" xfId="0" applyFont="1" applyFill="1" applyAlignment="1">
      <alignment horizontal="centerContinuous" vertical="center"/>
    </xf>
    <xf numFmtId="0" fontId="20" fillId="2" borderId="4" xfId="0" applyFont="1" applyFill="1" applyBorder="1" applyAlignment="1">
      <alignment horizontal="centerContinuous" vertical="center"/>
    </xf>
    <xf numFmtId="0" fontId="65" fillId="2" borderId="4" xfId="0" applyFont="1" applyFill="1" applyBorder="1" applyAlignment="1">
      <alignment horizontal="centerContinuous" vertical="center"/>
    </xf>
    <xf numFmtId="0" fontId="65" fillId="2" borderId="0" xfId="0" applyFont="1" applyFill="1" applyAlignment="1">
      <alignment horizontal="centerContinuous" vertical="center"/>
    </xf>
    <xf numFmtId="0" fontId="35" fillId="2" borderId="33" xfId="0" applyFont="1" applyFill="1" applyBorder="1" applyAlignment="1">
      <alignment horizontal="center" vertical="center"/>
    </xf>
    <xf numFmtId="0" fontId="35" fillId="2" borderId="76" xfId="0" applyFont="1" applyFill="1" applyBorder="1" applyAlignment="1">
      <alignment horizontal="center" vertical="center"/>
    </xf>
    <xf numFmtId="0" fontId="35" fillId="2" borderId="82" xfId="0" applyFont="1" applyFill="1" applyBorder="1" applyAlignment="1">
      <alignment horizontal="center" vertical="center"/>
    </xf>
    <xf numFmtId="0" fontId="35" fillId="2" borderId="34" xfId="0" applyFont="1" applyFill="1" applyBorder="1" applyAlignment="1">
      <alignment horizontal="center" vertical="center"/>
    </xf>
    <xf numFmtId="0" fontId="35" fillId="2" borderId="37" xfId="0" applyFont="1" applyFill="1" applyBorder="1" applyAlignment="1">
      <alignment horizontal="center" vertical="center"/>
    </xf>
    <xf numFmtId="0" fontId="35" fillId="2" borderId="77" xfId="0" applyFont="1" applyFill="1" applyBorder="1" applyAlignment="1">
      <alignment horizontal="center" vertical="center"/>
    </xf>
    <xf numFmtId="0" fontId="35" fillId="2" borderId="98" xfId="0" applyFont="1" applyFill="1" applyBorder="1" applyAlignment="1">
      <alignment horizontal="center" vertical="center"/>
    </xf>
    <xf numFmtId="0" fontId="35" fillId="2" borderId="39" xfId="0" applyFont="1" applyFill="1" applyBorder="1" applyAlignment="1">
      <alignment horizontal="center" vertical="center"/>
    </xf>
    <xf numFmtId="0" fontId="17" fillId="0" borderId="0" xfId="2" applyFont="1" applyAlignment="1">
      <alignment vertical="center"/>
    </xf>
    <xf numFmtId="0" fontId="65" fillId="0" borderId="0" xfId="2" applyFont="1" applyAlignment="1">
      <alignment vertical="center"/>
    </xf>
    <xf numFmtId="37" fontId="24" fillId="0" borderId="66" xfId="5" applyNumberFormat="1" applyFont="1" applyFill="1" applyBorder="1" applyAlignment="1" applyProtection="1">
      <alignment vertical="center"/>
    </xf>
    <xf numFmtId="37" fontId="24" fillId="0" borderId="59" xfId="5" applyNumberFormat="1" applyFont="1" applyFill="1" applyBorder="1" applyAlignment="1" applyProtection="1">
      <alignment vertical="center"/>
    </xf>
    <xf numFmtId="5" fontId="2" fillId="0" borderId="64" xfId="2" applyNumberFormat="1" applyBorder="1" applyAlignment="1">
      <alignment vertical="center"/>
    </xf>
    <xf numFmtId="5" fontId="2" fillId="0" borderId="78" xfId="2" applyNumberFormat="1" applyBorder="1" applyAlignment="1">
      <alignment vertical="center"/>
    </xf>
    <xf numFmtId="5" fontId="2" fillId="0" borderId="63" xfId="2" applyNumberFormat="1" applyBorder="1" applyAlignment="1">
      <alignment vertical="center"/>
    </xf>
    <xf numFmtId="5" fontId="24" fillId="0" borderId="65" xfId="5" applyNumberFormat="1" applyFont="1" applyFill="1" applyBorder="1" applyAlignment="1" applyProtection="1">
      <alignment vertical="center"/>
    </xf>
    <xf numFmtId="5" fontId="24" fillId="0" borderId="66" xfId="5" applyNumberFormat="1" applyFont="1" applyFill="1" applyBorder="1" applyAlignment="1" applyProtection="1">
      <alignment vertical="center"/>
    </xf>
    <xf numFmtId="5" fontId="2" fillId="0" borderId="7" xfId="2" applyNumberFormat="1" applyBorder="1" applyAlignment="1">
      <alignment vertical="center"/>
    </xf>
    <xf numFmtId="164" fontId="61" fillId="0" borderId="0" xfId="2" quotePrefix="1" applyNumberFormat="1" applyFont="1" applyAlignment="1">
      <alignment horizontal="centerContinuous" vertical="center"/>
    </xf>
    <xf numFmtId="37" fontId="2" fillId="3" borderId="31" xfId="2" applyNumberFormat="1" applyFill="1" applyBorder="1" applyAlignment="1">
      <alignment vertical="center"/>
    </xf>
    <xf numFmtId="37" fontId="2" fillId="3" borderId="29" xfId="2" applyNumberFormat="1" applyFill="1" applyBorder="1" applyAlignment="1">
      <alignment vertical="center"/>
    </xf>
    <xf numFmtId="37" fontId="2" fillId="3" borderId="21" xfId="2" applyNumberFormat="1" applyFill="1" applyBorder="1" applyAlignment="1">
      <alignment vertical="center"/>
    </xf>
    <xf numFmtId="37" fontId="2" fillId="3" borderId="10" xfId="2" applyNumberFormat="1" applyFill="1" applyBorder="1" applyAlignment="1">
      <alignment vertical="center"/>
    </xf>
    <xf numFmtId="2" fontId="2" fillId="0" borderId="7" xfId="3" applyNumberFormat="1" applyFont="1" applyFill="1" applyBorder="1" applyAlignment="1">
      <alignment horizontal="right" vertical="center"/>
    </xf>
    <xf numFmtId="2" fontId="2" fillId="2" borderId="0" xfId="3" applyNumberFormat="1" applyFont="1" applyFill="1" applyBorder="1" applyAlignment="1">
      <alignment horizontal="left"/>
    </xf>
    <xf numFmtId="0" fontId="73" fillId="0" borderId="0" xfId="278" applyFont="1"/>
    <xf numFmtId="0" fontId="2" fillId="0" borderId="0" xfId="278"/>
    <xf numFmtId="0" fontId="15" fillId="0" borderId="0" xfId="278" applyFont="1"/>
    <xf numFmtId="0" fontId="2" fillId="0" borderId="0" xfId="278" applyAlignment="1">
      <alignment horizontal="centerContinuous"/>
    </xf>
    <xf numFmtId="0" fontId="20" fillId="12" borderId="0" xfId="2" applyFont="1" applyFill="1" applyAlignment="1">
      <alignment horizontal="left"/>
    </xf>
    <xf numFmtId="0" fontId="2" fillId="47" borderId="47" xfId="2" applyFill="1" applyBorder="1"/>
    <xf numFmtId="0" fontId="2" fillId="47" borderId="63" xfId="2" applyFill="1" applyBorder="1"/>
    <xf numFmtId="202" fontId="2" fillId="5" borderId="66" xfId="2" applyNumberFormat="1" applyFill="1" applyBorder="1"/>
    <xf numFmtId="202" fontId="2" fillId="5" borderId="59" xfId="2" applyNumberFormat="1" applyFill="1" applyBorder="1"/>
    <xf numFmtId="0" fontId="35" fillId="2" borderId="3" xfId="2" applyFont="1" applyFill="1" applyBorder="1" applyAlignment="1">
      <alignment horizontal="center" vertical="center"/>
    </xf>
    <xf numFmtId="0" fontId="35" fillId="2" borderId="5" xfId="2" applyFont="1" applyFill="1" applyBorder="1" applyAlignment="1">
      <alignment horizontal="center" vertical="center"/>
    </xf>
    <xf numFmtId="180" fontId="2" fillId="0" borderId="49" xfId="5" applyNumberFormat="1" applyFont="1" applyBorder="1" applyAlignment="1">
      <alignment horizontal="right" vertical="center"/>
    </xf>
    <xf numFmtId="180" fontId="2" fillId="0" borderId="32" xfId="5" applyNumberFormat="1" applyFont="1" applyBorder="1" applyAlignment="1">
      <alignment horizontal="right" vertical="center"/>
    </xf>
    <xf numFmtId="6" fontId="2" fillId="0" borderId="45" xfId="5" applyNumberFormat="1" applyFont="1" applyBorder="1" applyAlignment="1">
      <alignment horizontal="right" vertical="center"/>
    </xf>
    <xf numFmtId="6" fontId="2" fillId="0" borderId="64" xfId="5" applyNumberFormat="1" applyFont="1" applyBorder="1" applyAlignment="1">
      <alignment horizontal="right" vertical="center"/>
    </xf>
    <xf numFmtId="6" fontId="2" fillId="0" borderId="49" xfId="5" applyNumberFormat="1" applyFont="1" applyBorder="1" applyAlignment="1">
      <alignment horizontal="right" vertical="center"/>
    </xf>
    <xf numFmtId="6" fontId="2" fillId="0" borderId="7" xfId="5" applyNumberFormat="1" applyFont="1" applyBorder="1" applyAlignment="1">
      <alignment horizontal="right" vertical="center"/>
    </xf>
    <xf numFmtId="165" fontId="2" fillId="2" borderId="79" xfId="2" applyNumberFormat="1" applyFill="1" applyBorder="1" applyAlignment="1">
      <alignment horizontal="centerContinuous" vertical="center"/>
    </xf>
    <xf numFmtId="165" fontId="2" fillId="2" borderId="15" xfId="2" applyNumberFormat="1" applyFill="1" applyBorder="1" applyAlignment="1">
      <alignment horizontal="centerContinuous" vertical="center"/>
    </xf>
    <xf numFmtId="164" fontId="2" fillId="2" borderId="15" xfId="2" applyNumberFormat="1" applyFill="1" applyBorder="1" applyAlignment="1">
      <alignment vertical="center"/>
    </xf>
    <xf numFmtId="165" fontId="2" fillId="2" borderId="19" xfId="2" applyNumberFormat="1" applyFill="1" applyBorder="1" applyAlignment="1">
      <alignment horizontal="centerContinuous" vertical="center"/>
    </xf>
    <xf numFmtId="0" fontId="2" fillId="2" borderId="20" xfId="2" applyFill="1" applyBorder="1" applyAlignment="1">
      <alignment vertical="center"/>
    </xf>
    <xf numFmtId="164" fontId="2" fillId="2" borderId="20" xfId="2" applyNumberFormat="1" applyFill="1" applyBorder="1" applyAlignment="1">
      <alignment vertical="center"/>
    </xf>
    <xf numFmtId="0" fontId="24" fillId="2" borderId="40" xfId="2" applyFont="1" applyFill="1" applyBorder="1"/>
    <xf numFmtId="37" fontId="2" fillId="5" borderId="57" xfId="2" applyNumberFormat="1" applyFill="1" applyBorder="1"/>
    <xf numFmtId="202" fontId="2" fillId="5" borderId="65" xfId="2" applyNumberFormat="1" applyFill="1" applyBorder="1"/>
    <xf numFmtId="0" fontId="61" fillId="2" borderId="40" xfId="2" applyFont="1" applyFill="1" applyBorder="1" applyAlignment="1">
      <alignment horizontal="right" vertical="center"/>
    </xf>
    <xf numFmtId="0" fontId="61" fillId="2" borderId="4" xfId="2" applyFont="1" applyFill="1" applyBorder="1" applyAlignment="1">
      <alignment horizontal="right" vertical="center"/>
    </xf>
    <xf numFmtId="0" fontId="61" fillId="2" borderId="6" xfId="2" applyFont="1" applyFill="1" applyBorder="1" applyAlignment="1">
      <alignment horizontal="right" vertical="center"/>
    </xf>
    <xf numFmtId="0" fontId="32" fillId="47" borderId="7" xfId="2" applyFont="1" applyFill="1" applyBorder="1" applyAlignment="1">
      <alignment horizontal="center"/>
    </xf>
    <xf numFmtId="0" fontId="140" fillId="0" borderId="0" xfId="2" applyFont="1"/>
    <xf numFmtId="0" fontId="24" fillId="0" borderId="0" xfId="2" applyFont="1" applyAlignment="1">
      <alignment horizontal="left" wrapText="1"/>
    </xf>
    <xf numFmtId="0" fontId="141" fillId="0" borderId="0" xfId="2" applyFont="1"/>
    <xf numFmtId="0" fontId="8" fillId="0" borderId="11" xfId="2" applyFont="1" applyBorder="1" applyAlignment="1">
      <alignment horizontal="left"/>
    </xf>
    <xf numFmtId="0" fontId="8" fillId="0" borderId="17" xfId="2" applyFont="1" applyBorder="1" applyAlignment="1">
      <alignment horizontal="left"/>
    </xf>
    <xf numFmtId="37" fontId="2" fillId="5" borderId="65" xfId="2" applyNumberFormat="1" applyFill="1" applyBorder="1"/>
    <xf numFmtId="37" fontId="2" fillId="5" borderId="66" xfId="2" applyNumberFormat="1" applyFill="1" applyBorder="1"/>
    <xf numFmtId="37" fontId="2" fillId="5" borderId="59" xfId="2" applyNumberFormat="1" applyFill="1" applyBorder="1"/>
    <xf numFmtId="37" fontId="2" fillId="12" borderId="22" xfId="2" applyNumberFormat="1" applyFill="1" applyBorder="1"/>
    <xf numFmtId="43" fontId="2" fillId="0" borderId="0" xfId="5" applyFont="1" applyFill="1" applyBorder="1" applyAlignment="1"/>
    <xf numFmtId="0" fontId="2" fillId="6" borderId="47" xfId="2" applyFill="1" applyBorder="1"/>
    <xf numFmtId="0" fontId="2" fillId="6" borderId="63" xfId="2" applyFill="1" applyBorder="1"/>
    <xf numFmtId="0" fontId="139" fillId="0" borderId="0" xfId="2" applyFont="1" applyAlignment="1">
      <alignment wrapText="1"/>
    </xf>
    <xf numFmtId="0" fontId="142" fillId="0" borderId="0" xfId="2" applyFont="1" applyAlignment="1">
      <alignment horizontal="centerContinuous" vertical="center"/>
    </xf>
    <xf numFmtId="0" fontId="139" fillId="0" borderId="0" xfId="2" applyFont="1"/>
    <xf numFmtId="0" fontId="139" fillId="0" borderId="11" xfId="2" applyFont="1" applyBorder="1"/>
    <xf numFmtId="0" fontId="139" fillId="0" borderId="0" xfId="2" applyFont="1" applyAlignment="1">
      <alignment vertical="center"/>
    </xf>
    <xf numFmtId="0" fontId="142" fillId="0" borderId="0" xfId="2" applyFont="1" applyAlignment="1">
      <alignment horizontal="center"/>
    </xf>
    <xf numFmtId="0" fontId="143" fillId="0" borderId="0" xfId="2" applyFont="1" applyAlignment="1">
      <alignment horizontal="center" wrapText="1"/>
    </xf>
    <xf numFmtId="3" fontId="144" fillId="0" borderId="0" xfId="2" quotePrefix="1" applyNumberFormat="1" applyFont="1" applyAlignment="1">
      <alignment horizontal="left" vertical="center"/>
    </xf>
    <xf numFmtId="0" fontId="65" fillId="2" borderId="3" xfId="2" applyFont="1" applyFill="1" applyBorder="1" applyAlignment="1">
      <alignment horizontal="left" vertical="center" indent="9"/>
    </xf>
    <xf numFmtId="0" fontId="65" fillId="2" borderId="0" xfId="2" applyFont="1" applyFill="1" applyAlignment="1">
      <alignment horizontal="left" vertical="center" indent="5"/>
    </xf>
    <xf numFmtId="0" fontId="141" fillId="0" borderId="17" xfId="2" applyFont="1" applyBorder="1"/>
    <xf numFmtId="4" fontId="2" fillId="5" borderId="49" xfId="5" applyNumberFormat="1" applyFont="1" applyFill="1" applyBorder="1" applyAlignment="1">
      <alignment horizontal="right" vertical="center"/>
    </xf>
    <xf numFmtId="4" fontId="2" fillId="5" borderId="29" xfId="5" applyNumberFormat="1" applyFont="1" applyFill="1" applyBorder="1" applyAlignment="1">
      <alignment horizontal="right" vertical="center"/>
    </xf>
    <xf numFmtId="4" fontId="2" fillId="5" borderId="72" xfId="5" applyNumberFormat="1" applyFont="1" applyFill="1" applyBorder="1" applyAlignment="1">
      <alignment horizontal="right" vertical="center"/>
    </xf>
    <xf numFmtId="4" fontId="2" fillId="5" borderId="15" xfId="5" applyNumberFormat="1" applyFont="1" applyFill="1" applyBorder="1" applyAlignment="1">
      <alignment horizontal="right" vertical="center"/>
    </xf>
    <xf numFmtId="172" fontId="2" fillId="0" borderId="99" xfId="3" applyNumberFormat="1" applyFont="1" applyBorder="1" applyAlignment="1">
      <alignment horizontal="right" vertical="center"/>
    </xf>
    <xf numFmtId="172" fontId="2" fillId="0" borderId="8" xfId="3" applyNumberFormat="1" applyFont="1" applyBorder="1" applyAlignment="1">
      <alignment horizontal="right" vertical="center"/>
    </xf>
    <xf numFmtId="37" fontId="2" fillId="0" borderId="22" xfId="2" applyNumberFormat="1" applyBorder="1" applyAlignment="1">
      <alignment vertical="center"/>
    </xf>
    <xf numFmtId="37" fontId="2" fillId="0" borderId="40" xfId="2" applyNumberFormat="1" applyBorder="1" applyAlignment="1">
      <alignment vertical="center"/>
    </xf>
    <xf numFmtId="185" fontId="2" fillId="0" borderId="0" xfId="2" applyNumberFormat="1" applyAlignment="1">
      <alignment vertical="center"/>
    </xf>
    <xf numFmtId="0" fontId="8" fillId="2" borderId="22" xfId="2" applyFont="1" applyFill="1" applyBorder="1" applyAlignment="1">
      <alignment horizontal="centerContinuous" vertical="center"/>
    </xf>
    <xf numFmtId="0" fontId="65" fillId="2" borderId="3" xfId="2" applyFont="1" applyFill="1" applyBorder="1" applyAlignment="1">
      <alignment horizontal="left" vertical="center" indent="6"/>
    </xf>
    <xf numFmtId="39" fontId="2" fillId="0" borderId="99" xfId="2" applyNumberFormat="1" applyBorder="1" applyAlignment="1">
      <alignment vertical="center"/>
    </xf>
    <xf numFmtId="39" fontId="2" fillId="0" borderId="100" xfId="2" applyNumberFormat="1" applyBorder="1" applyAlignment="1">
      <alignment vertical="center"/>
    </xf>
    <xf numFmtId="5" fontId="2" fillId="4" borderId="9" xfId="2" applyNumberFormat="1" applyFill="1" applyBorder="1" applyAlignment="1">
      <alignment vertical="center"/>
    </xf>
    <xf numFmtId="0" fontId="35" fillId="2" borderId="82" xfId="2" applyFont="1" applyFill="1" applyBorder="1" applyAlignment="1">
      <alignment horizontal="center" vertical="center"/>
    </xf>
    <xf numFmtId="5" fontId="2" fillId="0" borderId="101" xfId="2" applyNumberFormat="1" applyBorder="1" applyAlignment="1">
      <alignment vertical="center"/>
    </xf>
    <xf numFmtId="0" fontId="35" fillId="2" borderId="98" xfId="2" applyFont="1" applyFill="1" applyBorder="1" applyAlignment="1">
      <alignment horizontal="center" vertical="center"/>
    </xf>
    <xf numFmtId="0" fontId="8" fillId="2" borderId="27" xfId="2" applyFont="1" applyFill="1" applyBorder="1" applyAlignment="1">
      <alignment horizontal="centerContinuous" vertical="center"/>
    </xf>
    <xf numFmtId="179" fontId="2" fillId="0" borderId="7" xfId="5" applyNumberFormat="1" applyFont="1" applyFill="1" applyBorder="1" applyAlignment="1" applyProtection="1">
      <alignment vertical="center"/>
    </xf>
    <xf numFmtId="179" fontId="2" fillId="0" borderId="64" xfId="5" applyNumberFormat="1" applyFont="1" applyFill="1" applyBorder="1" applyAlignment="1" applyProtection="1">
      <alignment vertical="center"/>
    </xf>
    <xf numFmtId="179" fontId="2" fillId="0" borderId="69" xfId="5" applyNumberFormat="1" applyFont="1" applyFill="1" applyBorder="1" applyAlignment="1" applyProtection="1">
      <alignment vertical="center"/>
    </xf>
    <xf numFmtId="179" fontId="2" fillId="0" borderId="32" xfId="5" applyNumberFormat="1" applyFont="1" applyFill="1" applyBorder="1" applyAlignment="1" applyProtection="1">
      <alignment vertical="center"/>
    </xf>
    <xf numFmtId="179" fontId="2" fillId="0" borderId="78" xfId="5" applyNumberFormat="1" applyFont="1" applyFill="1" applyBorder="1" applyAlignment="1" applyProtection="1">
      <alignment vertical="center"/>
    </xf>
    <xf numFmtId="179" fontId="2" fillId="0" borderId="56" xfId="5" applyNumberFormat="1" applyFont="1" applyFill="1" applyBorder="1" applyAlignment="1" applyProtection="1">
      <alignment vertical="center"/>
    </xf>
    <xf numFmtId="0" fontId="24" fillId="2" borderId="22" xfId="2" applyFont="1" applyFill="1" applyBorder="1" applyAlignment="1">
      <alignment horizontal="centerContinuous" vertical="center"/>
    </xf>
    <xf numFmtId="0" fontId="24" fillId="2" borderId="2" xfId="2" applyFont="1" applyFill="1" applyBorder="1" applyAlignment="1">
      <alignment horizontal="centerContinuous" vertical="center"/>
    </xf>
    <xf numFmtId="0" fontId="24" fillId="2" borderId="3" xfId="2" applyFont="1" applyFill="1" applyBorder="1" applyAlignment="1">
      <alignment horizontal="center" vertical="center"/>
    </xf>
    <xf numFmtId="0" fontId="24" fillId="2" borderId="5" xfId="2" applyFont="1" applyFill="1" applyBorder="1" applyAlignment="1">
      <alignment horizontal="center" vertical="center"/>
    </xf>
    <xf numFmtId="0" fontId="24" fillId="2" borderId="34" xfId="2" applyFont="1" applyFill="1" applyBorder="1" applyAlignment="1">
      <alignment horizontal="center" vertical="center"/>
    </xf>
    <xf numFmtId="0" fontId="24" fillId="2" borderId="39" xfId="2" applyFont="1" applyFill="1" applyBorder="1" applyAlignment="1">
      <alignment horizontal="center" vertical="center"/>
    </xf>
    <xf numFmtId="0" fontId="24" fillId="2" borderId="76" xfId="2" applyFont="1" applyFill="1" applyBorder="1" applyAlignment="1">
      <alignment horizontal="center" vertical="center"/>
    </xf>
    <xf numFmtId="0" fontId="24" fillId="2" borderId="77" xfId="2" applyFont="1" applyFill="1" applyBorder="1" applyAlignment="1">
      <alignment horizontal="center" vertical="center"/>
    </xf>
    <xf numFmtId="165" fontId="2" fillId="2" borderId="14" xfId="2" applyNumberFormat="1" applyFill="1" applyBorder="1" applyAlignment="1">
      <alignment horizontal="left" vertical="center" indent="1"/>
    </xf>
    <xf numFmtId="165" fontId="2" fillId="2" borderId="20" xfId="2" applyNumberFormat="1" applyFill="1" applyBorder="1" applyAlignment="1">
      <alignment horizontal="left" vertical="center" indent="1"/>
    </xf>
    <xf numFmtId="6" fontId="2" fillId="0" borderId="69" xfId="5" applyNumberFormat="1" applyFont="1" applyBorder="1" applyAlignment="1">
      <alignment horizontal="right" vertical="center"/>
    </xf>
    <xf numFmtId="6" fontId="2" fillId="0" borderId="32" xfId="5" applyNumberFormat="1" applyFont="1" applyBorder="1" applyAlignment="1">
      <alignment horizontal="right" vertical="center"/>
    </xf>
    <xf numFmtId="9" fontId="2" fillId="5" borderId="49" xfId="279" applyFont="1" applyFill="1" applyBorder="1" applyAlignment="1">
      <alignment horizontal="right" vertical="center"/>
    </xf>
    <xf numFmtId="9" fontId="2" fillId="5" borderId="29" xfId="279" applyFont="1" applyFill="1" applyBorder="1" applyAlignment="1">
      <alignment horizontal="right" vertical="center"/>
    </xf>
    <xf numFmtId="9" fontId="2" fillId="5" borderId="72" xfId="279" applyFont="1" applyFill="1" applyBorder="1" applyAlignment="1">
      <alignment horizontal="right" vertical="center"/>
    </xf>
    <xf numFmtId="9" fontId="2" fillId="5" borderId="15" xfId="279" applyFont="1" applyFill="1" applyBorder="1" applyAlignment="1">
      <alignment horizontal="right" vertical="center"/>
    </xf>
    <xf numFmtId="0" fontId="63" fillId="0" borderId="0" xfId="2" applyFont="1" applyAlignment="1">
      <alignment horizontal="center"/>
    </xf>
    <xf numFmtId="6" fontId="2" fillId="0" borderId="49" xfId="5" applyNumberFormat="1" applyFont="1" applyFill="1" applyBorder="1" applyAlignment="1">
      <alignment horizontal="right" vertical="center"/>
    </xf>
    <xf numFmtId="179" fontId="2" fillId="0" borderId="45" xfId="5" applyNumberFormat="1" applyFont="1" applyFill="1" applyBorder="1" applyAlignment="1" applyProtection="1">
      <alignment horizontal="center" vertical="center"/>
    </xf>
    <xf numFmtId="179" fontId="2" fillId="0" borderId="54" xfId="5" applyNumberFormat="1" applyFont="1" applyFill="1" applyBorder="1" applyAlignment="1" applyProtection="1">
      <alignment vertical="center"/>
    </xf>
    <xf numFmtId="38" fontId="2" fillId="0" borderId="45" xfId="5" applyNumberFormat="1" applyFont="1" applyFill="1" applyBorder="1" applyAlignment="1">
      <alignment horizontal="right" vertical="center"/>
    </xf>
    <xf numFmtId="38" fontId="2" fillId="0" borderId="49" xfId="5" applyNumberFormat="1" applyFont="1" applyFill="1" applyBorder="1" applyAlignment="1">
      <alignment horizontal="right" vertical="center"/>
    </xf>
    <xf numFmtId="38" fontId="2" fillId="0" borderId="8" xfId="5" applyNumberFormat="1" applyFont="1" applyBorder="1" applyAlignment="1">
      <alignment horizontal="right" vertical="center"/>
    </xf>
    <xf numFmtId="180" fontId="2" fillId="0" borderId="41" xfId="5" applyNumberFormat="1" applyFont="1" applyFill="1" applyBorder="1" applyAlignment="1">
      <alignment horizontal="right" vertical="center"/>
    </xf>
    <xf numFmtId="180" fontId="2" fillId="0" borderId="43" xfId="5" applyNumberFormat="1" applyFont="1" applyFill="1" applyBorder="1" applyAlignment="1">
      <alignment horizontal="right" vertical="center"/>
    </xf>
    <xf numFmtId="172" fontId="2" fillId="0" borderId="10" xfId="3" applyNumberFormat="1" applyFont="1" applyBorder="1" applyAlignment="1">
      <alignment horizontal="right" vertical="center"/>
    </xf>
    <xf numFmtId="0" fontId="65" fillId="2" borderId="3" xfId="2" quotePrefix="1" applyFont="1" applyFill="1" applyBorder="1" applyAlignment="1">
      <alignment horizontal="centerContinuous" vertical="center"/>
    </xf>
    <xf numFmtId="172" fontId="2" fillId="5" borderId="45" xfId="3" applyNumberFormat="1" applyFont="1" applyFill="1" applyBorder="1" applyAlignment="1">
      <alignment horizontal="right" vertical="center"/>
    </xf>
    <xf numFmtId="172" fontId="2" fillId="5" borderId="24" xfId="3" applyNumberFormat="1" applyFont="1" applyFill="1" applyBorder="1" applyAlignment="1">
      <alignment horizontal="right" vertical="center"/>
    </xf>
    <xf numFmtId="172" fontId="2" fillId="5" borderId="54" xfId="3" applyNumberFormat="1" applyFont="1" applyFill="1" applyBorder="1" applyAlignment="1">
      <alignment horizontal="right" vertical="center"/>
    </xf>
    <xf numFmtId="172" fontId="2" fillId="5" borderId="62" xfId="3" applyNumberFormat="1" applyFont="1" applyFill="1" applyBorder="1" applyAlignment="1">
      <alignment horizontal="right" vertical="center"/>
    </xf>
    <xf numFmtId="204" fontId="2" fillId="5" borderId="45" xfId="3" applyNumberFormat="1" applyFont="1" applyFill="1" applyBorder="1" applyAlignment="1">
      <alignment horizontal="right" vertical="center"/>
    </xf>
    <xf numFmtId="204" fontId="2" fillId="5" borderId="24" xfId="3" applyNumberFormat="1" applyFont="1" applyFill="1" applyBorder="1" applyAlignment="1">
      <alignment horizontal="right" vertical="center"/>
    </xf>
    <xf numFmtId="204" fontId="2" fillId="5" borderId="54" xfId="3" applyNumberFormat="1" applyFont="1" applyFill="1" applyBorder="1" applyAlignment="1">
      <alignment horizontal="right" vertical="center"/>
    </xf>
    <xf numFmtId="204" fontId="2" fillId="5" borderId="62" xfId="3" applyNumberFormat="1" applyFont="1" applyFill="1" applyBorder="1" applyAlignment="1">
      <alignment horizontal="right" vertical="center"/>
    </xf>
    <xf numFmtId="8" fontId="2" fillId="0" borderId="45" xfId="5" applyNumberFormat="1" applyFont="1" applyBorder="1" applyAlignment="1">
      <alignment horizontal="right" vertical="center"/>
    </xf>
    <xf numFmtId="8" fontId="2" fillId="0" borderId="69" xfId="5" applyNumberFormat="1" applyFont="1" applyBorder="1" applyAlignment="1">
      <alignment horizontal="right" vertical="center"/>
    </xf>
    <xf numFmtId="8" fontId="2" fillId="0" borderId="49" xfId="5" applyNumberFormat="1" applyFont="1" applyBorder="1" applyAlignment="1">
      <alignment horizontal="right" vertical="center"/>
    </xf>
    <xf numFmtId="8" fontId="2" fillId="0" borderId="32" xfId="5" applyNumberFormat="1" applyFont="1" applyBorder="1" applyAlignment="1">
      <alignment horizontal="right" vertical="center"/>
    </xf>
    <xf numFmtId="5" fontId="2" fillId="0" borderId="20" xfId="2" applyNumberFormat="1" applyBorder="1" applyAlignment="1">
      <alignment vertical="center"/>
    </xf>
    <xf numFmtId="0" fontId="2" fillId="0" borderId="40" xfId="2" applyBorder="1" applyAlignment="1">
      <alignment horizontal="center" vertical="center"/>
    </xf>
    <xf numFmtId="5" fontId="2" fillId="0" borderId="46" xfId="2" applyNumberFormat="1" applyBorder="1" applyAlignment="1">
      <alignment vertical="center"/>
    </xf>
    <xf numFmtId="5" fontId="2" fillId="0" borderId="77" xfId="2" applyNumberFormat="1" applyBorder="1" applyAlignment="1">
      <alignment vertical="center"/>
    </xf>
    <xf numFmtId="0" fontId="2" fillId="2" borderId="14" xfId="2" applyFill="1" applyBorder="1" applyAlignment="1">
      <alignment horizontal="centerContinuous" vertical="center"/>
    </xf>
    <xf numFmtId="0" fontId="2" fillId="2" borderId="21" xfId="2" applyFill="1" applyBorder="1" applyAlignment="1">
      <alignment vertical="center"/>
    </xf>
    <xf numFmtId="37" fontId="2" fillId="12" borderId="0" xfId="2" applyNumberFormat="1" applyFill="1"/>
    <xf numFmtId="0" fontId="61" fillId="2" borderId="40" xfId="2" applyFont="1" applyFill="1" applyBorder="1" applyAlignment="1">
      <alignment horizontal="center" vertical="center"/>
    </xf>
    <xf numFmtId="0" fontId="65" fillId="2" borderId="76" xfId="2" applyFont="1" applyFill="1" applyBorder="1" applyAlignment="1">
      <alignment horizontal="centerContinuous" vertical="center"/>
    </xf>
    <xf numFmtId="0" fontId="35" fillId="2" borderId="76" xfId="2" applyFont="1" applyFill="1" applyBorder="1" applyAlignment="1">
      <alignment horizontal="center" vertical="center"/>
    </xf>
    <xf numFmtId="0" fontId="35" fillId="2" borderId="77" xfId="2" applyFont="1" applyFill="1" applyBorder="1" applyAlignment="1">
      <alignment horizontal="center" vertical="center"/>
    </xf>
    <xf numFmtId="0" fontId="2" fillId="12" borderId="0" xfId="2" applyFill="1" applyAlignment="1">
      <alignment vertical="center"/>
    </xf>
    <xf numFmtId="37" fontId="2" fillId="0" borderId="41" xfId="2" applyNumberFormat="1" applyBorder="1" applyAlignment="1">
      <alignment vertical="center"/>
    </xf>
    <xf numFmtId="37" fontId="2" fillId="0" borderId="43" xfId="2" applyNumberFormat="1" applyBorder="1" applyAlignment="1">
      <alignment vertical="center"/>
    </xf>
    <xf numFmtId="6" fontId="2" fillId="0" borderId="29" xfId="5" applyNumberFormat="1" applyFont="1" applyFill="1" applyBorder="1" applyAlignment="1">
      <alignment horizontal="right" vertical="center"/>
    </xf>
    <xf numFmtId="6" fontId="2" fillId="0" borderId="72" xfId="5" applyNumberFormat="1" applyFont="1" applyFill="1" applyBorder="1" applyAlignment="1">
      <alignment horizontal="right" vertical="center"/>
    </xf>
    <xf numFmtId="6" fontId="2" fillId="0" borderId="15" xfId="5" applyNumberFormat="1" applyFont="1" applyFill="1" applyBorder="1" applyAlignment="1">
      <alignment horizontal="right" vertical="center"/>
    </xf>
    <xf numFmtId="38" fontId="2" fillId="0" borderId="41" xfId="5" applyNumberFormat="1" applyFont="1" applyFill="1" applyBorder="1" applyAlignment="1" applyProtection="1">
      <alignment vertical="center"/>
    </xf>
    <xf numFmtId="38" fontId="2" fillId="0" borderId="43" xfId="5" applyNumberFormat="1" applyFont="1" applyFill="1" applyBorder="1" applyAlignment="1" applyProtection="1">
      <alignment vertical="center"/>
    </xf>
    <xf numFmtId="0" fontId="17" fillId="2" borderId="25" xfId="0" applyFont="1" applyFill="1" applyBorder="1" applyAlignment="1">
      <alignment horizontal="centerContinuous" vertical="center"/>
    </xf>
    <xf numFmtId="0" fontId="35" fillId="2" borderId="30" xfId="0" applyFont="1" applyFill="1" applyBorder="1" applyAlignment="1">
      <alignment horizontal="center" vertical="center"/>
    </xf>
    <xf numFmtId="0" fontId="35" fillId="2" borderId="38" xfId="0" applyFont="1" applyFill="1" applyBorder="1" applyAlignment="1">
      <alignment horizontal="center" vertical="center"/>
    </xf>
    <xf numFmtId="0" fontId="17" fillId="2" borderId="1" xfId="0" applyFont="1" applyFill="1" applyBorder="1" applyAlignment="1">
      <alignment horizontal="centerContinuous" vertical="center"/>
    </xf>
    <xf numFmtId="37" fontId="2" fillId="0" borderId="45" xfId="5" applyNumberFormat="1" applyFont="1" applyFill="1" applyBorder="1" applyAlignment="1" applyProtection="1">
      <alignment vertical="center"/>
    </xf>
    <xf numFmtId="37" fontId="2" fillId="0" borderId="64" xfId="5" applyNumberFormat="1" applyFont="1" applyFill="1" applyBorder="1" applyAlignment="1" applyProtection="1">
      <alignment vertical="center"/>
    </xf>
    <xf numFmtId="37" fontId="2" fillId="0" borderId="69" xfId="5" applyNumberFormat="1" applyFont="1" applyFill="1" applyBorder="1" applyAlignment="1" applyProtection="1">
      <alignment vertical="center"/>
    </xf>
    <xf numFmtId="37" fontId="2" fillId="0" borderId="54" xfId="5" applyNumberFormat="1" applyFont="1" applyFill="1" applyBorder="1" applyAlignment="1" applyProtection="1">
      <alignment vertical="center"/>
    </xf>
    <xf numFmtId="37" fontId="2" fillId="0" borderId="78" xfId="5" applyNumberFormat="1" applyFont="1" applyFill="1" applyBorder="1" applyAlignment="1" applyProtection="1">
      <alignment vertical="center"/>
    </xf>
    <xf numFmtId="37" fontId="2" fillId="0" borderId="56" xfId="5" applyNumberFormat="1" applyFont="1" applyFill="1" applyBorder="1" applyAlignment="1" applyProtection="1">
      <alignment vertical="center"/>
    </xf>
    <xf numFmtId="5" fontId="2" fillId="0" borderId="55" xfId="2" applyNumberFormat="1" applyBorder="1" applyAlignment="1">
      <alignment vertical="center"/>
    </xf>
    <xf numFmtId="38" fontId="2" fillId="0" borderId="46" xfId="5" applyNumberFormat="1" applyFont="1" applyBorder="1" applyAlignment="1">
      <alignment horizontal="right" vertical="center"/>
    </xf>
    <xf numFmtId="38" fontId="2" fillId="0" borderId="10" xfId="5" applyNumberFormat="1" applyFont="1" applyBorder="1" applyAlignment="1">
      <alignment horizontal="right" vertical="center"/>
    </xf>
    <xf numFmtId="38" fontId="2" fillId="0" borderId="64" xfId="5" applyNumberFormat="1" applyFont="1" applyBorder="1" applyAlignment="1">
      <alignment horizontal="right" vertical="center"/>
    </xf>
    <xf numFmtId="38" fontId="2" fillId="0" borderId="7" xfId="5" applyNumberFormat="1" applyFont="1" applyBorder="1" applyAlignment="1">
      <alignment horizontal="right" vertical="center"/>
    </xf>
    <xf numFmtId="38" fontId="2" fillId="0" borderId="24" xfId="5" applyNumberFormat="1" applyFont="1" applyBorder="1" applyAlignment="1">
      <alignment horizontal="right" vertical="center"/>
    </xf>
    <xf numFmtId="38" fontId="2" fillId="0" borderId="29" xfId="5" applyNumberFormat="1" applyFont="1" applyBorder="1" applyAlignment="1">
      <alignment horizontal="right" vertical="center"/>
    </xf>
    <xf numFmtId="6" fontId="2" fillId="0" borderId="46" xfId="5" applyNumberFormat="1" applyFont="1" applyBorder="1" applyAlignment="1">
      <alignment horizontal="right" vertical="center"/>
    </xf>
    <xf numFmtId="6" fontId="2" fillId="0" borderId="10" xfId="5" applyNumberFormat="1" applyFont="1" applyBorder="1" applyAlignment="1">
      <alignment horizontal="right" vertical="center"/>
    </xf>
    <xf numFmtId="6" fontId="2" fillId="0" borderId="24" xfId="5" applyNumberFormat="1" applyFont="1" applyBorder="1" applyAlignment="1">
      <alignment horizontal="right" vertical="center"/>
    </xf>
    <xf numFmtId="6" fontId="2" fillId="0" borderId="29" xfId="5" applyNumberFormat="1" applyFont="1" applyBorder="1" applyAlignment="1">
      <alignment horizontal="right" vertical="center"/>
    </xf>
    <xf numFmtId="38" fontId="2" fillId="0" borderId="47" xfId="5" applyNumberFormat="1" applyFont="1" applyBorder="1" applyAlignment="1">
      <alignment horizontal="right" vertical="center"/>
    </xf>
    <xf numFmtId="38" fontId="2" fillId="0" borderId="48" xfId="5" applyNumberFormat="1" applyFont="1" applyBorder="1" applyAlignment="1">
      <alignment horizontal="right" vertical="center"/>
    </xf>
    <xf numFmtId="0" fontId="61" fillId="2" borderId="0" xfId="2" applyFont="1" applyFill="1" applyAlignment="1">
      <alignment horizontal="left" vertical="center"/>
    </xf>
    <xf numFmtId="37" fontId="130" fillId="0" borderId="57" xfId="0" applyNumberFormat="1" applyFont="1" applyBorder="1"/>
    <xf numFmtId="37" fontId="130" fillId="10" borderId="57" xfId="0" applyNumberFormat="1" applyFont="1" applyFill="1" applyBorder="1"/>
    <xf numFmtId="172" fontId="50" fillId="12" borderId="0" xfId="2" applyNumberFormat="1" applyFont="1" applyFill="1" applyAlignment="1">
      <alignment horizontal="right" vertical="center"/>
    </xf>
    <xf numFmtId="0" fontId="17" fillId="2" borderId="2" xfId="2" applyFont="1" applyFill="1" applyBorder="1" applyAlignment="1">
      <alignment horizontal="centerContinuous" vertical="center"/>
    </xf>
    <xf numFmtId="164" fontId="8" fillId="0" borderId="0" xfId="2" applyNumberFormat="1" applyFont="1" applyAlignment="1">
      <alignment horizontal="centerContinuous" vertical="center"/>
    </xf>
    <xf numFmtId="10" fontId="64" fillId="0" borderId="0" xfId="2" applyNumberFormat="1" applyFont="1" applyAlignment="1">
      <alignment vertical="center"/>
    </xf>
    <xf numFmtId="0" fontId="15" fillId="0" borderId="0" xfId="2" applyFont="1" applyAlignment="1">
      <alignment horizontal="center" vertical="center" wrapText="1"/>
    </xf>
    <xf numFmtId="0" fontId="147" fillId="0" borderId="0" xfId="0" applyFont="1"/>
    <xf numFmtId="0" fontId="0" fillId="0" borderId="0" xfId="0" applyAlignment="1">
      <alignment horizontal="centerContinuous"/>
    </xf>
    <xf numFmtId="0" fontId="148" fillId="67" borderId="22" xfId="0" applyFont="1" applyFill="1" applyBorder="1" applyAlignment="1">
      <alignment horizontal="centerContinuous"/>
    </xf>
    <xf numFmtId="0" fontId="148" fillId="67" borderId="2" xfId="0" applyFont="1" applyFill="1" applyBorder="1" applyAlignment="1">
      <alignment horizontal="centerContinuous"/>
    </xf>
    <xf numFmtId="0" fontId="148" fillId="67" borderId="1" xfId="0" applyFont="1" applyFill="1" applyBorder="1" applyAlignment="1">
      <alignment horizontal="centerContinuous"/>
    </xf>
    <xf numFmtId="0" fontId="148" fillId="67" borderId="0" xfId="0" applyFont="1" applyFill="1" applyAlignment="1">
      <alignment horizontal="centerContinuous"/>
    </xf>
    <xf numFmtId="0" fontId="148" fillId="67" borderId="4" xfId="0" applyFont="1" applyFill="1" applyBorder="1" applyAlignment="1">
      <alignment horizontal="centerContinuous"/>
    </xf>
    <xf numFmtId="0" fontId="148" fillId="67" borderId="3" xfId="0" applyFont="1" applyFill="1" applyBorder="1" applyAlignment="1">
      <alignment horizontal="centerContinuous"/>
    </xf>
    <xf numFmtId="0" fontId="139" fillId="67" borderId="102" xfId="2" applyFont="1" applyFill="1" applyBorder="1" applyAlignment="1">
      <alignment horizontal="center" vertical="center"/>
    </xf>
    <xf numFmtId="0" fontId="139" fillId="67" borderId="6" xfId="2" applyFont="1" applyFill="1" applyBorder="1" applyAlignment="1">
      <alignment horizontal="center" vertical="center" wrapText="1"/>
    </xf>
    <xf numFmtId="0" fontId="139" fillId="67" borderId="5" xfId="2" applyFont="1" applyFill="1" applyBorder="1" applyAlignment="1">
      <alignment horizontal="center" vertical="center"/>
    </xf>
    <xf numFmtId="0" fontId="149" fillId="0" borderId="0" xfId="2" applyFont="1" applyAlignment="1">
      <alignment horizontal="centerContinuous"/>
    </xf>
    <xf numFmtId="0" fontId="142" fillId="0" borderId="0" xfId="2" applyFont="1" applyAlignment="1">
      <alignment horizontal="centerContinuous"/>
    </xf>
    <xf numFmtId="0" fontId="150" fillId="0" borderId="0" xfId="2" applyFont="1" applyAlignment="1">
      <alignment horizontal="centerContinuous" vertical="center"/>
    </xf>
    <xf numFmtId="164" fontId="150" fillId="0" borderId="0" xfId="2" quotePrefix="1" applyNumberFormat="1" applyFont="1" applyAlignment="1">
      <alignment horizontal="centerContinuous" vertical="center"/>
    </xf>
    <xf numFmtId="0" fontId="151" fillId="0" borderId="0" xfId="2" applyFont="1" applyAlignment="1">
      <alignment horizontal="centerContinuous"/>
    </xf>
    <xf numFmtId="0" fontId="149" fillId="0" borderId="0" xfId="2" applyFont="1" applyAlignment="1">
      <alignment horizontal="centerContinuous" vertical="center"/>
    </xf>
    <xf numFmtId="0" fontId="152" fillId="0" borderId="0" xfId="2" applyFont="1" applyAlignment="1">
      <alignment horizontal="centerContinuous"/>
    </xf>
    <xf numFmtId="0" fontId="146" fillId="67" borderId="1" xfId="2" applyFont="1" applyFill="1" applyBorder="1" applyAlignment="1">
      <alignment horizontal="centerContinuous"/>
    </xf>
    <xf numFmtId="0" fontId="146" fillId="67" borderId="22" xfId="2" applyFont="1" applyFill="1" applyBorder="1" applyAlignment="1">
      <alignment horizontal="centerContinuous"/>
    </xf>
    <xf numFmtId="0" fontId="146" fillId="67" borderId="2" xfId="2" applyFont="1" applyFill="1" applyBorder="1" applyAlignment="1">
      <alignment horizontal="centerContinuous"/>
    </xf>
    <xf numFmtId="0" fontId="139" fillId="67" borderId="3" xfId="2" applyFont="1" applyFill="1" applyBorder="1" applyAlignment="1">
      <alignment horizontal="center" vertical="center" wrapText="1"/>
    </xf>
    <xf numFmtId="0" fontId="139" fillId="67" borderId="0" xfId="2" applyFont="1" applyFill="1" applyAlignment="1">
      <alignment horizontal="center" vertical="center" wrapText="1"/>
    </xf>
    <xf numFmtId="0" fontId="139" fillId="67" borderId="4" xfId="2" applyFont="1" applyFill="1" applyBorder="1" applyAlignment="1">
      <alignment horizontal="center" vertical="center" wrapText="1"/>
    </xf>
    <xf numFmtId="0" fontId="139" fillId="67" borderId="40" xfId="2" applyFont="1" applyFill="1" applyBorder="1" applyAlignment="1">
      <alignment horizontal="center" vertical="center"/>
    </xf>
    <xf numFmtId="0" fontId="139" fillId="67" borderId="6" xfId="2" applyFont="1" applyFill="1" applyBorder="1" applyAlignment="1">
      <alignment horizontal="center" vertical="center"/>
    </xf>
    <xf numFmtId="0" fontId="140" fillId="67" borderId="23" xfId="2" applyFont="1" applyFill="1" applyBorder="1" applyAlignment="1">
      <alignment vertical="center"/>
    </xf>
    <xf numFmtId="0" fontId="146" fillId="67" borderId="1" xfId="2" applyFont="1" applyFill="1" applyBorder="1" applyAlignment="1">
      <alignment horizontal="centerContinuous" vertical="center"/>
    </xf>
    <xf numFmtId="0" fontId="140" fillId="67" borderId="27" xfId="2" applyFont="1" applyFill="1" applyBorder="1"/>
    <xf numFmtId="0" fontId="93" fillId="67" borderId="3" xfId="2" applyFont="1" applyFill="1" applyBorder="1" applyAlignment="1">
      <alignment horizontal="centerContinuous" vertical="center"/>
    </xf>
    <xf numFmtId="0" fontId="139" fillId="67" borderId="36" xfId="2" applyFont="1" applyFill="1" applyBorder="1" applyAlignment="1">
      <alignment horizontal="center" vertical="center"/>
    </xf>
    <xf numFmtId="0" fontId="153" fillId="67" borderId="5" xfId="2" applyFont="1" applyFill="1" applyBorder="1" applyAlignment="1">
      <alignment horizontal="center" vertical="center"/>
    </xf>
    <xf numFmtId="0" fontId="140" fillId="67" borderId="1" xfId="2" applyFont="1" applyFill="1" applyBorder="1" applyAlignment="1">
      <alignment vertical="center"/>
    </xf>
    <xf numFmtId="0" fontId="140" fillId="67" borderId="3" xfId="2" applyFont="1" applyFill="1" applyBorder="1"/>
    <xf numFmtId="38" fontId="2" fillId="5" borderId="9" xfId="5" applyNumberFormat="1" applyFont="1" applyFill="1" applyBorder="1" applyAlignment="1">
      <alignment horizontal="right" vertical="center"/>
    </xf>
    <xf numFmtId="38" fontId="2" fillId="0" borderId="99" xfId="5" applyNumberFormat="1" applyFont="1" applyBorder="1" applyAlignment="1">
      <alignment horizontal="right" vertical="center"/>
    </xf>
    <xf numFmtId="180" fontId="2" fillId="0" borderId="59" xfId="5" applyNumberFormat="1" applyFont="1" applyFill="1" applyBorder="1" applyAlignment="1">
      <alignment horizontal="right" vertical="center"/>
    </xf>
    <xf numFmtId="38" fontId="2" fillId="0" borderId="80" xfId="5" applyNumberFormat="1" applyFont="1" applyFill="1" applyBorder="1" applyAlignment="1">
      <alignment horizontal="right" vertical="center"/>
    </xf>
    <xf numFmtId="38" fontId="2" fillId="0" borderId="69" xfId="5" applyNumberFormat="1" applyFont="1" applyFill="1" applyBorder="1" applyAlignment="1">
      <alignment horizontal="right" vertical="center"/>
    </xf>
    <xf numFmtId="0" fontId="17" fillId="2" borderId="23" xfId="2" applyFont="1" applyFill="1" applyBorder="1" applyAlignment="1">
      <alignment horizontal="centerContinuous" vertical="center"/>
    </xf>
    <xf numFmtId="0" fontId="65" fillId="2" borderId="27" xfId="2" applyFont="1" applyFill="1" applyBorder="1" applyAlignment="1">
      <alignment horizontal="centerContinuous" vertical="center"/>
    </xf>
    <xf numFmtId="0" fontId="35" fillId="2" borderId="27" xfId="2" applyFont="1" applyFill="1" applyBorder="1" applyAlignment="1">
      <alignment horizontal="centerContinuous" vertical="center"/>
    </xf>
    <xf numFmtId="0" fontId="2" fillId="12" borderId="23" xfId="2" applyFill="1" applyBorder="1" applyAlignment="1">
      <alignment vertical="center"/>
    </xf>
    <xf numFmtId="0" fontId="17" fillId="12" borderId="22" xfId="2" applyFont="1" applyFill="1" applyBorder="1" applyAlignment="1">
      <alignment horizontal="centerContinuous" vertical="center"/>
    </xf>
    <xf numFmtId="0" fontId="2" fillId="12" borderId="2" xfId="2" applyFill="1" applyBorder="1" applyAlignment="1">
      <alignment horizontal="centerContinuous" vertical="center"/>
    </xf>
    <xf numFmtId="0" fontId="17" fillId="12" borderId="23" xfId="2" applyFont="1" applyFill="1" applyBorder="1" applyAlignment="1">
      <alignment horizontal="centerContinuous" vertical="center"/>
    </xf>
    <xf numFmtId="0" fontId="2" fillId="12" borderId="27" xfId="2" applyFill="1" applyBorder="1"/>
    <xf numFmtId="0" fontId="65" fillId="12" borderId="0" xfId="2" applyFont="1" applyFill="1" applyAlignment="1">
      <alignment horizontal="centerContinuous" vertical="center"/>
    </xf>
    <xf numFmtId="0" fontId="65" fillId="12" borderId="4" xfId="2" quotePrefix="1" applyFont="1" applyFill="1" applyBorder="1" applyAlignment="1">
      <alignment horizontal="centerContinuous" vertical="center"/>
    </xf>
    <xf numFmtId="0" fontId="65" fillId="12" borderId="3" xfId="2" applyFont="1" applyFill="1" applyBorder="1" applyAlignment="1">
      <alignment horizontal="centerContinuous" vertical="center"/>
    </xf>
    <xf numFmtId="0" fontId="65" fillId="12" borderId="3" xfId="2" applyFont="1" applyFill="1" applyBorder="1" applyAlignment="1">
      <alignment horizontal="left" vertical="center" indent="9"/>
    </xf>
    <xf numFmtId="0" fontId="65" fillId="12" borderId="4" xfId="2" applyFont="1" applyFill="1" applyBorder="1" applyAlignment="1">
      <alignment horizontal="centerContinuous" vertical="center"/>
    </xf>
    <xf numFmtId="0" fontId="65" fillId="12" borderId="0" xfId="2" applyFont="1" applyFill="1" applyAlignment="1">
      <alignment horizontal="left" vertical="center" indent="5"/>
    </xf>
    <xf numFmtId="0" fontId="65" fillId="12" borderId="3" xfId="2" applyFont="1" applyFill="1" applyBorder="1" applyAlignment="1">
      <alignment horizontal="left" vertical="center" indent="6"/>
    </xf>
    <xf numFmtId="0" fontId="65" fillId="12" borderId="27" xfId="2" applyFont="1" applyFill="1" applyBorder="1" applyAlignment="1">
      <alignment horizontal="centerContinuous" vertical="center"/>
    </xf>
    <xf numFmtId="0" fontId="15" fillId="12" borderId="27" xfId="2" applyFont="1" applyFill="1" applyBorder="1" applyAlignment="1">
      <alignment horizontal="center" vertical="center"/>
    </xf>
    <xf numFmtId="0" fontId="35" fillId="12" borderId="0" xfId="2" applyFont="1" applyFill="1" applyAlignment="1">
      <alignment horizontal="center" vertical="center"/>
    </xf>
    <xf numFmtId="0" fontId="35" fillId="12" borderId="34" xfId="2" applyFont="1" applyFill="1" applyBorder="1" applyAlignment="1">
      <alignment horizontal="center" vertical="center"/>
    </xf>
    <xf numFmtId="0" fontId="35" fillId="12" borderId="0" xfId="2" applyFont="1" applyFill="1" applyAlignment="1">
      <alignment horizontal="centerContinuous" vertical="center"/>
    </xf>
    <xf numFmtId="0" fontId="35" fillId="12" borderId="27" xfId="2" applyFont="1" applyFill="1" applyBorder="1" applyAlignment="1">
      <alignment horizontal="center" vertical="center"/>
    </xf>
    <xf numFmtId="0" fontId="66" fillId="12" borderId="36" xfId="2" applyFont="1" applyFill="1" applyBorder="1" applyAlignment="1">
      <alignment vertical="center"/>
    </xf>
    <xf numFmtId="0" fontId="35" fillId="12" borderId="40" xfId="2" applyFont="1" applyFill="1" applyBorder="1" applyAlignment="1">
      <alignment horizontal="center" vertical="center"/>
    </xf>
    <xf numFmtId="0" fontId="35" fillId="12" borderId="39" xfId="2" applyFont="1" applyFill="1" applyBorder="1" applyAlignment="1">
      <alignment horizontal="center" vertical="center"/>
    </xf>
    <xf numFmtId="0" fontId="35" fillId="12" borderId="36" xfId="2" applyFont="1" applyFill="1" applyBorder="1" applyAlignment="1">
      <alignment horizontal="center" vertical="center"/>
    </xf>
    <xf numFmtId="0" fontId="35" fillId="12" borderId="6" xfId="2" applyFont="1" applyFill="1" applyBorder="1" applyAlignment="1">
      <alignment horizontal="center" vertical="center"/>
    </xf>
    <xf numFmtId="37" fontId="2" fillId="0" borderId="99" xfId="2" quotePrefix="1" applyNumberFormat="1" applyBorder="1" applyAlignment="1">
      <alignment horizontal="right" vertical="center"/>
    </xf>
    <xf numFmtId="37" fontId="2" fillId="0" borderId="47" xfId="2" quotePrefix="1" applyNumberFormat="1" applyBorder="1" applyAlignment="1">
      <alignment vertical="center"/>
    </xf>
    <xf numFmtId="37" fontId="2" fillId="0" borderId="63" xfId="2" applyNumberFormat="1" applyBorder="1" applyAlignment="1">
      <alignment vertical="center"/>
    </xf>
    <xf numFmtId="0" fontId="17" fillId="12" borderId="2" xfId="2" applyFont="1" applyFill="1" applyBorder="1" applyAlignment="1">
      <alignment horizontal="centerContinuous" vertical="center"/>
    </xf>
    <xf numFmtId="204" fontId="2" fillId="5" borderId="45" xfId="3" quotePrefix="1" applyNumberFormat="1" applyFont="1" applyFill="1" applyBorder="1" applyAlignment="1">
      <alignment horizontal="right" vertical="center"/>
    </xf>
    <xf numFmtId="164" fontId="61" fillId="2" borderId="71" xfId="2" applyNumberFormat="1" applyFont="1" applyFill="1" applyBorder="1" applyAlignment="1">
      <alignment horizontal="left" vertical="center"/>
    </xf>
    <xf numFmtId="5" fontId="2" fillId="0" borderId="47" xfId="2" applyNumberFormat="1" applyBorder="1" applyAlignment="1">
      <alignment horizontal="right" vertical="center"/>
    </xf>
    <xf numFmtId="37" fontId="2" fillId="0" borderId="100" xfId="2" applyNumberFormat="1" applyBorder="1" applyAlignment="1">
      <alignment horizontal="right" vertical="center"/>
    </xf>
    <xf numFmtId="5" fontId="2" fillId="0" borderId="63" xfId="2" applyNumberFormat="1" applyBorder="1" applyAlignment="1">
      <alignment horizontal="right" vertical="center"/>
    </xf>
    <xf numFmtId="0" fontId="0" fillId="12" borderId="5" xfId="0" applyFill="1" applyBorder="1"/>
    <xf numFmtId="0" fontId="0" fillId="12" borderId="40" xfId="0" applyFill="1" applyBorder="1"/>
    <xf numFmtId="0" fontId="0" fillId="12" borderId="6" xfId="0" applyFill="1" applyBorder="1"/>
    <xf numFmtId="0" fontId="0" fillId="12" borderId="2" xfId="0" applyFill="1" applyBorder="1"/>
    <xf numFmtId="0" fontId="0" fillId="12" borderId="1" xfId="0" applyFill="1" applyBorder="1"/>
    <xf numFmtId="0" fontId="0" fillId="12" borderId="22" xfId="0" applyFill="1" applyBorder="1"/>
    <xf numFmtId="0" fontId="24" fillId="12" borderId="22" xfId="2" applyFont="1" applyFill="1" applyBorder="1" applyAlignment="1">
      <alignment horizontal="center" wrapText="1"/>
    </xf>
    <xf numFmtId="0" fontId="0" fillId="12" borderId="4" xfId="0" applyFill="1" applyBorder="1"/>
    <xf numFmtId="0" fontId="24" fillId="0" borderId="40" xfId="2" applyFont="1" applyBorder="1" applyAlignment="1">
      <alignment horizontal="center" wrapText="1"/>
    </xf>
    <xf numFmtId="0" fontId="24" fillId="0" borderId="5" xfId="2" applyFont="1" applyBorder="1" applyAlignment="1">
      <alignment horizontal="center" wrapText="1"/>
    </xf>
    <xf numFmtId="164" fontId="2" fillId="3" borderId="8" xfId="2" applyNumberFormat="1" applyFill="1" applyBorder="1" applyAlignment="1">
      <alignment vertical="center"/>
    </xf>
    <xf numFmtId="0" fontId="0" fillId="0" borderId="7" xfId="0" applyBorder="1"/>
    <xf numFmtId="164" fontId="61" fillId="2" borderId="0" xfId="2" applyNumberFormat="1" applyFont="1" applyFill="1" applyAlignment="1">
      <alignment horizontal="left" vertical="center" indent="3"/>
    </xf>
    <xf numFmtId="0" fontId="0" fillId="12" borderId="0" xfId="0" applyFill="1"/>
    <xf numFmtId="0" fontId="2" fillId="3" borderId="10" xfId="2" applyFill="1" applyBorder="1" applyAlignment="1">
      <alignment horizontal="left" vertical="center"/>
    </xf>
    <xf numFmtId="164" fontId="2" fillId="3" borderId="10" xfId="2" applyNumberFormat="1" applyFill="1" applyBorder="1" applyAlignment="1">
      <alignment horizontal="left" vertical="center"/>
    </xf>
    <xf numFmtId="0" fontId="2" fillId="3" borderId="8" xfId="2" applyFill="1" applyBorder="1" applyAlignment="1">
      <alignment vertical="center"/>
    </xf>
    <xf numFmtId="0" fontId="61" fillId="2" borderId="40" xfId="2" applyFont="1" applyFill="1" applyBorder="1" applyAlignment="1">
      <alignment vertical="center"/>
    </xf>
    <xf numFmtId="40" fontId="2" fillId="5" borderId="49" xfId="5" applyNumberFormat="1" applyFont="1" applyFill="1" applyBorder="1" applyAlignment="1">
      <alignment horizontal="right" vertical="center"/>
    </xf>
    <xf numFmtId="40" fontId="2" fillId="5" borderId="29" xfId="5" applyNumberFormat="1" applyFont="1" applyFill="1" applyBorder="1" applyAlignment="1">
      <alignment horizontal="right" vertical="center"/>
    </xf>
    <xf numFmtId="40" fontId="2" fillId="5" borderId="72" xfId="5" applyNumberFormat="1" applyFont="1" applyFill="1" applyBorder="1" applyAlignment="1">
      <alignment horizontal="right" vertical="center"/>
    </xf>
    <xf numFmtId="40" fontId="2" fillId="5" borderId="15" xfId="5" applyNumberFormat="1" applyFont="1" applyFill="1" applyBorder="1" applyAlignment="1">
      <alignment horizontal="right" vertical="center"/>
    </xf>
    <xf numFmtId="172" fontId="2" fillId="5" borderId="49" xfId="279" applyNumberFormat="1" applyFont="1" applyFill="1" applyBorder="1" applyAlignment="1">
      <alignment horizontal="right" vertical="center"/>
    </xf>
    <xf numFmtId="172" fontId="2" fillId="5" borderId="29" xfId="279" applyNumberFormat="1" applyFont="1" applyFill="1" applyBorder="1" applyAlignment="1">
      <alignment horizontal="right" vertical="center"/>
    </xf>
    <xf numFmtId="172" fontId="2" fillId="5" borderId="72" xfId="279" applyNumberFormat="1" applyFont="1" applyFill="1" applyBorder="1" applyAlignment="1">
      <alignment horizontal="right" vertical="center"/>
    </xf>
    <xf numFmtId="172" fontId="2" fillId="5" borderId="15" xfId="279" applyNumberFormat="1" applyFont="1" applyFill="1" applyBorder="1" applyAlignment="1">
      <alignment horizontal="right" vertical="center"/>
    </xf>
    <xf numFmtId="4" fontId="2" fillId="68" borderId="49" xfId="5" applyNumberFormat="1" applyFont="1" applyFill="1" applyBorder="1" applyAlignment="1">
      <alignment horizontal="right" vertical="center"/>
    </xf>
    <xf numFmtId="4" fontId="2" fillId="68" borderId="29" xfId="5" applyNumberFormat="1" applyFont="1" applyFill="1" applyBorder="1" applyAlignment="1">
      <alignment horizontal="right" vertical="center"/>
    </xf>
    <xf numFmtId="4" fontId="2" fillId="68" borderId="72" xfId="5" applyNumberFormat="1" applyFont="1" applyFill="1" applyBorder="1" applyAlignment="1">
      <alignment horizontal="right" vertical="center"/>
    </xf>
    <xf numFmtId="4" fontId="2" fillId="68" borderId="15" xfId="5" applyNumberFormat="1" applyFont="1" applyFill="1" applyBorder="1" applyAlignment="1">
      <alignment horizontal="right" vertical="center"/>
    </xf>
    <xf numFmtId="40" fontId="2" fillId="68" borderId="45" xfId="5" applyNumberFormat="1" applyFont="1" applyFill="1" applyBorder="1" applyAlignment="1">
      <alignment horizontal="right" vertical="center"/>
    </xf>
    <xf numFmtId="40" fontId="2" fillId="68" borderId="69" xfId="5" applyNumberFormat="1" applyFont="1" applyFill="1" applyBorder="1" applyAlignment="1">
      <alignment horizontal="right" vertical="center"/>
    </xf>
    <xf numFmtId="40" fontId="2" fillId="68" borderId="49" xfId="5" applyNumberFormat="1" applyFont="1" applyFill="1" applyBorder="1" applyAlignment="1">
      <alignment horizontal="right" vertical="center"/>
    </xf>
    <xf numFmtId="40" fontId="2" fillId="68" borderId="32" xfId="5" applyNumberFormat="1" applyFont="1" applyFill="1" applyBorder="1" applyAlignment="1">
      <alignment horizontal="right" vertical="center"/>
    </xf>
    <xf numFmtId="0" fontId="154" fillId="0" borderId="0" xfId="0" applyFont="1" applyAlignment="1">
      <alignment vertical="center"/>
    </xf>
    <xf numFmtId="170" fontId="2" fillId="0" borderId="47" xfId="5" applyNumberFormat="1" applyFont="1" applyFill="1" applyBorder="1" applyAlignment="1" applyProtection="1">
      <alignment vertical="center"/>
    </xf>
    <xf numFmtId="170" fontId="2" fillId="0" borderId="63" xfId="5" applyNumberFormat="1" applyFont="1" applyFill="1" applyBorder="1" applyAlignment="1" applyProtection="1">
      <alignment vertical="center"/>
    </xf>
    <xf numFmtId="0" fontId="18" fillId="4" borderId="22" xfId="2" applyFont="1" applyFill="1" applyBorder="1" applyAlignment="1">
      <alignment horizontal="center" vertical="center"/>
    </xf>
    <xf numFmtId="0" fontId="2" fillId="4" borderId="0" xfId="2" applyFill="1" applyAlignment="1">
      <alignment vertical="center"/>
    </xf>
    <xf numFmtId="0" fontId="15" fillId="4" borderId="0" xfId="2" applyFont="1" applyFill="1" applyAlignment="1">
      <alignment horizontal="center" vertical="center"/>
    </xf>
    <xf numFmtId="0" fontId="15" fillId="4" borderId="40" xfId="2" applyFont="1" applyFill="1" applyBorder="1" applyAlignment="1">
      <alignment horizontal="center" vertical="center"/>
    </xf>
    <xf numFmtId="0" fontId="35" fillId="2" borderId="27" xfId="2" applyFont="1" applyFill="1" applyBorder="1" applyAlignment="1">
      <alignment horizontal="center" vertical="center"/>
    </xf>
    <xf numFmtId="5" fontId="2" fillId="0" borderId="44" xfId="2" applyNumberFormat="1" applyBorder="1" applyAlignment="1">
      <alignment vertical="center"/>
    </xf>
    <xf numFmtId="5" fontId="2" fillId="0" borderId="47" xfId="5" applyNumberFormat="1" applyFont="1" applyBorder="1" applyAlignment="1">
      <alignment horizontal="right" vertical="center"/>
    </xf>
    <xf numFmtId="5" fontId="2" fillId="0" borderId="48" xfId="5" applyNumberFormat="1" applyFont="1" applyBorder="1" applyAlignment="1">
      <alignment horizontal="right" vertical="center"/>
    </xf>
    <xf numFmtId="0" fontId="139" fillId="67" borderId="102" xfId="2" applyFont="1" applyFill="1" applyBorder="1" applyAlignment="1">
      <alignment horizontal="center" vertical="center" wrapText="1"/>
    </xf>
    <xf numFmtId="10" fontId="15" fillId="47" borderId="57" xfId="11" applyNumberFormat="1" applyFont="1" applyFill="1" applyBorder="1" applyAlignment="1">
      <alignment horizontal="center"/>
    </xf>
    <xf numFmtId="10" fontId="2" fillId="47" borderId="47" xfId="11" applyNumberFormat="1" applyFont="1" applyFill="1" applyBorder="1" applyAlignment="1">
      <alignment horizontal="center"/>
    </xf>
    <xf numFmtId="10" fontId="2" fillId="47" borderId="48" xfId="11" applyNumberFormat="1" applyFont="1" applyFill="1" applyBorder="1" applyAlignment="1">
      <alignment horizontal="center"/>
    </xf>
    <xf numFmtId="10" fontId="2" fillId="47" borderId="63" xfId="11" applyNumberFormat="1" applyFont="1" applyFill="1" applyBorder="1" applyAlignment="1">
      <alignment horizontal="center"/>
    </xf>
    <xf numFmtId="3" fontId="2" fillId="47" borderId="45" xfId="2" applyNumberFormat="1" applyFill="1" applyBorder="1" applyAlignment="1">
      <alignment vertical="center"/>
    </xf>
    <xf numFmtId="3" fontId="2" fillId="47" borderId="64" xfId="2" applyNumberFormat="1" applyFill="1" applyBorder="1" applyAlignment="1">
      <alignment vertical="center"/>
    </xf>
    <xf numFmtId="3" fontId="2" fillId="0" borderId="64" xfId="2" applyNumberFormat="1" applyBorder="1" applyAlignment="1">
      <alignment vertical="center"/>
    </xf>
    <xf numFmtId="3" fontId="2" fillId="0" borderId="69" xfId="2" applyNumberFormat="1" applyBorder="1" applyAlignment="1">
      <alignment vertical="center"/>
    </xf>
    <xf numFmtId="3" fontId="2" fillId="47" borderId="49" xfId="2" applyNumberFormat="1" applyFill="1" applyBorder="1" applyAlignment="1">
      <alignment vertical="center"/>
    </xf>
    <xf numFmtId="3" fontId="2" fillId="47" borderId="7" xfId="2" applyNumberFormat="1" applyFill="1" applyBorder="1" applyAlignment="1">
      <alignment vertical="center"/>
    </xf>
    <xf numFmtId="3" fontId="2" fillId="0" borderId="7" xfId="2" applyNumberFormat="1" applyBorder="1" applyAlignment="1">
      <alignment vertical="center"/>
    </xf>
    <xf numFmtId="3" fontId="2" fillId="0" borderId="32" xfId="2" applyNumberFormat="1" applyBorder="1" applyAlignment="1">
      <alignment vertical="center"/>
    </xf>
    <xf numFmtId="3" fontId="2" fillId="47" borderId="54" xfId="2" applyNumberFormat="1" applyFill="1" applyBorder="1" applyAlignment="1">
      <alignment vertical="center"/>
    </xf>
    <xf numFmtId="3" fontId="2" fillId="47" borderId="78" xfId="2" applyNumberFormat="1" applyFill="1" applyBorder="1" applyAlignment="1">
      <alignment vertical="center"/>
    </xf>
    <xf numFmtId="3" fontId="2" fillId="0" borderId="78" xfId="2" applyNumberFormat="1" applyBorder="1" applyAlignment="1">
      <alignment vertical="center"/>
    </xf>
    <xf numFmtId="3" fontId="2" fillId="0" borderId="56" xfId="2" applyNumberFormat="1" applyBorder="1" applyAlignment="1">
      <alignment vertical="center"/>
    </xf>
    <xf numFmtId="3" fontId="15" fillId="47" borderId="57" xfId="2" applyNumberFormat="1" applyFont="1" applyFill="1" applyBorder="1" applyAlignment="1">
      <alignment vertical="center"/>
    </xf>
    <xf numFmtId="3" fontId="15" fillId="0" borderId="57" xfId="2" applyNumberFormat="1" applyFont="1" applyBorder="1" applyAlignment="1">
      <alignment vertical="center"/>
    </xf>
    <xf numFmtId="0" fontId="61" fillId="0" borderId="0" xfId="2" applyFont="1" applyAlignment="1">
      <alignment horizontal="centerContinuous" vertical="center"/>
    </xf>
    <xf numFmtId="180" fontId="2" fillId="5" borderId="45" xfId="5" applyNumberFormat="1" applyFont="1" applyFill="1" applyBorder="1" applyAlignment="1">
      <alignment horizontal="right" vertical="center"/>
    </xf>
    <xf numFmtId="180" fontId="2" fillId="5" borderId="69" xfId="5" applyNumberFormat="1" applyFont="1" applyFill="1" applyBorder="1" applyAlignment="1">
      <alignment horizontal="right" vertical="center"/>
    </xf>
    <xf numFmtId="180" fontId="2" fillId="5" borderId="54" xfId="5" applyNumberFormat="1" applyFont="1" applyFill="1" applyBorder="1" applyAlignment="1">
      <alignment horizontal="right" vertical="center"/>
    </xf>
    <xf numFmtId="180" fontId="2" fillId="5" borderId="56" xfId="5" applyNumberFormat="1" applyFont="1" applyFill="1" applyBorder="1" applyAlignment="1">
      <alignment horizontal="right" vertical="center"/>
    </xf>
    <xf numFmtId="37" fontId="2" fillId="0" borderId="47" xfId="5" applyNumberFormat="1" applyFont="1" applyFill="1" applyBorder="1" applyAlignment="1" applyProtection="1">
      <alignment vertical="center"/>
    </xf>
    <xf numFmtId="0" fontId="155" fillId="0" borderId="0" xfId="2" applyFont="1" applyAlignment="1">
      <alignment horizontal="center"/>
    </xf>
    <xf numFmtId="0" fontId="155" fillId="0" borderId="0" xfId="2" applyFont="1" applyAlignment="1">
      <alignment horizontal="center" vertical="top"/>
    </xf>
    <xf numFmtId="0" fontId="63" fillId="0" borderId="0" xfId="2" applyFont="1"/>
    <xf numFmtId="0" fontId="62" fillId="0" borderId="0" xfId="2" applyFont="1"/>
    <xf numFmtId="10" fontId="24" fillId="0" borderId="0" xfId="2" applyNumberFormat="1" applyFont="1" applyAlignment="1">
      <alignment horizontal="center" wrapText="1"/>
    </xf>
    <xf numFmtId="0" fontId="145" fillId="0" borderId="0" xfId="2" applyFont="1" applyAlignment="1">
      <alignment horizontal="centerContinuous"/>
    </xf>
    <xf numFmtId="4" fontId="2" fillId="47" borderId="47" xfId="2" applyNumberFormat="1" applyFill="1" applyBorder="1"/>
    <xf numFmtId="4" fontId="2" fillId="47" borderId="48" xfId="2" applyNumberFormat="1" applyFill="1" applyBorder="1"/>
    <xf numFmtId="4" fontId="2" fillId="47" borderId="63" xfId="2" applyNumberFormat="1" applyFill="1" applyBorder="1"/>
    <xf numFmtId="0" fontId="8" fillId="2" borderId="43" xfId="2" applyFont="1" applyFill="1" applyBorder="1"/>
    <xf numFmtId="0" fontId="2" fillId="2" borderId="15" xfId="2" applyFill="1" applyBorder="1" applyAlignment="1">
      <alignment horizontal="center" vertical="center"/>
    </xf>
    <xf numFmtId="165" fontId="2" fillId="2" borderId="20" xfId="2" applyNumberFormat="1" applyFill="1" applyBorder="1" applyAlignment="1">
      <alignment horizontal="center" vertical="center"/>
    </xf>
    <xf numFmtId="165" fontId="25" fillId="2" borderId="15" xfId="2" applyNumberFormat="1" applyFont="1" applyFill="1" applyBorder="1" applyAlignment="1">
      <alignment horizontal="center" vertical="center"/>
    </xf>
    <xf numFmtId="165" fontId="2" fillId="2" borderId="20" xfId="2" applyNumberFormat="1" applyFill="1" applyBorder="1" applyAlignment="1">
      <alignment vertical="center"/>
    </xf>
    <xf numFmtId="165" fontId="2" fillId="2" borderId="21" xfId="2" applyNumberFormat="1" applyFill="1" applyBorder="1" applyAlignment="1">
      <alignment vertical="center"/>
    </xf>
    <xf numFmtId="165" fontId="25" fillId="2" borderId="14" xfId="2" applyNumberFormat="1" applyFont="1" applyFill="1" applyBorder="1" applyAlignment="1">
      <alignment horizontal="centerContinuous" vertical="center"/>
    </xf>
    <xf numFmtId="0" fontId="61" fillId="2" borderId="40" xfId="2" applyFont="1" applyFill="1" applyBorder="1"/>
    <xf numFmtId="164" fontId="2" fillId="3" borderId="10" xfId="2" applyNumberFormat="1" applyFill="1" applyBorder="1" applyAlignment="1">
      <alignment vertical="center"/>
    </xf>
    <xf numFmtId="0" fontId="61" fillId="2" borderId="40" xfId="2" quotePrefix="1" applyFont="1" applyFill="1" applyBorder="1" applyAlignment="1">
      <alignment vertical="center"/>
    </xf>
    <xf numFmtId="0" fontId="61" fillId="2" borderId="40" xfId="2" applyFont="1" applyFill="1" applyBorder="1" applyAlignment="1">
      <alignment horizontal="center"/>
    </xf>
    <xf numFmtId="0" fontId="57" fillId="0" borderId="0" xfId="0" applyFont="1"/>
    <xf numFmtId="165" fontId="2" fillId="0" borderId="0" xfId="0" applyNumberFormat="1" applyFont="1"/>
    <xf numFmtId="37" fontId="2" fillId="0" borderId="0" xfId="0" applyNumberFormat="1" applyFont="1"/>
    <xf numFmtId="164" fontId="2" fillId="0" borderId="0" xfId="0" applyNumberFormat="1" applyFont="1"/>
    <xf numFmtId="164" fontId="58" fillId="0" borderId="0" xfId="0" applyNumberFormat="1" applyFont="1" applyAlignment="1">
      <alignment horizontal="left" vertical="center"/>
    </xf>
    <xf numFmtId="0" fontId="2" fillId="0" borderId="0" xfId="0" applyFont="1" applyAlignment="1">
      <alignment vertical="center"/>
    </xf>
    <xf numFmtId="164" fontId="2" fillId="0" borderId="0" xfId="0" applyNumberFormat="1" applyFont="1" applyAlignment="1">
      <alignment vertical="center"/>
    </xf>
    <xf numFmtId="0" fontId="2" fillId="0" borderId="40" xfId="0" applyFont="1" applyBorder="1" applyAlignment="1">
      <alignment vertical="center"/>
    </xf>
    <xf numFmtId="164" fontId="2" fillId="0" borderId="40" xfId="0" applyNumberFormat="1" applyFont="1" applyBorder="1" applyAlignment="1">
      <alignment vertical="center"/>
    </xf>
    <xf numFmtId="164" fontId="59" fillId="2" borderId="1" xfId="0" applyNumberFormat="1" applyFont="1" applyFill="1" applyBorder="1" applyAlignment="1">
      <alignment horizontal="left" vertical="center"/>
    </xf>
    <xf numFmtId="0" fontId="2" fillId="2" borderId="22" xfId="0" applyFont="1" applyFill="1" applyBorder="1"/>
    <xf numFmtId="0" fontId="2" fillId="2" borderId="22" xfId="0" applyFont="1" applyFill="1" applyBorder="1" applyAlignment="1">
      <alignment vertical="center"/>
    </xf>
    <xf numFmtId="164" fontId="2" fillId="2" borderId="22" xfId="0" applyNumberFormat="1" applyFont="1" applyFill="1" applyBorder="1" applyAlignment="1">
      <alignment vertical="center"/>
    </xf>
    <xf numFmtId="0" fontId="2" fillId="2" borderId="2" xfId="0" applyFont="1" applyFill="1" applyBorder="1" applyAlignment="1">
      <alignment vertical="center"/>
    </xf>
    <xf numFmtId="164" fontId="59" fillId="0" borderId="0" xfId="0" applyNumberFormat="1" applyFont="1" applyAlignment="1">
      <alignment horizontal="left" vertical="center"/>
    </xf>
    <xf numFmtId="165" fontId="2" fillId="2" borderId="14" xfId="0" applyNumberFormat="1" applyFont="1" applyFill="1" applyBorder="1" applyAlignment="1">
      <alignment horizontal="centerContinuous" vertical="center"/>
    </xf>
    <xf numFmtId="0" fontId="2" fillId="2" borderId="15" xfId="0" applyFont="1" applyFill="1" applyBorder="1" applyAlignment="1">
      <alignment horizontal="centerContinuous" vertical="center"/>
    </xf>
    <xf numFmtId="165" fontId="25" fillId="2" borderId="15" xfId="0" applyNumberFormat="1" applyFont="1" applyFill="1" applyBorder="1" applyAlignment="1">
      <alignment horizontal="centerContinuous" vertical="center"/>
    </xf>
    <xf numFmtId="165" fontId="2" fillId="2" borderId="16" xfId="0" applyNumberFormat="1" applyFont="1" applyFill="1" applyBorder="1" applyAlignment="1">
      <alignment horizontal="centerContinuous" vertical="center"/>
    </xf>
    <xf numFmtId="164" fontId="61" fillId="2" borderId="3" xfId="0" applyNumberFormat="1" applyFont="1" applyFill="1" applyBorder="1" applyAlignment="1">
      <alignment horizontal="left" vertical="center"/>
    </xf>
    <xf numFmtId="0" fontId="2" fillId="2" borderId="0" xfId="0" applyFont="1" applyFill="1"/>
    <xf numFmtId="0" fontId="2" fillId="2" borderId="0" xfId="0" applyFont="1" applyFill="1" applyAlignment="1">
      <alignment vertical="center"/>
    </xf>
    <xf numFmtId="164" fontId="2" fillId="2" borderId="0" xfId="0" applyNumberFormat="1" applyFont="1" applyFill="1" applyAlignment="1">
      <alignment vertical="center"/>
    </xf>
    <xf numFmtId="0" fontId="2" fillId="3" borderId="8" xfId="0" applyFont="1" applyFill="1" applyBorder="1" applyAlignment="1">
      <alignment horizontal="left" vertical="center"/>
    </xf>
    <xf numFmtId="164" fontId="2" fillId="3" borderId="10" xfId="0" applyNumberFormat="1" applyFont="1" applyFill="1" applyBorder="1"/>
    <xf numFmtId="0" fontId="2" fillId="3" borderId="9" xfId="0" applyFont="1" applyFill="1" applyBorder="1" applyAlignment="1">
      <alignment vertical="center"/>
    </xf>
    <xf numFmtId="0" fontId="2" fillId="3" borderId="10" xfId="0" applyFont="1" applyFill="1" applyBorder="1"/>
    <xf numFmtId="0" fontId="2" fillId="2" borderId="4" xfId="0" applyFont="1" applyFill="1" applyBorder="1" applyAlignment="1">
      <alignment vertical="center"/>
    </xf>
    <xf numFmtId="164" fontId="60" fillId="0" borderId="0" xfId="0" applyNumberFormat="1" applyFont="1" applyAlignment="1">
      <alignment horizontal="left" vertical="center"/>
    </xf>
    <xf numFmtId="0" fontId="2" fillId="2" borderId="19" xfId="0" applyFont="1" applyFill="1" applyBorder="1" applyAlignment="1">
      <alignment vertical="center"/>
    </xf>
    <xf numFmtId="165" fontId="2" fillId="2" borderId="20" xfId="0" applyNumberFormat="1" applyFont="1" applyFill="1" applyBorder="1" applyAlignment="1">
      <alignment horizontal="centerContinuous" vertical="center"/>
    </xf>
    <xf numFmtId="165" fontId="2" fillId="2" borderId="21" xfId="0" applyNumberFormat="1" applyFont="1" applyFill="1" applyBorder="1" applyAlignment="1">
      <alignment horizontal="centerContinuous" vertical="center"/>
    </xf>
    <xf numFmtId="164" fontId="2" fillId="3" borderId="28" xfId="0" applyNumberFormat="1" applyFont="1" applyFill="1" applyBorder="1" applyAlignment="1">
      <alignment horizontal="left" vertical="center"/>
    </xf>
    <xf numFmtId="164" fontId="2" fillId="3" borderId="9" xfId="0" applyNumberFormat="1" applyFont="1" applyFill="1" applyBorder="1" applyAlignment="1">
      <alignment vertical="center"/>
    </xf>
    <xf numFmtId="0" fontId="2" fillId="3" borderId="10" xfId="0" applyFont="1" applyFill="1" applyBorder="1" applyAlignment="1">
      <alignment vertical="center"/>
    </xf>
    <xf numFmtId="164" fontId="61" fillId="2" borderId="0" xfId="0" applyNumberFormat="1" applyFont="1" applyFill="1" applyAlignment="1">
      <alignment horizontal="left" vertical="center"/>
    </xf>
    <xf numFmtId="0" fontId="61" fillId="2" borderId="0" xfId="0" applyFont="1" applyFill="1" applyAlignment="1">
      <alignment horizontal="right" vertical="center"/>
    </xf>
    <xf numFmtId="0" fontId="2" fillId="2" borderId="15" xfId="0" applyFont="1" applyFill="1" applyBorder="1" applyAlignment="1">
      <alignment vertical="center"/>
    </xf>
    <xf numFmtId="164" fontId="2" fillId="0" borderId="0" xfId="0" applyNumberFormat="1" applyFont="1" applyAlignment="1">
      <alignment horizontal="left" vertical="center"/>
    </xf>
    <xf numFmtId="164" fontId="61" fillId="0" borderId="0" xfId="0" applyNumberFormat="1" applyFont="1" applyAlignment="1">
      <alignment horizontal="left" vertical="center"/>
    </xf>
    <xf numFmtId="0" fontId="61" fillId="0" borderId="0" xfId="0" applyFont="1" applyAlignment="1">
      <alignment horizontal="right" vertical="center"/>
    </xf>
    <xf numFmtId="165" fontId="2" fillId="12" borderId="71" xfId="0" applyNumberFormat="1" applyFont="1" applyFill="1" applyBorder="1"/>
    <xf numFmtId="165" fontId="2" fillId="12" borderId="15" xfId="0" applyNumberFormat="1" applyFont="1" applyFill="1" applyBorder="1"/>
    <xf numFmtId="37" fontId="2" fillId="12" borderId="15" xfId="0" applyNumberFormat="1" applyFont="1" applyFill="1" applyBorder="1"/>
    <xf numFmtId="164" fontId="61" fillId="2" borderId="5" xfId="0" quotePrefix="1" applyNumberFormat="1" applyFont="1" applyFill="1" applyBorder="1" applyAlignment="1">
      <alignment horizontal="left" vertical="center"/>
    </xf>
    <xf numFmtId="0" fontId="2" fillId="2" borderId="40" xfId="0" applyFont="1" applyFill="1" applyBorder="1" applyAlignment="1">
      <alignment vertical="center"/>
    </xf>
    <xf numFmtId="164" fontId="61" fillId="2" borderId="40" xfId="0" quotePrefix="1" applyNumberFormat="1" applyFont="1" applyFill="1" applyBorder="1" applyAlignment="1">
      <alignment horizontal="left" vertical="center"/>
    </xf>
    <xf numFmtId="0" fontId="61" fillId="2" borderId="40" xfId="0" applyFont="1" applyFill="1" applyBorder="1" applyAlignment="1">
      <alignment horizontal="left" vertical="center"/>
    </xf>
    <xf numFmtId="0" fontId="2" fillId="2" borderId="40" xfId="0" applyFont="1" applyFill="1" applyBorder="1"/>
    <xf numFmtId="0" fontId="2" fillId="2" borderId="6" xfId="0" applyFont="1" applyFill="1" applyBorder="1"/>
    <xf numFmtId="164" fontId="61" fillId="0" borderId="0" xfId="0" quotePrefix="1" applyNumberFormat="1" applyFont="1" applyAlignment="1">
      <alignment horizontal="left" vertical="center"/>
    </xf>
    <xf numFmtId="0" fontId="61" fillId="0" borderId="0" xfId="0" applyFont="1" applyAlignment="1">
      <alignment horizontal="left" vertical="center"/>
    </xf>
    <xf numFmtId="0" fontId="2" fillId="0" borderId="0" xfId="0" applyFont="1" applyAlignment="1">
      <alignment horizontal="center"/>
    </xf>
    <xf numFmtId="0" fontId="62" fillId="0" borderId="0" xfId="0" applyFont="1" applyAlignment="1">
      <alignment horizontal="centerContinuous"/>
    </xf>
    <xf numFmtId="0" fontId="63" fillId="0" borderId="0" xfId="0" applyFont="1" applyAlignment="1">
      <alignment horizontal="centerContinuous" vertical="center"/>
    </xf>
    <xf numFmtId="164" fontId="63" fillId="0" borderId="0" xfId="0" quotePrefix="1" applyNumberFormat="1" applyFont="1" applyAlignment="1">
      <alignment horizontal="centerContinuous" vertical="center"/>
    </xf>
    <xf numFmtId="0" fontId="63" fillId="0" borderId="0" xfId="0" applyFont="1" applyAlignment="1">
      <alignment horizontal="centerContinuous"/>
    </xf>
    <xf numFmtId="164" fontId="63" fillId="0" borderId="0" xfId="0" quotePrefix="1" applyNumberFormat="1" applyFont="1" applyAlignment="1">
      <alignment vertical="center"/>
    </xf>
    <xf numFmtId="164" fontId="15" fillId="0" borderId="0" xfId="0" quotePrefix="1" applyNumberFormat="1" applyFont="1" applyAlignment="1">
      <alignment horizontal="center" vertical="center"/>
    </xf>
    <xf numFmtId="164" fontId="2" fillId="0" borderId="0" xfId="0" quotePrefix="1" applyNumberFormat="1" applyFont="1" applyAlignment="1">
      <alignment horizontal="left" vertical="center"/>
    </xf>
    <xf numFmtId="0" fontId="2" fillId="0" borderId="0" xfId="0" applyFont="1" applyAlignment="1">
      <alignment horizontal="left" vertical="center"/>
    </xf>
    <xf numFmtId="0" fontId="2" fillId="0" borderId="0" xfId="0" applyFont="1" applyAlignment="1">
      <alignment horizontal="right" vertical="center"/>
    </xf>
    <xf numFmtId="0" fontId="64" fillId="0" borderId="0" xfId="0" applyFont="1" applyAlignment="1">
      <alignment vertical="center"/>
    </xf>
    <xf numFmtId="205" fontId="2" fillId="0" borderId="0" xfId="0" applyNumberFormat="1" applyFont="1" applyAlignment="1">
      <alignment vertical="center"/>
    </xf>
    <xf numFmtId="164" fontId="8" fillId="0" borderId="0" xfId="0" applyNumberFormat="1" applyFont="1" applyAlignment="1">
      <alignment vertical="center"/>
    </xf>
    <xf numFmtId="0" fontId="15" fillId="0" borderId="0" xfId="0" applyFont="1" applyAlignment="1">
      <alignment vertical="center"/>
    </xf>
    <xf numFmtId="0" fontId="15" fillId="0" borderId="0" xfId="0" applyFont="1"/>
    <xf numFmtId="0" fontId="2" fillId="2" borderId="23" xfId="0" applyFont="1" applyFill="1" applyBorder="1" applyAlignment="1">
      <alignment vertical="center"/>
    </xf>
    <xf numFmtId="0" fontId="2" fillId="2" borderId="2" xfId="0" applyFont="1" applyFill="1" applyBorder="1" applyAlignment="1">
      <alignment horizontal="centerContinuous" vertical="center"/>
    </xf>
    <xf numFmtId="0" fontId="2" fillId="2" borderId="22" xfId="0" applyFont="1" applyFill="1" applyBorder="1" applyAlignment="1">
      <alignment horizontal="centerContinuous" vertical="center"/>
    </xf>
    <xf numFmtId="0" fontId="8" fillId="2" borderId="2" xfId="0" applyFont="1" applyFill="1" applyBorder="1" applyAlignment="1">
      <alignment horizontal="centerContinuous" vertical="center"/>
    </xf>
    <xf numFmtId="0" fontId="18" fillId="4" borderId="1" xfId="0" applyFont="1" applyFill="1" applyBorder="1" applyAlignment="1">
      <alignment horizontal="center" vertical="center"/>
    </xf>
    <xf numFmtId="0" fontId="2" fillId="4" borderId="23" xfId="0" applyFont="1" applyFill="1" applyBorder="1" applyAlignment="1">
      <alignment vertical="center"/>
    </xf>
    <xf numFmtId="0" fontId="24" fillId="2" borderId="23" xfId="0" applyFont="1" applyFill="1" applyBorder="1" applyAlignment="1">
      <alignment horizontal="centerContinuous" vertical="center"/>
    </xf>
    <xf numFmtId="0" fontId="15" fillId="4" borderId="23" xfId="0" applyFont="1" applyFill="1" applyBorder="1" applyAlignment="1">
      <alignment horizontal="center" vertical="center"/>
    </xf>
    <xf numFmtId="0" fontId="15" fillId="0" borderId="27" xfId="0" applyFont="1" applyBorder="1" applyAlignment="1">
      <alignment horizontal="center" vertical="center"/>
    </xf>
    <xf numFmtId="0" fontId="24" fillId="0" borderId="0" xfId="0" applyFont="1" applyAlignment="1">
      <alignment horizontal="centerContinuous" vertical="center"/>
    </xf>
    <xf numFmtId="0" fontId="2" fillId="2" borderId="27" xfId="0" applyFont="1" applyFill="1" applyBorder="1"/>
    <xf numFmtId="0" fontId="65" fillId="2" borderId="4" xfId="0" quotePrefix="1" applyFont="1" applyFill="1" applyBorder="1" applyAlignment="1">
      <alignment horizontal="centerContinuous" vertical="center"/>
    </xf>
    <xf numFmtId="0" fontId="65" fillId="2" borderId="0" xfId="0" quotePrefix="1" applyFont="1" applyFill="1" applyAlignment="1">
      <alignment horizontal="centerContinuous" vertical="center"/>
    </xf>
    <xf numFmtId="0" fontId="17" fillId="2" borderId="3" xfId="0" applyFont="1" applyFill="1" applyBorder="1" applyAlignment="1">
      <alignment horizontal="centerContinuous" vertical="center"/>
    </xf>
    <xf numFmtId="0" fontId="65" fillId="2" borderId="3" xfId="0" applyFont="1" applyFill="1" applyBorder="1" applyAlignment="1">
      <alignment horizontal="centerContinuous" vertical="center"/>
    </xf>
    <xf numFmtId="0" fontId="2" fillId="4" borderId="3" xfId="0" applyFont="1" applyFill="1" applyBorder="1" applyAlignment="1">
      <alignment vertical="center"/>
    </xf>
    <xf numFmtId="0" fontId="2" fillId="4" borderId="27" xfId="0" applyFont="1" applyFill="1" applyBorder="1" applyAlignment="1">
      <alignment vertical="center"/>
    </xf>
    <xf numFmtId="0" fontId="15" fillId="4" borderId="27" xfId="0" applyFont="1" applyFill="1" applyBorder="1" applyAlignment="1">
      <alignment horizontal="center" vertical="center"/>
    </xf>
    <xf numFmtId="0" fontId="15" fillId="2" borderId="27" xfId="0" applyFont="1" applyFill="1" applyBorder="1" applyAlignment="1">
      <alignment horizontal="center" vertical="center"/>
    </xf>
    <xf numFmtId="0" fontId="35" fillId="2" borderId="0" xfId="0" applyFont="1" applyFill="1" applyAlignment="1">
      <alignment horizontal="center" vertical="center"/>
    </xf>
    <xf numFmtId="0" fontId="15" fillId="4" borderId="3" xfId="0" applyFont="1" applyFill="1" applyBorder="1" applyAlignment="1">
      <alignment horizontal="center" vertical="center"/>
    </xf>
    <xf numFmtId="0" fontId="24" fillId="0" borderId="0" xfId="0" applyFont="1" applyAlignment="1">
      <alignment horizontal="center" vertical="center"/>
    </xf>
    <xf numFmtId="0" fontId="66" fillId="2" borderId="36" xfId="0" applyFont="1" applyFill="1" applyBorder="1" applyAlignment="1">
      <alignment vertical="center"/>
    </xf>
    <xf numFmtId="0" fontId="35" fillId="2" borderId="40" xfId="0" applyFont="1" applyFill="1" applyBorder="1" applyAlignment="1">
      <alignment horizontal="center" vertical="center"/>
    </xf>
    <xf numFmtId="0" fontId="15" fillId="4" borderId="5" xfId="0" applyFont="1" applyFill="1" applyBorder="1" applyAlignment="1">
      <alignment horizontal="center" vertical="center"/>
    </xf>
    <xf numFmtId="0" fontId="15" fillId="4" borderId="36" xfId="0" applyFont="1" applyFill="1" applyBorder="1" applyAlignment="1">
      <alignment horizontal="center" vertical="center"/>
    </xf>
    <xf numFmtId="180" fontId="2" fillId="5" borderId="49" xfId="5" applyNumberFormat="1" applyFont="1" applyFill="1" applyBorder="1" applyAlignment="1">
      <alignment horizontal="right" vertical="center"/>
    </xf>
    <xf numFmtId="180" fontId="2" fillId="5" borderId="29" xfId="5" applyNumberFormat="1" applyFont="1" applyFill="1" applyBorder="1" applyAlignment="1">
      <alignment horizontal="right" vertical="center"/>
    </xf>
    <xf numFmtId="205" fontId="2" fillId="7" borderId="49" xfId="5" applyNumberFormat="1" applyFont="1" applyFill="1" applyBorder="1" applyAlignment="1">
      <alignment horizontal="right" vertical="center"/>
    </xf>
    <xf numFmtId="205" fontId="2" fillId="7" borderId="29" xfId="5" applyNumberFormat="1" applyFont="1" applyFill="1" applyBorder="1" applyAlignment="1">
      <alignment horizontal="right" vertical="center"/>
    </xf>
    <xf numFmtId="3" fontId="2" fillId="0" borderId="68" xfId="0" quotePrefix="1" applyNumberFormat="1" applyFont="1" applyBorder="1" applyAlignment="1">
      <alignment vertical="center"/>
    </xf>
    <xf numFmtId="3" fontId="2" fillId="0" borderId="69" xfId="0" applyNumberFormat="1" applyFont="1" applyBorder="1" applyAlignment="1">
      <alignment vertical="center"/>
    </xf>
    <xf numFmtId="5" fontId="2" fillId="4" borderId="28" xfId="0" applyNumberFormat="1" applyFont="1" applyFill="1" applyBorder="1" applyAlignment="1">
      <alignment vertical="center"/>
    </xf>
    <xf numFmtId="37" fontId="2" fillId="0" borderId="0" xfId="5" applyNumberFormat="1" applyFont="1" applyFill="1" applyBorder="1" applyAlignment="1" applyProtection="1">
      <alignment vertical="center"/>
    </xf>
    <xf numFmtId="38" fontId="2" fillId="5" borderId="56" xfId="5" applyNumberFormat="1" applyFont="1" applyFill="1" applyBorder="1" applyAlignment="1">
      <alignment horizontal="right" vertical="center"/>
    </xf>
    <xf numFmtId="3" fontId="2" fillId="0" borderId="54" xfId="0" quotePrefix="1" applyNumberFormat="1" applyFont="1" applyBorder="1" applyAlignment="1">
      <alignment vertical="center"/>
    </xf>
    <xf numFmtId="3" fontId="2" fillId="0" borderId="56" xfId="0" applyNumberFormat="1" applyFont="1" applyBorder="1" applyAlignment="1">
      <alignment vertical="center"/>
    </xf>
    <xf numFmtId="169" fontId="2" fillId="0" borderId="42" xfId="0" applyNumberFormat="1" applyFont="1" applyBorder="1" applyAlignment="1">
      <alignment horizontal="center" vertical="center"/>
    </xf>
    <xf numFmtId="3" fontId="2" fillId="0" borderId="42" xfId="0" applyNumberFormat="1" applyFont="1" applyBorder="1" applyAlignment="1">
      <alignment vertical="center"/>
    </xf>
    <xf numFmtId="37" fontId="2" fillId="0" borderId="42" xfId="0" applyNumberFormat="1" applyFont="1" applyBorder="1" applyAlignment="1">
      <alignment vertical="center"/>
    </xf>
    <xf numFmtId="205" fontId="2" fillId="7" borderId="42" xfId="5" applyNumberFormat="1" applyFont="1" applyFill="1" applyBorder="1" applyAlignment="1">
      <alignment horizontal="right" vertical="center"/>
    </xf>
    <xf numFmtId="38" fontId="2" fillId="7" borderId="42" xfId="5" applyNumberFormat="1" applyFont="1" applyFill="1" applyBorder="1" applyAlignment="1">
      <alignment horizontal="right" vertical="center"/>
    </xf>
    <xf numFmtId="180" fontId="2" fillId="0" borderId="45" xfId="5" applyNumberFormat="1" applyFont="1" applyBorder="1" applyAlignment="1">
      <alignment horizontal="right" vertical="center"/>
    </xf>
    <xf numFmtId="180" fontId="2" fillId="0" borderId="69" xfId="5" applyNumberFormat="1" applyFont="1" applyBorder="1" applyAlignment="1">
      <alignment horizontal="right" vertical="center"/>
    </xf>
    <xf numFmtId="3" fontId="2" fillId="0" borderId="45" xfId="0" quotePrefix="1" applyNumberFormat="1" applyFont="1" applyBorder="1" applyAlignment="1">
      <alignment vertical="center"/>
    </xf>
    <xf numFmtId="3" fontId="2" fillId="0" borderId="49" xfId="0" quotePrefix="1" applyNumberFormat="1" applyFont="1" applyBorder="1" applyAlignment="1">
      <alignment vertical="center"/>
    </xf>
    <xf numFmtId="3" fontId="2" fillId="0" borderId="32" xfId="0" applyNumberFormat="1" applyFont="1" applyBorder="1" applyAlignment="1">
      <alignment vertical="center"/>
    </xf>
    <xf numFmtId="0" fontId="15" fillId="0" borderId="41" xfId="0" applyFont="1" applyBorder="1" applyAlignment="1">
      <alignment horizontal="center" vertical="center"/>
    </xf>
    <xf numFmtId="5" fontId="24" fillId="0" borderId="42" xfId="5" applyNumberFormat="1" applyFont="1" applyFill="1" applyBorder="1" applyAlignment="1" applyProtection="1">
      <alignment vertical="center"/>
    </xf>
    <xf numFmtId="5" fontId="24" fillId="11" borderId="57" xfId="5" applyNumberFormat="1" applyFont="1" applyFill="1" applyBorder="1" applyAlignment="1" applyProtection="1">
      <alignment vertical="center"/>
    </xf>
    <xf numFmtId="37" fontId="24" fillId="0" borderId="0" xfId="5" applyNumberFormat="1" applyFont="1" applyFill="1" applyBorder="1" applyAlignment="1" applyProtection="1">
      <alignment vertical="center"/>
    </xf>
    <xf numFmtId="172" fontId="2" fillId="0" borderId="0" xfId="3" applyNumberFormat="1" applyFont="1" applyBorder="1"/>
    <xf numFmtId="0" fontId="139" fillId="0" borderId="0" xfId="2" applyFont="1" applyAlignment="1">
      <alignment horizontal="center" wrapText="1"/>
    </xf>
    <xf numFmtId="0" fontId="140" fillId="0" borderId="40" xfId="2" applyFont="1" applyBorder="1" applyAlignment="1">
      <alignment horizontal="center" wrapText="1"/>
    </xf>
    <xf numFmtId="0" fontId="140" fillId="0" borderId="0" xfId="2" applyFont="1" applyAlignment="1">
      <alignment horizontal="center" wrapText="1"/>
    </xf>
    <xf numFmtId="0" fontId="24" fillId="12" borderId="0" xfId="2" applyFont="1" applyFill="1" applyAlignment="1">
      <alignment horizontal="center" wrapText="1"/>
    </xf>
    <xf numFmtId="0" fontId="24" fillId="12" borderId="0" xfId="2" applyFont="1" applyFill="1" applyAlignment="1">
      <alignment horizontal="centerContinuous" wrapText="1"/>
    </xf>
    <xf numFmtId="0" fontId="0" fillId="0" borderId="11" xfId="0" applyBorder="1"/>
    <xf numFmtId="0" fontId="0" fillId="0" borderId="12" xfId="0" applyBorder="1"/>
    <xf numFmtId="0" fontId="0" fillId="0" borderId="13" xfId="0" applyBorder="1"/>
    <xf numFmtId="0" fontId="0" fillId="0" borderId="17" xfId="0" applyBorder="1"/>
    <xf numFmtId="0" fontId="0" fillId="0" borderId="18" xfId="0" applyBorder="1"/>
    <xf numFmtId="0" fontId="24" fillId="0" borderId="0" xfId="0" applyFont="1" applyAlignment="1">
      <alignment horizontal="center" wrapText="1"/>
    </xf>
    <xf numFmtId="0" fontId="15" fillId="2" borderId="1" xfId="0" applyFont="1" applyFill="1" applyBorder="1"/>
    <xf numFmtId="0" fontId="8" fillId="2" borderId="22" xfId="0" applyFont="1" applyFill="1" applyBorder="1"/>
    <xf numFmtId="0" fontId="15" fillId="2" borderId="3" xfId="0" applyFont="1" applyFill="1" applyBorder="1"/>
    <xf numFmtId="0" fontId="15" fillId="2" borderId="0" xfId="0" applyFont="1" applyFill="1"/>
    <xf numFmtId="0" fontId="8" fillId="2" borderId="0" xfId="0" applyFont="1" applyFill="1"/>
    <xf numFmtId="2" fontId="0" fillId="12" borderId="40" xfId="0" applyNumberFormat="1" applyFill="1" applyBorder="1"/>
    <xf numFmtId="0" fontId="0" fillId="0" borderId="51" xfId="0" applyBorder="1"/>
    <xf numFmtId="0" fontId="0" fillId="0" borderId="52" xfId="0" applyBorder="1"/>
    <xf numFmtId="0" fontId="0" fillId="0" borderId="53" xfId="0" applyBorder="1"/>
    <xf numFmtId="164" fontId="2" fillId="0" borderId="22" xfId="2" applyNumberFormat="1" applyBorder="1" applyAlignment="1">
      <alignment horizontal="center"/>
    </xf>
    <xf numFmtId="164" fontId="2" fillId="0" borderId="40" xfId="2" applyNumberFormat="1" applyBorder="1" applyAlignment="1">
      <alignment horizontal="center"/>
    </xf>
    <xf numFmtId="0" fontId="24" fillId="2" borderId="23" xfId="0" applyFont="1" applyFill="1" applyBorder="1" applyAlignment="1">
      <alignment horizontal="center" vertical="center" wrapText="1"/>
    </xf>
    <xf numFmtId="0" fontId="18" fillId="4" borderId="23" xfId="0" applyFont="1" applyFill="1" applyBorder="1" applyAlignment="1">
      <alignment horizontal="center" vertical="center"/>
    </xf>
    <xf numFmtId="0" fontId="29" fillId="0" borderId="0" xfId="0" applyFont="1" applyAlignment="1">
      <alignment horizontal="center"/>
    </xf>
    <xf numFmtId="0" fontId="65" fillId="12" borderId="0" xfId="0" applyFont="1" applyFill="1" applyAlignment="1">
      <alignment horizontal="centerContinuous" vertical="center"/>
    </xf>
    <xf numFmtId="0" fontId="65" fillId="12" borderId="4" xfId="0" quotePrefix="1" applyFont="1" applyFill="1" applyBorder="1" applyAlignment="1">
      <alignment horizontal="centerContinuous" vertical="center"/>
    </xf>
    <xf numFmtId="0" fontId="35" fillId="12" borderId="0" xfId="0" applyFont="1" applyFill="1" applyAlignment="1">
      <alignment horizontal="center" vertical="center"/>
    </xf>
    <xf numFmtId="0" fontId="35" fillId="12" borderId="34" xfId="0" applyFont="1" applyFill="1" applyBorder="1" applyAlignment="1">
      <alignment horizontal="center" vertical="center"/>
    </xf>
    <xf numFmtId="0" fontId="62" fillId="0" borderId="0" xfId="0" applyFont="1" applyAlignment="1">
      <alignment horizontal="left"/>
    </xf>
    <xf numFmtId="0" fontId="2" fillId="0" borderId="0" xfId="0" applyFont="1" applyAlignment="1">
      <alignment horizontal="left"/>
    </xf>
    <xf numFmtId="37" fontId="2" fillId="12" borderId="1" xfId="2" applyNumberFormat="1" applyFill="1" applyBorder="1"/>
    <xf numFmtId="37" fontId="2" fillId="12" borderId="2" xfId="2" applyNumberFormat="1" applyFill="1" applyBorder="1"/>
    <xf numFmtId="0" fontId="24" fillId="0" borderId="40" xfId="0" applyFont="1" applyBorder="1" applyAlignment="1">
      <alignment horizontal="center"/>
    </xf>
    <xf numFmtId="0" fontId="24" fillId="0" borderId="40" xfId="0" applyFont="1" applyBorder="1" applyAlignment="1">
      <alignment horizontal="left"/>
    </xf>
    <xf numFmtId="205" fontId="2" fillId="0" borderId="49" xfId="5" applyNumberFormat="1" applyFont="1" applyFill="1" applyBorder="1" applyAlignment="1">
      <alignment horizontal="right" vertical="center"/>
    </xf>
    <xf numFmtId="205" fontId="2" fillId="0" borderId="29" xfId="5" applyNumberFormat="1" applyFont="1" applyFill="1" applyBorder="1" applyAlignment="1">
      <alignment horizontal="right" vertical="center"/>
    </xf>
    <xf numFmtId="0" fontId="57" fillId="0" borderId="0" xfId="12" applyFont="1"/>
    <xf numFmtId="0" fontId="2" fillId="0" borderId="0" xfId="12" applyAlignment="1">
      <alignment horizontal="left"/>
    </xf>
    <xf numFmtId="0" fontId="2" fillId="0" borderId="0" xfId="12" applyAlignment="1">
      <alignment horizontal="center"/>
    </xf>
    <xf numFmtId="164" fontId="58" fillId="0" borderId="0" xfId="12" applyNumberFormat="1" applyFont="1" applyAlignment="1">
      <alignment horizontal="left" vertical="center"/>
    </xf>
    <xf numFmtId="0" fontId="72" fillId="0" borderId="0" xfId="12" applyFont="1"/>
    <xf numFmtId="0" fontId="8" fillId="0" borderId="0" xfId="12" applyFont="1"/>
    <xf numFmtId="9" fontId="2" fillId="0" borderId="0" xfId="12" applyNumberFormat="1"/>
    <xf numFmtId="0" fontId="27" fillId="2" borderId="1" xfId="12" applyFont="1" applyFill="1" applyBorder="1"/>
    <xf numFmtId="0" fontId="27" fillId="2" borderId="22" xfId="12" applyFont="1" applyFill="1" applyBorder="1"/>
    <xf numFmtId="0" fontId="2" fillId="2" borderId="22" xfId="12" applyFill="1" applyBorder="1"/>
    <xf numFmtId="0" fontId="2" fillId="2" borderId="22" xfId="12" applyFill="1" applyBorder="1" applyAlignment="1">
      <alignment horizontal="left"/>
    </xf>
    <xf numFmtId="0" fontId="2" fillId="2" borderId="2" xfId="12" applyFill="1" applyBorder="1" applyAlignment="1">
      <alignment horizontal="center"/>
    </xf>
    <xf numFmtId="0" fontId="73" fillId="0" borderId="0" xfId="12" applyFont="1" applyAlignment="1">
      <alignment horizontal="left"/>
    </xf>
    <xf numFmtId="194" fontId="27" fillId="12" borderId="1" xfId="280" applyFont="1" applyFill="1" applyBorder="1"/>
    <xf numFmtId="194" fontId="20" fillId="12" borderId="22" xfId="280" applyFont="1" applyFill="1" applyBorder="1"/>
    <xf numFmtId="194" fontId="22" fillId="12" borderId="2" xfId="280" applyFont="1" applyFill="1" applyBorder="1"/>
    <xf numFmtId="0" fontId="2" fillId="2" borderId="2" xfId="12" applyFill="1" applyBorder="1"/>
    <xf numFmtId="0" fontId="40" fillId="0" borderId="11" xfId="12" applyFont="1" applyBorder="1" applyAlignment="1">
      <alignment horizontal="left" vertical="center"/>
    </xf>
    <xf numFmtId="0" fontId="2" fillId="0" borderId="12" xfId="12" applyBorder="1" applyAlignment="1">
      <alignment horizontal="left" vertical="center"/>
    </xf>
    <xf numFmtId="0" fontId="8" fillId="0" borderId="13" xfId="12" applyFont="1" applyBorder="1" applyAlignment="1">
      <alignment vertical="center"/>
    </xf>
    <xf numFmtId="0" fontId="8" fillId="0" borderId="0" xfId="12" applyFont="1" applyAlignment="1">
      <alignment vertical="center"/>
    </xf>
    <xf numFmtId="0" fontId="8" fillId="0" borderId="12" xfId="12" applyFont="1" applyBorder="1" applyAlignment="1">
      <alignment vertical="center"/>
    </xf>
    <xf numFmtId="0" fontId="2" fillId="0" borderId="11" xfId="12" applyBorder="1"/>
    <xf numFmtId="0" fontId="2" fillId="0" borderId="12" xfId="12" applyBorder="1"/>
    <xf numFmtId="0" fontId="2" fillId="0" borderId="13" xfId="12" applyBorder="1"/>
    <xf numFmtId="0" fontId="2" fillId="2" borderId="3" xfId="12" applyFill="1" applyBorder="1"/>
    <xf numFmtId="0" fontId="22" fillId="2" borderId="0" xfId="12" applyFont="1" applyFill="1"/>
    <xf numFmtId="0" fontId="2" fillId="2" borderId="0" xfId="12" applyFill="1"/>
    <xf numFmtId="0" fontId="2" fillId="2" borderId="0" xfId="12" applyFill="1" applyAlignment="1">
      <alignment horizontal="left"/>
    </xf>
    <xf numFmtId="0" fontId="2" fillId="2" borderId="4" xfId="12" applyFill="1" applyBorder="1" applyAlignment="1">
      <alignment horizontal="center"/>
    </xf>
    <xf numFmtId="194" fontId="27" fillId="12" borderId="3" xfId="280" applyFont="1" applyFill="1" applyBorder="1"/>
    <xf numFmtId="194" fontId="1" fillId="12" borderId="0" xfId="280" applyFill="1"/>
    <xf numFmtId="194" fontId="1" fillId="12" borderId="4" xfId="280" applyFill="1" applyBorder="1"/>
    <xf numFmtId="0" fontId="2" fillId="2" borderId="4" xfId="12" applyFill="1" applyBorder="1"/>
    <xf numFmtId="0" fontId="40" fillId="0" borderId="17" xfId="12" applyFont="1" applyBorder="1" applyAlignment="1">
      <alignment horizontal="left" vertical="center"/>
    </xf>
    <xf numFmtId="0" fontId="74" fillId="0" borderId="0" xfId="12" applyFont="1" applyAlignment="1">
      <alignment horizontal="centerContinuous"/>
    </xf>
    <xf numFmtId="0" fontId="2" fillId="0" borderId="0" xfId="12" applyAlignment="1">
      <alignment horizontal="centerContinuous"/>
    </xf>
    <xf numFmtId="0" fontId="2" fillId="0" borderId="18" xfId="12" applyBorder="1" applyAlignment="1">
      <alignment vertical="center"/>
    </xf>
    <xf numFmtId="0" fontId="2" fillId="0" borderId="0" xfId="12" applyAlignment="1">
      <alignment vertical="center"/>
    </xf>
    <xf numFmtId="0" fontId="2" fillId="0" borderId="17" xfId="12" applyBorder="1"/>
    <xf numFmtId="0" fontId="2" fillId="0" borderId="18" xfId="12" applyBorder="1"/>
    <xf numFmtId="0" fontId="20" fillId="2" borderId="0" xfId="12" applyFont="1" applyFill="1"/>
    <xf numFmtId="0" fontId="2" fillId="3" borderId="7" xfId="12" applyFill="1" applyBorder="1"/>
    <xf numFmtId="194" fontId="20" fillId="12" borderId="0" xfId="280" applyFont="1" applyFill="1"/>
    <xf numFmtId="194" fontId="22" fillId="12" borderId="4" xfId="280" applyFont="1" applyFill="1" applyBorder="1"/>
    <xf numFmtId="0" fontId="2" fillId="2" borderId="0" xfId="12" applyFill="1" applyAlignment="1">
      <alignment horizontal="center"/>
    </xf>
    <xf numFmtId="0" fontId="2" fillId="0" borderId="17" xfId="12" applyBorder="1" applyAlignment="1">
      <alignment vertical="center"/>
    </xf>
    <xf numFmtId="0" fontId="8" fillId="0" borderId="0" xfId="12" applyFont="1" applyAlignment="1">
      <alignment horizontal="centerContinuous"/>
    </xf>
    <xf numFmtId="0" fontId="75" fillId="0" borderId="0" xfId="12" applyFont="1" applyAlignment="1">
      <alignment horizontal="centerContinuous"/>
    </xf>
    <xf numFmtId="2" fontId="2" fillId="3" borderId="7" xfId="12" applyNumberFormat="1" applyFill="1" applyBorder="1"/>
    <xf numFmtId="2" fontId="2" fillId="2" borderId="4" xfId="12" applyNumberFormat="1" applyFill="1" applyBorder="1"/>
    <xf numFmtId="194" fontId="1" fillId="12" borderId="3" xfId="280" applyFill="1" applyBorder="1"/>
    <xf numFmtId="0" fontId="22" fillId="2" borderId="20" xfId="12" quotePrefix="1" applyFont="1" applyFill="1" applyBorder="1" applyAlignment="1">
      <alignment horizontal="left" vertical="center"/>
    </xf>
    <xf numFmtId="0" fontId="2" fillId="4" borderId="7" xfId="12" applyFill="1" applyBorder="1" applyAlignment="1">
      <alignment horizontal="center"/>
    </xf>
    <xf numFmtId="7" fontId="2" fillId="0" borderId="18" xfId="12" applyNumberFormat="1" applyBorder="1" applyAlignment="1">
      <alignment horizontal="right" vertical="center"/>
    </xf>
    <xf numFmtId="7" fontId="2" fillId="0" borderId="0" xfId="12" applyNumberFormat="1" applyAlignment="1">
      <alignment horizontal="right" vertical="center"/>
    </xf>
    <xf numFmtId="0" fontId="15" fillId="0" borderId="0" xfId="12" applyFont="1" applyAlignment="1">
      <alignment horizontal="left"/>
    </xf>
    <xf numFmtId="2" fontId="2" fillId="12" borderId="9" xfId="12" applyNumberFormat="1" applyFill="1" applyBorder="1"/>
    <xf numFmtId="0" fontId="22" fillId="2" borderId="9" xfId="12" quotePrefix="1" applyFont="1" applyFill="1" applyBorder="1" applyAlignment="1">
      <alignment horizontal="left" vertical="center"/>
    </xf>
    <xf numFmtId="0" fontId="15" fillId="2" borderId="23" xfId="12" applyFont="1" applyFill="1" applyBorder="1" applyAlignment="1">
      <alignment horizontal="center"/>
    </xf>
    <xf numFmtId="0" fontId="15" fillId="2" borderId="45" xfId="12" applyFont="1" applyFill="1" applyBorder="1" applyAlignment="1">
      <alignment horizontal="centerContinuous"/>
    </xf>
    <xf numFmtId="0" fontId="15" fillId="2" borderId="64" xfId="12" applyFont="1" applyFill="1" applyBorder="1" applyAlignment="1">
      <alignment horizontal="centerContinuous"/>
    </xf>
    <xf numFmtId="0" fontId="15" fillId="2" borderId="73" xfId="12" applyFont="1" applyFill="1" applyBorder="1"/>
    <xf numFmtId="0" fontId="15" fillId="2" borderId="2" xfId="12" applyFont="1" applyFill="1" applyBorder="1"/>
    <xf numFmtId="0" fontId="15" fillId="2" borderId="57" xfId="12" applyFont="1" applyFill="1" applyBorder="1" applyAlignment="1">
      <alignment horizontal="center" vertical="center"/>
    </xf>
    <xf numFmtId="0" fontId="15" fillId="2" borderId="66"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57" xfId="12" applyFont="1" applyFill="1" applyBorder="1"/>
    <xf numFmtId="0" fontId="15" fillId="2" borderId="58" xfId="12" applyFont="1" applyFill="1" applyBorder="1" applyAlignment="1">
      <alignment horizontal="center"/>
    </xf>
    <xf numFmtId="0" fontId="15" fillId="2" borderId="66" xfId="12" applyFont="1" applyFill="1" applyBorder="1" applyAlignment="1">
      <alignment horizontal="center"/>
    </xf>
    <xf numFmtId="0" fontId="15" fillId="2" borderId="59" xfId="12" applyFont="1" applyFill="1" applyBorder="1" applyAlignment="1">
      <alignment horizontal="center"/>
    </xf>
    <xf numFmtId="0" fontId="15" fillId="2" borderId="57" xfId="12" applyFont="1" applyFill="1" applyBorder="1" applyAlignment="1">
      <alignment horizontal="center"/>
    </xf>
    <xf numFmtId="0" fontId="15" fillId="2" borderId="65" xfId="12" applyFont="1" applyFill="1" applyBorder="1" applyAlignment="1">
      <alignment horizontal="center"/>
    </xf>
    <xf numFmtId="0" fontId="15" fillId="2" borderId="81" xfId="12" applyFont="1" applyFill="1" applyBorder="1" applyAlignment="1">
      <alignment horizontal="center"/>
    </xf>
    <xf numFmtId="185" fontId="2" fillId="0" borderId="0" xfId="12" applyNumberFormat="1"/>
    <xf numFmtId="0" fontId="15" fillId="2" borderId="65" xfId="12" applyFont="1" applyFill="1" applyBorder="1" applyAlignment="1">
      <alignment horizontal="centerContinuous"/>
    </xf>
    <xf numFmtId="0" fontId="15" fillId="2" borderId="66" xfId="12" applyFont="1" applyFill="1" applyBorder="1" applyAlignment="1">
      <alignment horizontal="centerContinuous"/>
    </xf>
    <xf numFmtId="0" fontId="15" fillId="2" borderId="59" xfId="12" applyFont="1" applyFill="1" applyBorder="1" applyAlignment="1">
      <alignment horizontal="centerContinuous"/>
    </xf>
    <xf numFmtId="0" fontId="15" fillId="2" borderId="68" xfId="12" applyFont="1" applyFill="1" applyBorder="1" applyAlignment="1">
      <alignment horizontal="center"/>
    </xf>
    <xf numFmtId="0" fontId="15" fillId="2" borderId="26" xfId="12" applyFont="1" applyFill="1" applyBorder="1" applyAlignment="1">
      <alignment horizontal="center"/>
    </xf>
    <xf numFmtId="0" fontId="15" fillId="2" borderId="1" xfId="12" applyFont="1" applyFill="1" applyBorder="1" applyAlignment="1">
      <alignment horizontal="center"/>
    </xf>
    <xf numFmtId="0" fontId="15" fillId="2" borderId="65" xfId="12" applyFont="1" applyFill="1" applyBorder="1" applyAlignment="1">
      <alignment horizontal="center" vertical="center"/>
    </xf>
    <xf numFmtId="0" fontId="15" fillId="2" borderId="58" xfId="12" applyFont="1" applyFill="1" applyBorder="1" applyAlignment="1">
      <alignment horizontal="center" vertical="center"/>
    </xf>
    <xf numFmtId="172" fontId="2" fillId="0" borderId="7" xfId="12" applyNumberFormat="1" applyBorder="1"/>
    <xf numFmtId="172" fontId="2" fillId="2" borderId="4" xfId="12" applyNumberFormat="1" applyFill="1" applyBorder="1"/>
    <xf numFmtId="0" fontId="15" fillId="2" borderId="27" xfId="12" applyFont="1" applyFill="1" applyBorder="1" applyAlignment="1">
      <alignment horizontal="center"/>
    </xf>
    <xf numFmtId="0" fontId="15" fillId="2" borderId="49" xfId="12" applyFont="1" applyFill="1" applyBorder="1" applyAlignment="1">
      <alignment horizontal="centerContinuous"/>
    </xf>
    <xf numFmtId="0" fontId="15" fillId="2" borderId="7" xfId="12" applyFont="1" applyFill="1" applyBorder="1" applyAlignment="1">
      <alignment horizontal="centerContinuous"/>
    </xf>
    <xf numFmtId="0" fontId="15" fillId="2" borderId="67" xfId="12" applyFont="1" applyFill="1" applyBorder="1" applyAlignment="1">
      <alignment horizontal="centerContinuous"/>
    </xf>
    <xf numFmtId="0" fontId="15" fillId="2" borderId="74" xfId="12" applyFont="1" applyFill="1" applyBorder="1" applyAlignment="1">
      <alignment horizontal="centerContinuous"/>
    </xf>
    <xf numFmtId="0" fontId="8" fillId="0" borderId="44" xfId="12" quotePrefix="1" applyFont="1" applyBorder="1" applyAlignment="1">
      <alignment horizontal="center" vertical="center"/>
    </xf>
    <xf numFmtId="0" fontId="2" fillId="0" borderId="47" xfId="12" applyBorder="1"/>
    <xf numFmtId="184" fontId="2" fillId="0" borderId="46" xfId="5" applyNumberFormat="1" applyFont="1" applyFill="1" applyBorder="1" applyAlignment="1">
      <alignment horizontal="center"/>
    </xf>
    <xf numFmtId="184" fontId="2" fillId="0" borderId="64" xfId="5" applyNumberFormat="1" applyFont="1" applyFill="1" applyBorder="1" applyAlignment="1">
      <alignment horizontal="center"/>
    </xf>
    <xf numFmtId="184" fontId="2" fillId="0" borderId="69" xfId="5" applyNumberFormat="1" applyFont="1" applyFill="1" applyBorder="1" applyAlignment="1">
      <alignment horizontal="center"/>
    </xf>
    <xf numFmtId="0" fontId="8" fillId="0" borderId="27" xfId="12" applyFont="1" applyBorder="1" applyAlignment="1">
      <alignment horizontal="center"/>
    </xf>
    <xf numFmtId="183" fontId="2" fillId="0" borderId="68" xfId="12" applyNumberFormat="1" applyBorder="1"/>
    <xf numFmtId="183" fontId="2" fillId="0" borderId="25" xfId="12" applyNumberFormat="1" applyBorder="1"/>
    <xf numFmtId="183" fontId="2" fillId="0" borderId="75" xfId="12" applyNumberFormat="1" applyBorder="1"/>
    <xf numFmtId="183" fontId="2" fillId="0" borderId="76" xfId="12" applyNumberFormat="1" applyBorder="1"/>
    <xf numFmtId="183" fontId="2" fillId="0" borderId="82" xfId="12" applyNumberFormat="1" applyBorder="1"/>
    <xf numFmtId="183" fontId="2" fillId="0" borderId="26" xfId="12" applyNumberFormat="1" applyBorder="1"/>
    <xf numFmtId="183" fontId="2" fillId="0" borderId="33" xfId="12" applyNumberFormat="1" applyBorder="1"/>
    <xf numFmtId="183" fontId="2" fillId="0" borderId="30" xfId="12" applyNumberFormat="1" applyBorder="1"/>
    <xf numFmtId="183" fontId="2" fillId="0" borderId="34" xfId="12" applyNumberFormat="1" applyBorder="1"/>
    <xf numFmtId="0" fontId="8" fillId="0" borderId="47" xfId="12" applyFont="1" applyBorder="1"/>
    <xf numFmtId="0" fontId="8" fillId="0" borderId="47" xfId="12" applyFont="1" applyBorder="1" applyAlignment="1">
      <alignment horizontal="center"/>
    </xf>
    <xf numFmtId="185" fontId="2" fillId="0" borderId="46" xfId="12" applyNumberFormat="1" applyBorder="1"/>
    <xf numFmtId="185" fontId="2" fillId="0" borderId="64" xfId="12" applyNumberFormat="1" applyBorder="1"/>
    <xf numFmtId="185" fontId="2" fillId="0" borderId="69" xfId="12" applyNumberFormat="1" applyBorder="1"/>
    <xf numFmtId="0" fontId="15" fillId="2" borderId="36" xfId="12" applyFont="1" applyFill="1" applyBorder="1" applyAlignment="1">
      <alignment horizontal="center"/>
    </xf>
    <xf numFmtId="0" fontId="15" fillId="2" borderId="37" xfId="12" applyFont="1" applyFill="1" applyBorder="1" applyAlignment="1">
      <alignment horizontal="center"/>
    </xf>
    <xf numFmtId="0" fontId="15" fillId="2" borderId="39" xfId="12" applyFont="1" applyFill="1" applyBorder="1" applyAlignment="1">
      <alignment horizontal="center"/>
    </xf>
    <xf numFmtId="0" fontId="15" fillId="2" borderId="5" xfId="12" applyFont="1" applyFill="1" applyBorder="1" applyAlignment="1">
      <alignment horizontal="center"/>
    </xf>
    <xf numFmtId="0" fontId="15" fillId="2" borderId="77" xfId="12" applyFont="1" applyFill="1" applyBorder="1" applyAlignment="1">
      <alignment horizontal="center"/>
    </xf>
    <xf numFmtId="0" fontId="2" fillId="0" borderId="65" xfId="12" applyBorder="1" applyAlignment="1">
      <alignment horizontal="center"/>
    </xf>
    <xf numFmtId="0" fontId="2" fillId="0" borderId="81" xfId="12" applyBorder="1" applyAlignment="1">
      <alignment horizontal="center"/>
    </xf>
    <xf numFmtId="0" fontId="2" fillId="0" borderId="59" xfId="12" applyBorder="1" applyAlignment="1">
      <alignment horizontal="center"/>
    </xf>
    <xf numFmtId="0" fontId="2" fillId="2" borderId="5" xfId="12" applyFill="1" applyBorder="1"/>
    <xf numFmtId="0" fontId="22" fillId="2" borderId="40" xfId="12" applyFont="1" applyFill="1" applyBorder="1"/>
    <xf numFmtId="0" fontId="2" fillId="2" borderId="40" xfId="12" applyFill="1" applyBorder="1"/>
    <xf numFmtId="0" fontId="2" fillId="2" borderId="40" xfId="12" applyFill="1" applyBorder="1" applyAlignment="1">
      <alignment horizontal="left"/>
    </xf>
    <xf numFmtId="0" fontId="2" fillId="2" borderId="6" xfId="12" applyFill="1" applyBorder="1" applyAlignment="1">
      <alignment horizontal="center"/>
    </xf>
    <xf numFmtId="194" fontId="1" fillId="12" borderId="5" xfId="280" applyFill="1" applyBorder="1"/>
    <xf numFmtId="194" fontId="1" fillId="12" borderId="40" xfId="280" applyFill="1" applyBorder="1"/>
    <xf numFmtId="194" fontId="1" fillId="12" borderId="6" xfId="280" applyFill="1" applyBorder="1"/>
    <xf numFmtId="0" fontId="15" fillId="2" borderId="54" xfId="12" applyFont="1" applyFill="1" applyBorder="1" applyAlignment="1">
      <alignment horizontal="center"/>
    </xf>
    <xf numFmtId="0" fontId="15" fillId="2" borderId="78" xfId="12" applyFont="1" applyFill="1" applyBorder="1" applyAlignment="1">
      <alignment horizontal="center"/>
    </xf>
    <xf numFmtId="0" fontId="15" fillId="2" borderId="56" xfId="12" applyFont="1" applyFill="1" applyBorder="1" applyAlignment="1">
      <alignment horizontal="center"/>
    </xf>
    <xf numFmtId="0" fontId="2" fillId="0" borderId="48" xfId="12" applyBorder="1"/>
    <xf numFmtId="184" fontId="2" fillId="0" borderId="10" xfId="5" applyNumberFormat="1" applyFont="1" applyFill="1" applyBorder="1" applyAlignment="1">
      <alignment horizontal="center"/>
    </xf>
    <xf numFmtId="184" fontId="2" fillId="0" borderId="7" xfId="5" applyNumberFormat="1" applyFont="1" applyFill="1" applyBorder="1" applyAlignment="1">
      <alignment horizontal="center"/>
    </xf>
    <xf numFmtId="184" fontId="2" fillId="0" borderId="32" xfId="5" applyNumberFormat="1" applyFont="1" applyFill="1" applyBorder="1" applyAlignment="1">
      <alignment horizontal="center"/>
    </xf>
    <xf numFmtId="0" fontId="8" fillId="0" borderId="48" xfId="12" applyFont="1" applyBorder="1"/>
    <xf numFmtId="0" fontId="8" fillId="0" borderId="48" xfId="12" applyFont="1" applyBorder="1" applyAlignment="1">
      <alignment horizontal="center"/>
    </xf>
    <xf numFmtId="185" fontId="2" fillId="0" borderId="10" xfId="12" applyNumberFormat="1" applyBorder="1"/>
    <xf numFmtId="185" fontId="2" fillId="0" borderId="7" xfId="12" applyNumberFormat="1" applyBorder="1"/>
    <xf numFmtId="185" fontId="2" fillId="0" borderId="32" xfId="12" applyNumberFormat="1" applyBorder="1"/>
    <xf numFmtId="1" fontId="2" fillId="0" borderId="33" xfId="12" applyNumberFormat="1" applyBorder="1" applyAlignment="1">
      <alignment horizontal="center"/>
    </xf>
    <xf numFmtId="1" fontId="2" fillId="0" borderId="76" xfId="12" applyNumberFormat="1" applyBorder="1" applyAlignment="1">
      <alignment horizontal="center"/>
    </xf>
    <xf numFmtId="1" fontId="2" fillId="0" borderId="34" xfId="12" applyNumberFormat="1" applyBorder="1" applyAlignment="1">
      <alignment horizontal="center"/>
    </xf>
    <xf numFmtId="182" fontId="2" fillId="0" borderId="33" xfId="12" applyNumberFormat="1" applyBorder="1"/>
    <xf numFmtId="182" fontId="2" fillId="0" borderId="34" xfId="12" applyNumberFormat="1" applyBorder="1"/>
    <xf numFmtId="182" fontId="8" fillId="0" borderId="27" xfId="12" applyNumberFormat="1" applyFont="1" applyBorder="1" applyAlignment="1">
      <alignment horizontal="center"/>
    </xf>
    <xf numFmtId="192" fontId="0" fillId="0" borderId="33" xfId="5" applyNumberFormat="1" applyFont="1" applyBorder="1" applyAlignment="1">
      <alignment horizontal="center"/>
    </xf>
    <xf numFmtId="192" fontId="2" fillId="0" borderId="34" xfId="12" applyNumberFormat="1" applyBorder="1" applyAlignment="1">
      <alignment horizontal="center"/>
    </xf>
    <xf numFmtId="182" fontId="8" fillId="0" borderId="3" xfId="12" applyNumberFormat="1" applyFont="1" applyBorder="1" applyAlignment="1">
      <alignment horizontal="center"/>
    </xf>
    <xf numFmtId="2" fontId="2" fillId="0" borderId="33" xfId="12" applyNumberFormat="1" applyBorder="1" applyAlignment="1">
      <alignment horizontal="center"/>
    </xf>
    <xf numFmtId="2" fontId="2" fillId="0" borderId="76" xfId="12" applyNumberFormat="1" applyBorder="1" applyAlignment="1">
      <alignment horizontal="center"/>
    </xf>
    <xf numFmtId="4" fontId="0" fillId="0" borderId="76" xfId="5" applyNumberFormat="1" applyFont="1" applyBorder="1" applyAlignment="1">
      <alignment horizontal="center"/>
    </xf>
    <xf numFmtId="2" fontId="2" fillId="0" borderId="34" xfId="12" applyNumberFormat="1" applyBorder="1" applyAlignment="1">
      <alignment horizontal="center"/>
    </xf>
    <xf numFmtId="0" fontId="2" fillId="0" borderId="51" xfId="12" applyBorder="1"/>
    <xf numFmtId="0" fontId="2" fillId="0" borderId="52" xfId="12" applyBorder="1"/>
    <xf numFmtId="0" fontId="2" fillId="0" borderId="53" xfId="12" applyBorder="1"/>
    <xf numFmtId="0" fontId="8" fillId="0" borderId="23" xfId="12" applyFont="1" applyBorder="1" applyAlignment="1">
      <alignment horizontal="center"/>
    </xf>
    <xf numFmtId="172" fontId="2" fillId="0" borderId="68" xfId="12" applyNumberFormat="1" applyBorder="1" applyAlignment="1">
      <alignment horizontal="center"/>
    </xf>
    <xf numFmtId="172" fontId="2" fillId="0" borderId="75" xfId="12" applyNumberFormat="1" applyBorder="1" applyAlignment="1">
      <alignment horizontal="center"/>
    </xf>
    <xf numFmtId="172" fontId="2" fillId="0" borderId="26" xfId="12" applyNumberFormat="1" applyBorder="1" applyAlignment="1">
      <alignment horizontal="center"/>
    </xf>
    <xf numFmtId="0" fontId="2" fillId="0" borderId="63" xfId="12" applyBorder="1"/>
    <xf numFmtId="184" fontId="2" fillId="0" borderId="55" xfId="5" applyNumberFormat="1" applyFont="1" applyFill="1" applyBorder="1" applyAlignment="1">
      <alignment horizontal="center"/>
    </xf>
    <xf numFmtId="184" fontId="2" fillId="0" borderId="78" xfId="5" applyNumberFormat="1" applyFont="1" applyFill="1" applyBorder="1" applyAlignment="1">
      <alignment horizontal="center"/>
    </xf>
    <xf numFmtId="184" fontId="2" fillId="0" borderId="56" xfId="5" applyNumberFormat="1" applyFont="1" applyFill="1" applyBorder="1" applyAlignment="1">
      <alignment horizontal="center"/>
    </xf>
    <xf numFmtId="0" fontId="8" fillId="0" borderId="63" xfId="12" applyFont="1" applyBorder="1"/>
    <xf numFmtId="0" fontId="8" fillId="0" borderId="63" xfId="12" applyFont="1" applyBorder="1" applyAlignment="1">
      <alignment horizontal="center"/>
    </xf>
    <xf numFmtId="185" fontId="2" fillId="0" borderId="55" xfId="12" applyNumberFormat="1" applyBorder="1"/>
    <xf numFmtId="185" fontId="2" fillId="0" borderId="78" xfId="12" applyNumberFormat="1" applyBorder="1"/>
    <xf numFmtId="185" fontId="2" fillId="0" borderId="56" xfId="12" applyNumberFormat="1" applyBorder="1"/>
    <xf numFmtId="172" fontId="2" fillId="0" borderId="33" xfId="12" applyNumberFormat="1" applyBorder="1" applyAlignment="1">
      <alignment horizontal="center"/>
    </xf>
    <xf numFmtId="172" fontId="2" fillId="0" borderId="76" xfId="12" applyNumberFormat="1" applyBorder="1" applyAlignment="1">
      <alignment horizontal="center"/>
    </xf>
    <xf numFmtId="172" fontId="2" fillId="0" borderId="34" xfId="12" applyNumberFormat="1" applyBorder="1" applyAlignment="1">
      <alignment horizontal="center"/>
    </xf>
    <xf numFmtId="0" fontId="8" fillId="0" borderId="0" xfId="12" applyFont="1" applyAlignment="1">
      <alignment horizontal="center"/>
    </xf>
    <xf numFmtId="0" fontId="73" fillId="0" borderId="0" xfId="12" applyFont="1"/>
    <xf numFmtId="185" fontId="2" fillId="0" borderId="0" xfId="12" applyNumberFormat="1" applyAlignment="1">
      <alignment horizontal="right"/>
    </xf>
    <xf numFmtId="172" fontId="0" fillId="0" borderId="7" xfId="11" applyNumberFormat="1" applyFont="1" applyBorder="1"/>
    <xf numFmtId="0" fontId="20" fillId="2" borderId="22" xfId="12" applyFont="1" applyFill="1" applyBorder="1"/>
    <xf numFmtId="0" fontId="22" fillId="2" borderId="22" xfId="12" applyFont="1" applyFill="1" applyBorder="1"/>
    <xf numFmtId="0" fontId="2" fillId="2" borderId="22" xfId="12" applyFill="1" applyBorder="1" applyAlignment="1">
      <alignment horizontal="center"/>
    </xf>
    <xf numFmtId="0" fontId="27" fillId="12" borderId="1" xfId="12" applyFont="1" applyFill="1" applyBorder="1"/>
    <xf numFmtId="0" fontId="20" fillId="12" borderId="22" xfId="12" applyFont="1" applyFill="1" applyBorder="1"/>
    <xf numFmtId="0" fontId="22" fillId="12" borderId="22" xfId="12" applyFont="1" applyFill="1" applyBorder="1"/>
    <xf numFmtId="0" fontId="2" fillId="12" borderId="22" xfId="12" applyFill="1" applyBorder="1" applyAlignment="1">
      <alignment horizontal="center"/>
    </xf>
    <xf numFmtId="0" fontId="2" fillId="12" borderId="22" xfId="12" applyFill="1" applyBorder="1" applyAlignment="1">
      <alignment horizontal="left"/>
    </xf>
    <xf numFmtId="0" fontId="2" fillId="12" borderId="2" xfId="12" applyFill="1" applyBorder="1" applyAlignment="1">
      <alignment horizontal="center"/>
    </xf>
    <xf numFmtId="0" fontId="22" fillId="12" borderId="0" xfId="12" applyFont="1" applyFill="1"/>
    <xf numFmtId="0" fontId="13" fillId="2" borderId="0" xfId="12" applyFont="1" applyFill="1" applyAlignment="1">
      <alignment horizontal="center" vertical="center"/>
    </xf>
    <xf numFmtId="0" fontId="2" fillId="12" borderId="4" xfId="12" applyFill="1" applyBorder="1" applyAlignment="1">
      <alignment horizontal="left"/>
    </xf>
    <xf numFmtId="0" fontId="27" fillId="2" borderId="3" xfId="12" applyFont="1" applyFill="1" applyBorder="1"/>
    <xf numFmtId="0" fontId="13" fillId="12" borderId="0" xfId="12" applyFont="1" applyFill="1" applyAlignment="1">
      <alignment horizontal="center" vertical="center"/>
    </xf>
    <xf numFmtId="0" fontId="13" fillId="12" borderId="0" xfId="12" applyFont="1" applyFill="1" applyAlignment="1">
      <alignment horizontal="left" vertical="center"/>
    </xf>
    <xf numFmtId="0" fontId="2" fillId="12" borderId="4" xfId="12" applyFill="1" applyBorder="1" applyAlignment="1">
      <alignment horizontal="center"/>
    </xf>
    <xf numFmtId="2" fontId="2" fillId="5" borderId="34" xfId="12" applyNumberFormat="1" applyFill="1" applyBorder="1" applyAlignment="1">
      <alignment horizontal="center"/>
    </xf>
    <xf numFmtId="0" fontId="13" fillId="2" borderId="4" xfId="12" applyFont="1" applyFill="1" applyBorder="1" applyAlignment="1">
      <alignment horizontal="center" vertical="center"/>
    </xf>
    <xf numFmtId="0" fontId="2" fillId="0" borderId="7" xfId="12" applyBorder="1"/>
    <xf numFmtId="0" fontId="93" fillId="2" borderId="0" xfId="12" applyFont="1" applyFill="1"/>
    <xf numFmtId="0" fontId="2" fillId="12" borderId="0" xfId="12" applyFill="1" applyAlignment="1">
      <alignment horizontal="left"/>
    </xf>
    <xf numFmtId="0" fontId="22" fillId="2" borderId="21" xfId="12" applyFont="1" applyFill="1" applyBorder="1"/>
    <xf numFmtId="2" fontId="2" fillId="0" borderId="0" xfId="12" applyNumberFormat="1"/>
    <xf numFmtId="0" fontId="74" fillId="0" borderId="0" xfId="12" applyFont="1" applyAlignment="1">
      <alignment horizontal="left" indent="2"/>
    </xf>
    <xf numFmtId="0" fontId="8" fillId="2" borderId="0" xfId="12" applyFont="1" applyFill="1"/>
    <xf numFmtId="172" fontId="2" fillId="5" borderId="7" xfId="12" applyNumberFormat="1" applyFill="1" applyBorder="1"/>
    <xf numFmtId="0" fontId="22" fillId="2" borderId="10" xfId="12" applyFont="1" applyFill="1" applyBorder="1"/>
    <xf numFmtId="0" fontId="22" fillId="2" borderId="21" xfId="12" quotePrefix="1" applyFont="1" applyFill="1" applyBorder="1" applyAlignment="1">
      <alignment horizontal="left" vertical="center"/>
    </xf>
    <xf numFmtId="0" fontId="8" fillId="0" borderId="0" xfId="12" applyFont="1" applyAlignment="1">
      <alignment horizontal="left"/>
    </xf>
    <xf numFmtId="0" fontId="8" fillId="0" borderId="0" xfId="12" applyFont="1" applyAlignment="1">
      <alignment horizontal="left" indent="3"/>
    </xf>
    <xf numFmtId="0" fontId="22" fillId="12" borderId="21" xfId="12" applyFont="1" applyFill="1" applyBorder="1"/>
    <xf numFmtId="182" fontId="8" fillId="0" borderId="5" xfId="12" applyNumberFormat="1" applyFont="1" applyBorder="1" applyAlignment="1">
      <alignment horizontal="center"/>
    </xf>
    <xf numFmtId="2" fontId="2" fillId="0" borderId="37" xfId="12" applyNumberFormat="1" applyBorder="1" applyAlignment="1">
      <alignment horizontal="center"/>
    </xf>
    <xf numFmtId="2" fontId="2" fillId="0" borderId="77" xfId="12" applyNumberFormat="1" applyBorder="1" applyAlignment="1">
      <alignment horizontal="center"/>
    </xf>
    <xf numFmtId="4" fontId="0" fillId="0" borderId="77" xfId="5" applyNumberFormat="1" applyFont="1" applyBorder="1" applyAlignment="1">
      <alignment horizontal="center"/>
    </xf>
    <xf numFmtId="2" fontId="2" fillId="0" borderId="39" xfId="12" applyNumberFormat="1" applyBorder="1" applyAlignment="1">
      <alignment horizontal="center"/>
    </xf>
    <xf numFmtId="172" fontId="2" fillId="2" borderId="0" xfId="12" applyNumberFormat="1" applyFill="1"/>
    <xf numFmtId="3" fontId="2" fillId="0" borderId="7" xfId="12" applyNumberFormat="1" applyBorder="1"/>
    <xf numFmtId="0" fontId="2" fillId="0" borderId="26" xfId="12" applyBorder="1" applyAlignment="1">
      <alignment horizontal="center"/>
    </xf>
    <xf numFmtId="0" fontId="2" fillId="0" borderId="39" xfId="12" applyBorder="1" applyAlignment="1">
      <alignment horizontal="center"/>
    </xf>
    <xf numFmtId="0" fontId="22" fillId="2" borderId="20" xfId="12" applyFont="1" applyFill="1" applyBorder="1"/>
    <xf numFmtId="0" fontId="2" fillId="0" borderId="57" xfId="12" applyBorder="1"/>
    <xf numFmtId="0" fontId="22" fillId="2" borderId="9" xfId="12" applyFont="1" applyFill="1" applyBorder="1"/>
    <xf numFmtId="185" fontId="2" fillId="5" borderId="10" xfId="12" applyNumberFormat="1" applyFill="1" applyBorder="1"/>
    <xf numFmtId="185" fontId="2" fillId="5" borderId="7" xfId="12" applyNumberFormat="1" applyFill="1" applyBorder="1"/>
    <xf numFmtId="185" fontId="2" fillId="5" borderId="32" xfId="12" applyNumberFormat="1" applyFill="1" applyBorder="1"/>
    <xf numFmtId="2" fontId="2" fillId="0" borderId="7" xfId="12" applyNumberFormat="1" applyBorder="1"/>
    <xf numFmtId="0" fontId="8" fillId="0" borderId="27" xfId="12" applyFont="1" applyBorder="1"/>
    <xf numFmtId="2" fontId="2" fillId="0" borderId="33" xfId="12" applyNumberFormat="1" applyBorder="1"/>
    <xf numFmtId="2" fontId="2" fillId="0" borderId="30" xfId="12" applyNumberFormat="1" applyBorder="1"/>
    <xf numFmtId="2" fontId="2" fillId="0" borderId="76" xfId="12" applyNumberFormat="1" applyBorder="1"/>
    <xf numFmtId="2" fontId="2" fillId="0" borderId="34" xfId="12" applyNumberFormat="1" applyBorder="1"/>
    <xf numFmtId="0" fontId="8" fillId="0" borderId="36" xfId="12" applyFont="1" applyBorder="1"/>
    <xf numFmtId="0" fontId="8" fillId="0" borderId="36" xfId="12" applyFont="1" applyBorder="1" applyAlignment="1">
      <alignment horizontal="center"/>
    </xf>
    <xf numFmtId="2" fontId="2" fillId="0" borderId="37" xfId="12" applyNumberFormat="1" applyBorder="1"/>
    <xf numFmtId="2" fontId="2" fillId="0" borderId="38" xfId="12" applyNumberFormat="1" applyBorder="1"/>
    <xf numFmtId="2" fontId="2" fillId="0" borderId="77" xfId="12" applyNumberFormat="1" applyBorder="1"/>
    <xf numFmtId="2" fontId="2" fillId="0" borderId="39" xfId="12" applyNumberFormat="1" applyBorder="1"/>
    <xf numFmtId="1" fontId="2" fillId="0" borderId="37" xfId="12" applyNumberFormat="1" applyBorder="1" applyAlignment="1">
      <alignment horizontal="center"/>
    </xf>
    <xf numFmtId="1" fontId="2" fillId="0" borderId="77" xfId="12" applyNumberFormat="1" applyBorder="1" applyAlignment="1">
      <alignment horizontal="center"/>
    </xf>
    <xf numFmtId="1" fontId="2" fillId="0" borderId="39" xfId="12" applyNumberFormat="1" applyBorder="1" applyAlignment="1">
      <alignment horizontal="center"/>
    </xf>
    <xf numFmtId="182" fontId="2" fillId="0" borderId="37" xfId="12" applyNumberFormat="1" applyBorder="1"/>
    <xf numFmtId="182" fontId="2" fillId="0" borderId="39" xfId="12" applyNumberFormat="1" applyBorder="1"/>
    <xf numFmtId="2" fontId="2" fillId="5" borderId="7" xfId="12" applyNumberFormat="1" applyFill="1" applyBorder="1"/>
    <xf numFmtId="1" fontId="2" fillId="5" borderId="7" xfId="12" applyNumberFormat="1" applyFill="1" applyBorder="1"/>
    <xf numFmtId="3" fontId="2" fillId="5" borderId="7" xfId="12" applyNumberFormat="1" applyFill="1" applyBorder="1"/>
    <xf numFmtId="0" fontId="15" fillId="2" borderId="69" xfId="12" applyFont="1" applyFill="1" applyBorder="1" applyAlignment="1">
      <alignment horizontal="centerContinuous"/>
    </xf>
    <xf numFmtId="0" fontId="94" fillId="45" borderId="3" xfId="12" applyFont="1" applyFill="1" applyBorder="1"/>
    <xf numFmtId="185" fontId="94" fillId="46" borderId="4" xfId="12" applyNumberFormat="1" applyFont="1" applyFill="1" applyBorder="1" applyAlignment="1">
      <alignment horizontal="center"/>
    </xf>
    <xf numFmtId="2" fontId="2" fillId="7" borderId="30" xfId="12" applyNumberFormat="1" applyFill="1" applyBorder="1"/>
    <xf numFmtId="0" fontId="15" fillId="2" borderId="5" xfId="12" applyFont="1" applyFill="1" applyBorder="1"/>
    <xf numFmtId="0" fontId="2" fillId="2" borderId="6" xfId="12" applyFill="1" applyBorder="1"/>
    <xf numFmtId="172" fontId="2" fillId="0" borderId="37" xfId="12" applyNumberFormat="1" applyBorder="1" applyAlignment="1">
      <alignment horizontal="center"/>
    </xf>
    <xf numFmtId="172" fontId="2" fillId="0" borderId="77" xfId="12" applyNumberFormat="1" applyBorder="1" applyAlignment="1">
      <alignment horizontal="center"/>
    </xf>
    <xf numFmtId="172" fontId="2" fillId="0" borderId="39" xfId="12" applyNumberFormat="1" applyBorder="1" applyAlignment="1">
      <alignment horizontal="center"/>
    </xf>
    <xf numFmtId="2" fontId="2" fillId="7" borderId="38" xfId="12" applyNumberFormat="1" applyFill="1" applyBorder="1"/>
    <xf numFmtId="182" fontId="8" fillId="0" borderId="3" xfId="12" applyNumberFormat="1" applyFont="1" applyBorder="1" applyAlignment="1">
      <alignment horizontal="left"/>
    </xf>
    <xf numFmtId="185" fontId="2" fillId="5" borderId="65" xfId="12" applyNumberFormat="1" applyFill="1" applyBorder="1"/>
    <xf numFmtId="185" fontId="2" fillId="5" borderId="66" xfId="12" applyNumberFormat="1" applyFill="1" applyBorder="1"/>
    <xf numFmtId="185" fontId="2" fillId="5" borderId="59" xfId="12" applyNumberFormat="1" applyFill="1" applyBorder="1"/>
    <xf numFmtId="182" fontId="8" fillId="0" borderId="5" xfId="12" applyNumberFormat="1" applyFont="1" applyBorder="1" applyAlignment="1">
      <alignment horizontal="left"/>
    </xf>
    <xf numFmtId="0" fontId="2" fillId="0" borderId="40" xfId="12" applyBorder="1"/>
    <xf numFmtId="0" fontId="22" fillId="12" borderId="10" xfId="12" applyFont="1" applyFill="1" applyBorder="1"/>
    <xf numFmtId="0" fontId="2" fillId="0" borderId="18" xfId="12" quotePrefix="1" applyBorder="1" applyAlignment="1">
      <alignment horizontal="center" vertical="center"/>
    </xf>
    <xf numFmtId="0" fontId="2" fillId="0" borderId="0" xfId="12" quotePrefix="1" applyAlignment="1">
      <alignment horizontal="center" vertical="center"/>
    </xf>
    <xf numFmtId="3" fontId="2" fillId="7" borderId="30" xfId="12" applyNumberFormat="1" applyFill="1" applyBorder="1"/>
    <xf numFmtId="0" fontId="73" fillId="12" borderId="0" xfId="12" applyFont="1" applyFill="1"/>
    <xf numFmtId="0" fontId="22" fillId="2" borderId="0" xfId="12" quotePrefix="1" applyFont="1" applyFill="1" applyAlignment="1">
      <alignment horizontal="left" vertical="center"/>
    </xf>
    <xf numFmtId="3" fontId="2" fillId="7" borderId="38" xfId="12" applyNumberFormat="1" applyFill="1" applyBorder="1"/>
    <xf numFmtId="0" fontId="2" fillId="0" borderId="18" xfId="12" applyBorder="1" applyAlignment="1">
      <alignment horizontal="centerContinuous"/>
    </xf>
    <xf numFmtId="0" fontId="20" fillId="0" borderId="0" xfId="12" applyFont="1" applyAlignment="1">
      <alignment horizontal="centerContinuous"/>
    </xf>
    <xf numFmtId="3" fontId="2" fillId="0" borderId="0" xfId="12" applyNumberFormat="1"/>
    <xf numFmtId="2" fontId="2" fillId="0" borderId="0" xfId="12" applyNumberFormat="1" applyAlignment="1">
      <alignment horizontal="right"/>
    </xf>
    <xf numFmtId="1" fontId="2" fillId="0" borderId="7" xfId="12" applyNumberFormat="1" applyBorder="1"/>
    <xf numFmtId="0" fontId="22" fillId="2" borderId="40" xfId="12" quotePrefix="1" applyFont="1" applyFill="1" applyBorder="1" applyAlignment="1">
      <alignment horizontal="left" vertical="center"/>
    </xf>
    <xf numFmtId="0" fontId="34" fillId="2" borderId="40" xfId="12" quotePrefix="1" applyFont="1" applyFill="1" applyBorder="1" applyAlignment="1">
      <alignment horizontal="left" vertical="center"/>
    </xf>
    <xf numFmtId="0" fontId="2" fillId="12" borderId="23" xfId="12" applyFill="1" applyBorder="1"/>
    <xf numFmtId="0" fontId="15" fillId="12" borderId="45" xfId="12" applyFont="1" applyFill="1" applyBorder="1" applyAlignment="1">
      <alignment horizontal="centerContinuous"/>
    </xf>
    <xf numFmtId="0" fontId="15" fillId="12" borderId="64" xfId="12" applyFont="1" applyFill="1" applyBorder="1" applyAlignment="1">
      <alignment horizontal="centerContinuous"/>
    </xf>
    <xf numFmtId="0" fontId="2" fillId="12" borderId="26" xfId="12" applyFill="1" applyBorder="1"/>
    <xf numFmtId="0" fontId="15" fillId="12" borderId="36" xfId="12" applyFont="1" applyFill="1" applyBorder="1" applyAlignment="1">
      <alignment horizontal="left" wrapText="1"/>
    </xf>
    <xf numFmtId="0" fontId="15" fillId="12" borderId="5" xfId="12" applyFont="1" applyFill="1" applyBorder="1" applyAlignment="1">
      <alignment horizontal="left"/>
    </xf>
    <xf numFmtId="0" fontId="15" fillId="12" borderId="6" xfId="12" applyFont="1" applyFill="1" applyBorder="1" applyAlignment="1">
      <alignment horizontal="left"/>
    </xf>
    <xf numFmtId="0" fontId="15" fillId="12" borderId="37" xfId="12" applyFont="1" applyFill="1" applyBorder="1" applyAlignment="1">
      <alignment horizontal="center" vertical="center" wrapText="1"/>
    </xf>
    <xf numFmtId="0" fontId="15" fillId="12" borderId="77" xfId="12" applyFont="1" applyFill="1" applyBorder="1" applyAlignment="1">
      <alignment horizontal="center" vertical="center" wrapText="1"/>
    </xf>
    <xf numFmtId="0" fontId="15" fillId="12" borderId="39" xfId="12" applyFont="1" applyFill="1" applyBorder="1" applyAlignment="1">
      <alignment horizontal="center" vertical="center"/>
    </xf>
    <xf numFmtId="3" fontId="2" fillId="0" borderId="65" xfId="12" applyNumberFormat="1" applyBorder="1"/>
    <xf numFmtId="3" fontId="2" fillId="0" borderId="66" xfId="12" applyNumberFormat="1" applyBorder="1"/>
    <xf numFmtId="3" fontId="2" fillId="0" borderId="59" xfId="12" applyNumberFormat="1" applyBorder="1"/>
    <xf numFmtId="0" fontId="2" fillId="0" borderId="60" xfId="12" applyBorder="1"/>
    <xf numFmtId="0" fontId="2" fillId="0" borderId="24" xfId="12" applyBorder="1"/>
    <xf numFmtId="0" fontId="2" fillId="0" borderId="44" xfId="12" applyBorder="1"/>
    <xf numFmtId="3" fontId="2" fillId="0" borderId="33" xfId="12" applyNumberFormat="1" applyBorder="1"/>
    <xf numFmtId="188" fontId="2" fillId="5" borderId="67" xfId="12" applyNumberFormat="1" applyFill="1" applyBorder="1"/>
    <xf numFmtId="188" fontId="2" fillId="5" borderId="74" xfId="12" applyNumberFormat="1" applyFill="1" applyBorder="1"/>
    <xf numFmtId="0" fontId="2" fillId="0" borderId="61" xfId="12" applyBorder="1"/>
    <xf numFmtId="0" fontId="2" fillId="0" borderId="62" xfId="12" applyBorder="1"/>
    <xf numFmtId="3" fontId="2" fillId="0" borderId="37" xfId="12" applyNumberFormat="1" applyBorder="1"/>
    <xf numFmtId="185" fontId="2" fillId="5" borderId="78" xfId="12" applyNumberFormat="1" applyFill="1" applyBorder="1"/>
    <xf numFmtId="185" fontId="2" fillId="5" borderId="56" xfId="12" applyNumberFormat="1" applyFill="1" applyBorder="1"/>
    <xf numFmtId="182" fontId="8" fillId="0" borderId="36" xfId="12" applyNumberFormat="1" applyFont="1" applyBorder="1" applyAlignment="1">
      <alignment horizontal="center"/>
    </xf>
    <xf numFmtId="192" fontId="0" fillId="0" borderId="37" xfId="5" applyNumberFormat="1" applyFont="1" applyBorder="1" applyAlignment="1">
      <alignment horizontal="center"/>
    </xf>
    <xf numFmtId="192" fontId="2" fillId="0" borderId="39" xfId="12" applyNumberFormat="1" applyBorder="1" applyAlignment="1">
      <alignment horizontal="center"/>
    </xf>
    <xf numFmtId="0" fontId="73" fillId="0" borderId="0" xfId="12" applyFont="1" applyAlignment="1">
      <alignment vertical="center"/>
    </xf>
    <xf numFmtId="0" fontId="22" fillId="45" borderId="3" xfId="12" applyFont="1" applyFill="1" applyBorder="1"/>
    <xf numFmtId="0" fontId="95" fillId="12" borderId="4" xfId="12" applyFont="1" applyFill="1" applyBorder="1"/>
    <xf numFmtId="0" fontId="94" fillId="45" borderId="0" xfId="12" applyFont="1" applyFill="1"/>
    <xf numFmtId="0" fontId="95" fillId="45" borderId="0" xfId="12" applyFont="1" applyFill="1"/>
    <xf numFmtId="0" fontId="95" fillId="12" borderId="0" xfId="12" applyFont="1" applyFill="1" applyAlignment="1">
      <alignment horizontal="left"/>
    </xf>
    <xf numFmtId="0" fontId="2" fillId="0" borderId="92" xfId="12" applyBorder="1"/>
    <xf numFmtId="0" fontId="2" fillId="0" borderId="93" xfId="12" applyBorder="1"/>
    <xf numFmtId="0" fontId="15" fillId="2" borderId="1" xfId="12" applyFont="1" applyFill="1" applyBorder="1" applyAlignment="1">
      <alignment horizontal="left"/>
    </xf>
    <xf numFmtId="190" fontId="2" fillId="0" borderId="45" xfId="12" applyNumberFormat="1" applyBorder="1" applyAlignment="1">
      <alignment horizontal="center"/>
    </xf>
    <xf numFmtId="172" fontId="0" fillId="0" borderId="64" xfId="11" applyNumberFormat="1" applyFont="1" applyBorder="1" applyAlignment="1">
      <alignment horizontal="center"/>
    </xf>
    <xf numFmtId="172" fontId="0" fillId="0" borderId="69" xfId="11" applyNumberFormat="1" applyFont="1" applyBorder="1" applyAlignment="1">
      <alignment horizontal="center"/>
    </xf>
    <xf numFmtId="190" fontId="2" fillId="0" borderId="49" xfId="12" applyNumberFormat="1" applyBorder="1" applyAlignment="1">
      <alignment horizontal="center"/>
    </xf>
    <xf numFmtId="172" fontId="0" fillId="0" borderId="7" xfId="11" applyNumberFormat="1" applyFont="1" applyBorder="1" applyAlignment="1">
      <alignment horizontal="center"/>
    </xf>
    <xf numFmtId="172" fontId="0" fillId="0" borderId="32" xfId="11" applyNumberFormat="1" applyFont="1" applyBorder="1" applyAlignment="1">
      <alignment horizontal="center"/>
    </xf>
    <xf numFmtId="190" fontId="2" fillId="0" borderId="54" xfId="12" applyNumberFormat="1" applyBorder="1" applyAlignment="1">
      <alignment horizontal="center"/>
    </xf>
    <xf numFmtId="172" fontId="0" fillId="0" borderId="78" xfId="11" applyNumberFormat="1" applyFont="1" applyBorder="1" applyAlignment="1">
      <alignment horizontal="center"/>
    </xf>
    <xf numFmtId="172" fontId="0" fillId="0" borderId="56" xfId="11" applyNumberFormat="1" applyFont="1" applyBorder="1" applyAlignment="1">
      <alignment horizontal="center"/>
    </xf>
    <xf numFmtId="0" fontId="95" fillId="12" borderId="40" xfId="12" applyFont="1" applyFill="1" applyBorder="1" applyAlignment="1">
      <alignment horizontal="left"/>
    </xf>
    <xf numFmtId="0" fontId="2" fillId="0" borderId="28" xfId="12" applyBorder="1"/>
    <xf numFmtId="0" fontId="2" fillId="0" borderId="29" xfId="12" applyBorder="1"/>
    <xf numFmtId="172" fontId="2" fillId="0" borderId="49" xfId="11" applyNumberFormat="1" applyFont="1" applyFill="1" applyBorder="1" applyAlignment="1">
      <alignment horizontal="center" vertical="center"/>
    </xf>
    <xf numFmtId="172" fontId="2" fillId="0" borderId="7" xfId="11" applyNumberFormat="1" applyFont="1" applyFill="1" applyBorder="1" applyAlignment="1">
      <alignment horizontal="center" vertical="center"/>
    </xf>
    <xf numFmtId="172" fontId="2" fillId="0" borderId="32" xfId="11" applyNumberFormat="1" applyFont="1" applyFill="1" applyBorder="1" applyAlignment="1">
      <alignment horizontal="center" vertical="center"/>
    </xf>
    <xf numFmtId="172" fontId="2" fillId="0" borderId="72" xfId="11" applyNumberFormat="1" applyFont="1" applyFill="1" applyBorder="1" applyAlignment="1">
      <alignment horizontal="center" vertical="center"/>
    </xf>
    <xf numFmtId="172" fontId="2" fillId="0" borderId="79" xfId="11" applyNumberFormat="1" applyFont="1" applyFill="1" applyBorder="1" applyAlignment="1">
      <alignment horizontal="center" vertical="center"/>
    </xf>
    <xf numFmtId="172" fontId="2" fillId="0" borderId="80" xfId="11" applyNumberFormat="1" applyFont="1" applyFill="1" applyBorder="1" applyAlignment="1">
      <alignment horizontal="center" vertical="center"/>
    </xf>
    <xf numFmtId="0" fontId="2" fillId="0" borderId="70" xfId="12" applyBorder="1"/>
    <xf numFmtId="0" fontId="2" fillId="0" borderId="31" xfId="12" applyBorder="1"/>
    <xf numFmtId="0" fontId="8" fillId="0" borderId="36" xfId="12" quotePrefix="1" applyFont="1" applyBorder="1" applyAlignment="1">
      <alignment horizontal="center" vertical="center"/>
    </xf>
    <xf numFmtId="0" fontId="2" fillId="0" borderId="51" xfId="12" applyBorder="1" applyAlignment="1">
      <alignment vertical="center"/>
    </xf>
    <xf numFmtId="0" fontId="2" fillId="0" borderId="52" xfId="12" applyBorder="1" applyAlignment="1">
      <alignment vertical="center"/>
    </xf>
    <xf numFmtId="0" fontId="2" fillId="0" borderId="53" xfId="12" applyBorder="1" applyAlignment="1">
      <alignment vertical="center"/>
    </xf>
    <xf numFmtId="0" fontId="2" fillId="2" borderId="40" xfId="12" applyFill="1" applyBorder="1" applyAlignment="1">
      <alignment horizontal="center"/>
    </xf>
    <xf numFmtId="43" fontId="2" fillId="0" borderId="0" xfId="12" applyNumberFormat="1"/>
    <xf numFmtId="0" fontId="97" fillId="0" borderId="0" xfId="12" applyFont="1"/>
    <xf numFmtId="0" fontId="98" fillId="0" borderId="0" xfId="12" applyFont="1"/>
    <xf numFmtId="0" fontId="96" fillId="0" borderId="0" xfId="12" applyFont="1" applyAlignment="1">
      <alignment horizontal="center" vertical="center"/>
    </xf>
    <xf numFmtId="0" fontId="95" fillId="0" borderId="0" xfId="12" applyFont="1"/>
    <xf numFmtId="44" fontId="2" fillId="0" borderId="0" xfId="12" applyNumberFormat="1"/>
    <xf numFmtId="171" fontId="2" fillId="0" borderId="0" xfId="12" applyNumberFormat="1"/>
    <xf numFmtId="172" fontId="2" fillId="0" borderId="0" xfId="12" applyNumberFormat="1"/>
    <xf numFmtId="183" fontId="2" fillId="0" borderId="37" xfId="12" applyNumberFormat="1" applyBorder="1"/>
    <xf numFmtId="183" fontId="2" fillId="0" borderId="38" xfId="12" applyNumberFormat="1" applyBorder="1"/>
    <xf numFmtId="183" fontId="2" fillId="0" borderId="77" xfId="12" applyNumberFormat="1" applyBorder="1"/>
    <xf numFmtId="183" fontId="2" fillId="0" borderId="98" xfId="12" applyNumberFormat="1" applyBorder="1"/>
    <xf numFmtId="183" fontId="2" fillId="0" borderId="39" xfId="12" applyNumberFormat="1" applyBorder="1"/>
    <xf numFmtId="164" fontId="158" fillId="0" borderId="0" xfId="281" applyNumberFormat="1" applyFont="1" applyAlignment="1">
      <alignment vertical="center"/>
    </xf>
    <xf numFmtId="0" fontId="2" fillId="11" borderId="47" xfId="2" applyFill="1" applyBorder="1" applyAlignment="1">
      <alignment horizontal="center"/>
    </xf>
    <xf numFmtId="0" fontId="2" fillId="10" borderId="24" xfId="2" applyFill="1" applyBorder="1"/>
    <xf numFmtId="0" fontId="2" fillId="11" borderId="48" xfId="2" applyFill="1" applyBorder="1" applyAlignment="1">
      <alignment horizontal="center"/>
    </xf>
    <xf numFmtId="0" fontId="2" fillId="10" borderId="29" xfId="2" applyFill="1" applyBorder="1"/>
    <xf numFmtId="0" fontId="2" fillId="11" borderId="63" xfId="2" applyFill="1" applyBorder="1" applyAlignment="1">
      <alignment horizontal="center"/>
    </xf>
    <xf numFmtId="0" fontId="2" fillId="10" borderId="62" xfId="2" applyFill="1" applyBorder="1"/>
    <xf numFmtId="0" fontId="157" fillId="10" borderId="47" xfId="0" applyFont="1" applyFill="1" applyBorder="1" applyAlignment="1">
      <alignment horizontal="center"/>
    </xf>
    <xf numFmtId="171" fontId="2" fillId="10" borderId="24" xfId="279" applyNumberFormat="1" applyFont="1" applyFill="1" applyBorder="1" applyAlignment="1">
      <alignment horizontal="center"/>
    </xf>
    <xf numFmtId="1" fontId="2" fillId="47" borderId="47" xfId="279" applyNumberFormat="1" applyFont="1" applyFill="1" applyBorder="1" applyAlignment="1">
      <alignment horizontal="center"/>
    </xf>
    <xf numFmtId="1" fontId="2" fillId="10" borderId="47" xfId="279" applyNumberFormat="1" applyFont="1" applyFill="1" applyBorder="1" applyAlignment="1">
      <alignment horizontal="center"/>
    </xf>
    <xf numFmtId="171" fontId="2" fillId="10" borderId="47" xfId="279" applyNumberFormat="1" applyFont="1" applyFill="1" applyBorder="1" applyAlignment="1">
      <alignment horizontal="center"/>
    </xf>
    <xf numFmtId="0" fontId="157" fillId="10" borderId="48" xfId="0" applyFont="1" applyFill="1" applyBorder="1" applyAlignment="1">
      <alignment horizontal="center"/>
    </xf>
    <xf numFmtId="171" fontId="2" fillId="10" borderId="29" xfId="279" applyNumberFormat="1" applyFont="1" applyFill="1" applyBorder="1" applyAlignment="1">
      <alignment horizontal="center"/>
    </xf>
    <xf numFmtId="1" fontId="2" fillId="47" borderId="48" xfId="279" applyNumberFormat="1" applyFont="1" applyFill="1" applyBorder="1" applyAlignment="1">
      <alignment horizontal="center"/>
    </xf>
    <xf numFmtId="1" fontId="2" fillId="10" borderId="48" xfId="279" applyNumberFormat="1" applyFont="1" applyFill="1" applyBorder="1" applyAlignment="1">
      <alignment horizontal="center"/>
    </xf>
    <xf numFmtId="171" fontId="2" fillId="10" borderId="48" xfId="279" applyNumberFormat="1" applyFont="1" applyFill="1" applyBorder="1" applyAlignment="1">
      <alignment horizontal="center"/>
    </xf>
    <xf numFmtId="0" fontId="157" fillId="10" borderId="63" xfId="0" applyFont="1" applyFill="1" applyBorder="1" applyAlignment="1">
      <alignment horizontal="center"/>
    </xf>
    <xf numFmtId="171" fontId="2" fillId="10" borderId="62" xfId="279" applyNumberFormat="1" applyFont="1" applyFill="1" applyBorder="1" applyAlignment="1">
      <alignment horizontal="center"/>
    </xf>
    <xf numFmtId="1" fontId="2" fillId="47" borderId="63" xfId="279" applyNumberFormat="1" applyFont="1" applyFill="1" applyBorder="1" applyAlignment="1">
      <alignment horizontal="center"/>
    </xf>
    <xf numFmtId="1" fontId="2" fillId="10" borderId="63" xfId="279" applyNumberFormat="1" applyFont="1" applyFill="1" applyBorder="1" applyAlignment="1">
      <alignment horizontal="center"/>
    </xf>
    <xf numFmtId="171" fontId="2" fillId="10" borderId="63" xfId="279" applyNumberFormat="1" applyFont="1" applyFill="1" applyBorder="1" applyAlignment="1">
      <alignment horizontal="center"/>
    </xf>
    <xf numFmtId="2" fontId="0" fillId="47" borderId="45" xfId="0" applyNumberFormat="1" applyFill="1" applyBorder="1"/>
    <xf numFmtId="2" fontId="0" fillId="10" borderId="64" xfId="0" applyNumberFormat="1" applyFill="1" applyBorder="1"/>
    <xf numFmtId="39" fontId="0" fillId="4" borderId="99" xfId="0" applyNumberFormat="1" applyFill="1" applyBorder="1"/>
    <xf numFmtId="2" fontId="0" fillId="47" borderId="49" xfId="0" applyNumberFormat="1" applyFill="1" applyBorder="1"/>
    <xf numFmtId="2" fontId="0" fillId="10" borderId="7" xfId="0" applyNumberFormat="1" applyFill="1" applyBorder="1"/>
    <xf numFmtId="39" fontId="0" fillId="4" borderId="8" xfId="0" applyNumberFormat="1" applyFill="1" applyBorder="1"/>
    <xf numFmtId="2" fontId="0" fillId="47" borderId="54" xfId="0" applyNumberFormat="1" applyFill="1" applyBorder="1"/>
    <xf numFmtId="2" fontId="0" fillId="10" borderId="78" xfId="0" applyNumberFormat="1" applyFill="1" applyBorder="1"/>
    <xf numFmtId="39" fontId="0" fillId="4" borderId="100" xfId="0" applyNumberFormat="1" applyFill="1" applyBorder="1"/>
    <xf numFmtId="39" fontId="0" fillId="4" borderId="64" xfId="0" applyNumberFormat="1" applyFill="1" applyBorder="1"/>
    <xf numFmtId="0" fontId="8" fillId="0" borderId="99" xfId="0" applyFont="1" applyBorder="1" applyAlignment="1">
      <alignment horizontal="center"/>
    </xf>
    <xf numFmtId="0" fontId="8" fillId="0" borderId="24" xfId="0" applyFont="1" applyBorder="1" applyAlignment="1">
      <alignment horizontal="center"/>
    </xf>
    <xf numFmtId="39" fontId="0" fillId="4" borderId="7" xfId="0" applyNumberFormat="1" applyFill="1" applyBorder="1"/>
    <xf numFmtId="0" fontId="8" fillId="0" borderId="8" xfId="0" applyFont="1" applyBorder="1" applyAlignment="1">
      <alignment horizontal="center"/>
    </xf>
    <xf numFmtId="0" fontId="8" fillId="0" borderId="29" xfId="0" applyFont="1" applyBorder="1" applyAlignment="1">
      <alignment horizontal="center"/>
    </xf>
    <xf numFmtId="39" fontId="0" fillId="4" borderId="78" xfId="0" applyNumberFormat="1" applyFill="1" applyBorder="1"/>
    <xf numFmtId="0" fontId="8" fillId="0" borderId="100" xfId="0" applyFont="1" applyBorder="1" applyAlignment="1">
      <alignment horizontal="center"/>
    </xf>
    <xf numFmtId="0" fontId="8" fillId="0" borderId="62" xfId="0" applyFont="1" applyBorder="1" applyAlignment="1">
      <alignment horizontal="center"/>
    </xf>
    <xf numFmtId="3" fontId="2" fillId="10" borderId="47" xfId="279" applyNumberFormat="1" applyFont="1" applyFill="1" applyBorder="1" applyAlignment="1">
      <alignment horizontal="center"/>
    </xf>
    <xf numFmtId="37" fontId="2" fillId="3" borderId="47" xfId="2" applyNumberFormat="1" applyFill="1" applyBorder="1"/>
    <xf numFmtId="9" fontId="2" fillId="10" borderId="47" xfId="279" applyFont="1" applyFill="1" applyBorder="1"/>
    <xf numFmtId="37" fontId="2" fillId="47" borderId="47" xfId="2" applyNumberFormat="1" applyFill="1" applyBorder="1"/>
    <xf numFmtId="3" fontId="2" fillId="10" borderId="48" xfId="279" applyNumberFormat="1" applyFont="1" applyFill="1" applyBorder="1" applyAlignment="1">
      <alignment horizontal="center"/>
    </xf>
    <xf numFmtId="37" fontId="2" fillId="3" borderId="48" xfId="2" applyNumberFormat="1" applyFill="1" applyBorder="1"/>
    <xf numFmtId="9" fontId="2" fillId="10" borderId="48" xfId="279" applyFont="1" applyFill="1" applyBorder="1"/>
    <xf numFmtId="37" fontId="2" fillId="47" borderId="48" xfId="2" applyNumberFormat="1" applyFill="1" applyBorder="1"/>
    <xf numFmtId="3" fontId="2" fillId="10" borderId="63" xfId="279" applyNumberFormat="1" applyFont="1" applyFill="1" applyBorder="1" applyAlignment="1">
      <alignment horizontal="center"/>
    </xf>
    <xf numFmtId="37" fontId="2" fillId="3" borderId="63" xfId="2" applyNumberFormat="1" applyFill="1" applyBorder="1"/>
    <xf numFmtId="37" fontId="2" fillId="47" borderId="63" xfId="2" applyNumberFormat="1" applyFill="1" applyBorder="1"/>
    <xf numFmtId="0" fontId="8" fillId="2" borderId="24" xfId="2" applyFont="1" applyFill="1" applyBorder="1"/>
    <xf numFmtId="0" fontId="2" fillId="10" borderId="47" xfId="2" applyFill="1" applyBorder="1"/>
    <xf numFmtId="0" fontId="2" fillId="3" borderId="99" xfId="2" applyFill="1" applyBorder="1"/>
    <xf numFmtId="0" fontId="2" fillId="3" borderId="92" xfId="2" applyFill="1" applyBorder="1"/>
    <xf numFmtId="0" fontId="2" fillId="3" borderId="24" xfId="2" applyFill="1" applyBorder="1"/>
    <xf numFmtId="172" fontId="2" fillId="10" borderId="47" xfId="279" applyNumberFormat="1" applyFont="1" applyFill="1" applyBorder="1" applyAlignment="1">
      <alignment horizontal="center"/>
    </xf>
    <xf numFmtId="0" fontId="8" fillId="2" borderId="28" xfId="2" applyFont="1" applyFill="1" applyBorder="1"/>
    <xf numFmtId="0" fontId="8" fillId="2" borderId="29" xfId="2" applyFont="1" applyFill="1" applyBorder="1"/>
    <xf numFmtId="0" fontId="2" fillId="10" borderId="48" xfId="2" applyFill="1" applyBorder="1"/>
    <xf numFmtId="0" fontId="2" fillId="3" borderId="8" xfId="2" applyFill="1" applyBorder="1"/>
    <xf numFmtId="0" fontId="2" fillId="3" borderId="29" xfId="2" applyFill="1" applyBorder="1"/>
    <xf numFmtId="172" fontId="2" fillId="10" borderId="48" xfId="279" applyNumberFormat="1" applyFont="1" applyFill="1" applyBorder="1" applyAlignment="1">
      <alignment horizontal="center"/>
    </xf>
    <xf numFmtId="0" fontId="8" fillId="2" borderId="62" xfId="2" applyFont="1" applyFill="1" applyBorder="1"/>
    <xf numFmtId="0" fontId="2" fillId="10" borderId="63" xfId="2" applyFill="1" applyBorder="1"/>
    <xf numFmtId="0" fontId="2" fillId="3" borderId="100" xfId="2" applyFill="1" applyBorder="1"/>
    <xf numFmtId="0" fontId="2" fillId="3" borderId="93" xfId="2" applyFill="1" applyBorder="1"/>
    <xf numFmtId="0" fontId="2" fillId="3" borderId="62" xfId="2" applyFill="1" applyBorder="1"/>
    <xf numFmtId="172" fontId="2" fillId="10" borderId="63" xfId="279" applyNumberFormat="1" applyFont="1" applyFill="1" applyBorder="1" applyAlignment="1">
      <alignment horizontal="center"/>
    </xf>
    <xf numFmtId="37" fontId="2" fillId="3" borderId="103" xfId="2" applyNumberFormat="1" applyFill="1" applyBorder="1"/>
    <xf numFmtId="203" fontId="2" fillId="47" borderId="104" xfId="2" applyNumberFormat="1" applyFill="1" applyBorder="1"/>
    <xf numFmtId="39" fontId="2" fillId="47" borderId="105" xfId="2" applyNumberFormat="1" applyFill="1" applyBorder="1"/>
    <xf numFmtId="39" fontId="2" fillId="47" borderId="106" xfId="2" applyNumberFormat="1" applyFill="1" applyBorder="1"/>
    <xf numFmtId="202" fontId="2" fillId="47" borderId="107" xfId="2" applyNumberFormat="1" applyFill="1" applyBorder="1"/>
    <xf numFmtId="202" fontId="2" fillId="47" borderId="105" xfId="2" applyNumberFormat="1" applyFill="1" applyBorder="1"/>
    <xf numFmtId="202" fontId="2" fillId="47" borderId="108" xfId="2" applyNumberFormat="1" applyFill="1" applyBorder="1"/>
    <xf numFmtId="37" fontId="2" fillId="3" borderId="109" xfId="2" applyNumberFormat="1" applyFill="1" applyBorder="1"/>
    <xf numFmtId="203" fontId="2" fillId="47" borderId="110" xfId="2" applyNumberFormat="1" applyFill="1" applyBorder="1"/>
    <xf numFmtId="39" fontId="2" fillId="47" borderId="111" xfId="2" applyNumberFormat="1" applyFill="1" applyBorder="1"/>
    <xf numFmtId="39" fontId="2" fillId="47" borderId="112" xfId="2" applyNumberFormat="1" applyFill="1" applyBorder="1"/>
    <xf numFmtId="202" fontId="2" fillId="47" borderId="113" xfId="2" applyNumberFormat="1" applyFill="1" applyBorder="1"/>
    <xf numFmtId="202" fontId="2" fillId="47" borderId="111" xfId="2" applyNumberFormat="1" applyFill="1" applyBorder="1"/>
    <xf numFmtId="202" fontId="2" fillId="47" borderId="114" xfId="2" applyNumberFormat="1" applyFill="1" applyBorder="1"/>
    <xf numFmtId="37" fontId="2" fillId="3" borderId="115" xfId="2" applyNumberFormat="1" applyFill="1" applyBorder="1"/>
    <xf numFmtId="203" fontId="2" fillId="47" borderId="116" xfId="2" applyNumberFormat="1" applyFill="1" applyBorder="1"/>
    <xf numFmtId="39" fontId="2" fillId="47" borderId="117" xfId="2" applyNumberFormat="1" applyFill="1" applyBorder="1"/>
    <xf numFmtId="39" fontId="2" fillId="47" borderId="118" xfId="2" applyNumberFormat="1" applyFill="1" applyBorder="1"/>
    <xf numFmtId="202" fontId="2" fillId="47" borderId="119" xfId="2" applyNumberFormat="1" applyFill="1" applyBorder="1"/>
    <xf numFmtId="202" fontId="2" fillId="47" borderId="117" xfId="2" applyNumberFormat="1" applyFill="1" applyBorder="1"/>
    <xf numFmtId="202" fontId="2" fillId="47" borderId="120" xfId="2" applyNumberFormat="1" applyFill="1" applyBorder="1"/>
    <xf numFmtId="203" fontId="2" fillId="10" borderId="104" xfId="2" applyNumberFormat="1" applyFill="1" applyBorder="1"/>
    <xf numFmtId="39" fontId="2" fillId="10" borderId="105" xfId="2" applyNumberFormat="1" applyFill="1" applyBorder="1"/>
    <xf numFmtId="39" fontId="2" fillId="10" borderId="108" xfId="2" applyNumberFormat="1" applyFill="1" applyBorder="1"/>
    <xf numFmtId="202" fontId="2" fillId="47" borderId="104" xfId="2" applyNumberFormat="1" applyFill="1" applyBorder="1"/>
    <xf numFmtId="203" fontId="2" fillId="10" borderId="110" xfId="2" applyNumberFormat="1" applyFill="1" applyBorder="1"/>
    <xf numFmtId="39" fontId="2" fillId="10" borderId="111" xfId="2" applyNumberFormat="1" applyFill="1" applyBorder="1"/>
    <xf numFmtId="39" fontId="2" fillId="10" borderId="114" xfId="2" applyNumberFormat="1" applyFill="1" applyBorder="1"/>
    <xf numFmtId="202" fontId="2" fillId="47" borderId="110" xfId="2" applyNumberFormat="1" applyFill="1" applyBorder="1"/>
    <xf numFmtId="203" fontId="2" fillId="10" borderId="116" xfId="2" applyNumberFormat="1" applyFill="1" applyBorder="1"/>
    <xf numFmtId="39" fontId="2" fillId="10" borderId="117" xfId="2" applyNumberFormat="1" applyFill="1" applyBorder="1"/>
    <xf numFmtId="39" fontId="2" fillId="10" borderId="120" xfId="2" applyNumberFormat="1" applyFill="1" applyBorder="1"/>
    <xf numFmtId="202" fontId="2" fillId="47" borderId="116" xfId="2" applyNumberFormat="1" applyFill="1" applyBorder="1"/>
    <xf numFmtId="0" fontId="2" fillId="10" borderId="60" xfId="2" applyFill="1" applyBorder="1"/>
    <xf numFmtId="0" fontId="2" fillId="10" borderId="28" xfId="2" applyFill="1" applyBorder="1"/>
    <xf numFmtId="0" fontId="2" fillId="10" borderId="104" xfId="2" applyFill="1" applyBorder="1"/>
    <xf numFmtId="0" fontId="2" fillId="10" borderId="106" xfId="2" applyFill="1" applyBorder="1"/>
    <xf numFmtId="0" fontId="2" fillId="10" borderId="121" xfId="2" applyFill="1" applyBorder="1"/>
    <xf numFmtId="0" fontId="2" fillId="10" borderId="122" xfId="2" applyFill="1" applyBorder="1"/>
    <xf numFmtId="0" fontId="2" fillId="10" borderId="110" xfId="2" applyFill="1" applyBorder="1"/>
    <xf numFmtId="0" fontId="2" fillId="10" borderId="112" xfId="2" applyFill="1" applyBorder="1"/>
    <xf numFmtId="0" fontId="2" fillId="10" borderId="123" xfId="2" applyFill="1" applyBorder="1"/>
    <xf numFmtId="0" fontId="2" fillId="10" borderId="124" xfId="2" applyFill="1" applyBorder="1"/>
    <xf numFmtId="0" fontId="2" fillId="10" borderId="116" xfId="2" applyFill="1" applyBorder="1"/>
    <xf numFmtId="0" fontId="2" fillId="10" borderId="118" xfId="2" applyFill="1" applyBorder="1"/>
    <xf numFmtId="0" fontId="2" fillId="10" borderId="125" xfId="2" applyFill="1" applyBorder="1"/>
    <xf numFmtId="0" fontId="2" fillId="10" borderId="126" xfId="2" applyFill="1" applyBorder="1"/>
    <xf numFmtId="0" fontId="2" fillId="3" borderId="47" xfId="2" applyFill="1" applyBorder="1"/>
    <xf numFmtId="0" fontId="2" fillId="3" borderId="48" xfId="2" applyFill="1" applyBorder="1"/>
    <xf numFmtId="0" fontId="2" fillId="3" borderId="63" xfId="2" applyFill="1" applyBorder="1"/>
    <xf numFmtId="0" fontId="2" fillId="2" borderId="29" xfId="2" applyFill="1" applyBorder="1"/>
    <xf numFmtId="43" fontId="2" fillId="3" borderId="47" xfId="5" applyFont="1" applyFill="1" applyBorder="1" applyAlignment="1"/>
    <xf numFmtId="43" fontId="2" fillId="3" borderId="48" xfId="5" applyFont="1" applyFill="1" applyBorder="1" applyAlignment="1"/>
    <xf numFmtId="43" fontId="2" fillId="3" borderId="63" xfId="5" applyFont="1" applyFill="1" applyBorder="1" applyAlignment="1"/>
    <xf numFmtId="172" fontId="2" fillId="3" borderId="47" xfId="2" applyNumberFormat="1" applyFill="1" applyBorder="1"/>
    <xf numFmtId="172" fontId="2" fillId="3" borderId="48" xfId="2" applyNumberFormat="1" applyFill="1" applyBorder="1"/>
    <xf numFmtId="172" fontId="2" fillId="3" borderId="63" xfId="2" applyNumberFormat="1" applyFill="1" applyBorder="1"/>
    <xf numFmtId="37" fontId="2" fillId="3" borderId="107" xfId="2" applyNumberFormat="1" applyFill="1" applyBorder="1"/>
    <xf numFmtId="37" fontId="2" fillId="3" borderId="105" xfId="2" applyNumberFormat="1" applyFill="1" applyBorder="1"/>
    <xf numFmtId="7" fontId="2" fillId="3" borderId="121" xfId="2" applyNumberFormat="1" applyFill="1" applyBorder="1"/>
    <xf numFmtId="174" fontId="2" fillId="5" borderId="103" xfId="2" applyNumberFormat="1" applyFill="1" applyBorder="1"/>
    <xf numFmtId="39" fontId="2" fillId="5" borderId="103" xfId="2" applyNumberFormat="1" applyFill="1" applyBorder="1"/>
    <xf numFmtId="172" fontId="2" fillId="5" borderId="103" xfId="3" applyNumberFormat="1" applyFont="1" applyFill="1" applyBorder="1"/>
    <xf numFmtId="37" fontId="2" fillId="3" borderId="113" xfId="2" applyNumberFormat="1" applyFill="1" applyBorder="1"/>
    <xf numFmtId="37" fontId="2" fillId="3" borderId="111" xfId="2" applyNumberFormat="1" applyFill="1" applyBorder="1"/>
    <xf numFmtId="7" fontId="2" fillId="3" borderId="123" xfId="2" applyNumberFormat="1" applyFill="1" applyBorder="1"/>
    <xf numFmtId="174" fontId="2" fillId="5" borderId="109" xfId="2" applyNumberFormat="1" applyFill="1" applyBorder="1"/>
    <xf numFmtId="39" fontId="2" fillId="5" borderId="109" xfId="2" applyNumberFormat="1" applyFill="1" applyBorder="1"/>
    <xf numFmtId="172" fontId="2" fillId="5" borderId="109" xfId="3" applyNumberFormat="1" applyFont="1" applyFill="1" applyBorder="1"/>
    <xf numFmtId="37" fontId="2" fillId="3" borderId="119" xfId="2" applyNumberFormat="1" applyFill="1" applyBorder="1"/>
    <xf numFmtId="37" fontId="2" fillId="3" borderId="117" xfId="2" applyNumberFormat="1" applyFill="1" applyBorder="1"/>
    <xf numFmtId="7" fontId="2" fillId="3" borderId="125" xfId="2" applyNumberFormat="1" applyFill="1" applyBorder="1"/>
    <xf numFmtId="174" fontId="2" fillId="5" borderId="115" xfId="2" applyNumberFormat="1" applyFill="1" applyBorder="1"/>
    <xf numFmtId="39" fontId="2" fillId="5" borderId="115" xfId="2" applyNumberFormat="1" applyFill="1" applyBorder="1"/>
    <xf numFmtId="172" fontId="2" fillId="5" borderId="115" xfId="3" applyNumberFormat="1" applyFont="1" applyFill="1" applyBorder="1"/>
    <xf numFmtId="174" fontId="2" fillId="47" borderId="103" xfId="2" applyNumberFormat="1" applyFill="1" applyBorder="1"/>
    <xf numFmtId="174" fontId="2" fillId="47" borderId="109" xfId="2" applyNumberFormat="1" applyFill="1" applyBorder="1"/>
    <xf numFmtId="174" fontId="2" fillId="47" borderId="115" xfId="2" applyNumberFormat="1" applyFill="1" applyBorder="1"/>
    <xf numFmtId="0" fontId="140" fillId="12" borderId="60" xfId="2" applyFont="1" applyFill="1" applyBorder="1"/>
    <xf numFmtId="0" fontId="140" fillId="12" borderId="24" xfId="2" applyFont="1" applyFill="1" applyBorder="1"/>
    <xf numFmtId="0" fontId="0" fillId="10" borderId="47" xfId="0" applyFill="1" applyBorder="1"/>
    <xf numFmtId="0" fontId="140" fillId="12" borderId="28" xfId="2" applyFont="1" applyFill="1" applyBorder="1"/>
    <xf numFmtId="0" fontId="140" fillId="12" borderId="29" xfId="2" applyFont="1" applyFill="1" applyBorder="1"/>
    <xf numFmtId="0" fontId="0" fillId="10" borderId="48" xfId="0" applyFill="1" applyBorder="1"/>
    <xf numFmtId="0" fontId="140" fillId="12" borderId="61" xfId="2" applyFont="1" applyFill="1" applyBorder="1"/>
    <xf numFmtId="0" fontId="140" fillId="12" borderId="62" xfId="2" applyFont="1" applyFill="1" applyBorder="1"/>
    <xf numFmtId="0" fontId="0" fillId="10" borderId="63" xfId="0" applyFill="1" applyBorder="1"/>
    <xf numFmtId="37" fontId="2" fillId="5" borderId="45" xfId="2" applyNumberFormat="1" applyFill="1" applyBorder="1"/>
    <xf numFmtId="37" fontId="2" fillId="5" borderId="64" xfId="2" applyNumberFormat="1" applyFill="1" applyBorder="1"/>
    <xf numFmtId="172" fontId="2" fillId="5" borderId="64" xfId="279" applyNumberFormat="1" applyFont="1" applyFill="1" applyBorder="1"/>
    <xf numFmtId="172" fontId="2" fillId="5" borderId="99" xfId="279" applyNumberFormat="1" applyFont="1" applyFill="1" applyBorder="1"/>
    <xf numFmtId="172" fontId="2" fillId="5" borderId="69" xfId="279" applyNumberFormat="1" applyFont="1" applyFill="1" applyBorder="1"/>
    <xf numFmtId="37" fontId="2" fillId="5" borderId="49" xfId="2" applyNumberFormat="1" applyFill="1" applyBorder="1"/>
    <xf numFmtId="37" fontId="2" fillId="5" borderId="7" xfId="2" applyNumberFormat="1" applyFill="1" applyBorder="1"/>
    <xf numFmtId="172" fontId="2" fillId="5" borderId="7" xfId="279" applyNumberFormat="1" applyFont="1" applyFill="1" applyBorder="1"/>
    <xf numFmtId="172" fontId="2" fillId="5" borderId="8" xfId="279" applyNumberFormat="1" applyFont="1" applyFill="1" applyBorder="1"/>
    <xf numFmtId="172" fontId="2" fillId="5" borderId="32" xfId="279" applyNumberFormat="1" applyFont="1" applyFill="1" applyBorder="1"/>
    <xf numFmtId="37" fontId="2" fillId="5" borderId="54" xfId="2" applyNumberFormat="1" applyFill="1" applyBorder="1"/>
    <xf numFmtId="37" fontId="2" fillId="5" borderId="78" xfId="2" applyNumberFormat="1" applyFill="1" applyBorder="1"/>
    <xf numFmtId="172" fontId="2" fillId="5" borderId="78" xfId="279" applyNumberFormat="1" applyFont="1" applyFill="1" applyBorder="1"/>
    <xf numFmtId="172" fontId="2" fillId="5" borderId="100" xfId="279" applyNumberFormat="1" applyFont="1" applyFill="1" applyBorder="1"/>
    <xf numFmtId="172" fontId="2" fillId="5" borderId="56" xfId="279" applyNumberFormat="1" applyFont="1" applyFill="1" applyBorder="1"/>
    <xf numFmtId="0" fontId="140" fillId="12" borderId="47" xfId="2" applyFont="1" applyFill="1" applyBorder="1"/>
    <xf numFmtId="0" fontId="140" fillId="12" borderId="48" xfId="2" applyFont="1" applyFill="1" applyBorder="1"/>
    <xf numFmtId="0" fontId="140" fillId="12" borderId="63" xfId="2" applyFont="1" applyFill="1" applyBorder="1"/>
    <xf numFmtId="2" fontId="2" fillId="10" borderId="47" xfId="279" applyNumberFormat="1" applyFont="1" applyFill="1" applyBorder="1" applyAlignment="1">
      <alignment horizontal="center"/>
    </xf>
    <xf numFmtId="2" fontId="2" fillId="10" borderId="48" xfId="279" applyNumberFormat="1" applyFont="1" applyFill="1" applyBorder="1" applyAlignment="1">
      <alignment horizontal="center"/>
    </xf>
    <xf numFmtId="2" fontId="2" fillId="10" borderId="63" xfId="279" applyNumberFormat="1" applyFont="1" applyFill="1" applyBorder="1" applyAlignment="1">
      <alignment horizontal="center"/>
    </xf>
    <xf numFmtId="0" fontId="0" fillId="0" borderId="0" xfId="0" applyAlignment="1">
      <alignment horizontal="center" vertical="center"/>
    </xf>
    <xf numFmtId="197" fontId="0" fillId="0" borderId="0" xfId="282" applyNumberFormat="1" applyFont="1"/>
    <xf numFmtId="0" fontId="0" fillId="0" borderId="27" xfId="0" applyBorder="1"/>
    <xf numFmtId="3" fontId="0" fillId="0" borderId="3" xfId="282" applyNumberFormat="1" applyFont="1" applyBorder="1" applyAlignment="1">
      <alignment horizontal="center"/>
    </xf>
    <xf numFmtId="3" fontId="0" fillId="70" borderId="0" xfId="282" applyNumberFormat="1" applyFont="1" applyFill="1" applyBorder="1" applyAlignment="1">
      <alignment horizontal="center"/>
    </xf>
    <xf numFmtId="3" fontId="0" fillId="0" borderId="4" xfId="282" applyNumberFormat="1" applyFont="1" applyBorder="1" applyAlignment="1">
      <alignment horizontal="center"/>
    </xf>
    <xf numFmtId="3" fontId="0" fillId="70" borderId="3" xfId="282" applyNumberFormat="1" applyFont="1" applyFill="1" applyBorder="1" applyAlignment="1">
      <alignment horizontal="center"/>
    </xf>
    <xf numFmtId="2" fontId="0" fillId="0" borderId="3" xfId="0" applyNumberFormat="1" applyBorder="1" applyAlignment="1">
      <alignment horizontal="center"/>
    </xf>
    <xf numFmtId="2" fontId="0" fillId="0" borderId="4" xfId="0" applyNumberFormat="1" applyBorder="1" applyAlignment="1">
      <alignment horizontal="center"/>
    </xf>
    <xf numFmtId="3" fontId="0" fillId="70" borderId="3" xfId="0" applyNumberFormat="1" applyFill="1" applyBorder="1" applyAlignment="1">
      <alignment horizontal="center"/>
    </xf>
    <xf numFmtId="3" fontId="0" fillId="0" borderId="4" xfId="0" applyNumberFormat="1" applyBorder="1" applyAlignment="1">
      <alignment horizontal="center"/>
    </xf>
    <xf numFmtId="3" fontId="0" fillId="0" borderId="0" xfId="0" applyNumberFormat="1" applyAlignment="1">
      <alignment horizontal="center"/>
    </xf>
    <xf numFmtId="0" fontId="0" fillId="0" borderId="128" xfId="0" applyBorder="1"/>
    <xf numFmtId="3" fontId="0" fillId="0" borderId="129" xfId="282" applyNumberFormat="1" applyFont="1" applyBorder="1" applyAlignment="1">
      <alignment horizontal="center"/>
    </xf>
    <xf numFmtId="3" fontId="0" fillId="70" borderId="127" xfId="282" applyNumberFormat="1" applyFont="1" applyFill="1" applyBorder="1" applyAlignment="1">
      <alignment horizontal="center"/>
    </xf>
    <xf numFmtId="3" fontId="0" fillId="0" borderId="130" xfId="282" applyNumberFormat="1" applyFont="1" applyBorder="1" applyAlignment="1">
      <alignment horizontal="center"/>
    </xf>
    <xf numFmtId="3" fontId="0" fillId="70" borderId="129" xfId="282" applyNumberFormat="1" applyFont="1" applyFill="1" applyBorder="1" applyAlignment="1">
      <alignment horizontal="center"/>
    </xf>
    <xf numFmtId="2" fontId="0" fillId="0" borderId="129" xfId="0" applyNumberFormat="1" applyBorder="1" applyAlignment="1">
      <alignment horizontal="center"/>
    </xf>
    <xf numFmtId="2" fontId="0" fillId="0" borderId="130" xfId="0" applyNumberFormat="1" applyBorder="1" applyAlignment="1">
      <alignment horizontal="center"/>
    </xf>
    <xf numFmtId="3" fontId="0" fillId="70" borderId="129" xfId="0" applyNumberFormat="1" applyFill="1" applyBorder="1" applyAlignment="1">
      <alignment horizontal="center"/>
    </xf>
    <xf numFmtId="3" fontId="0" fillId="0" borderId="130" xfId="0" applyNumberFormat="1" applyBorder="1" applyAlignment="1">
      <alignment horizontal="center"/>
    </xf>
    <xf numFmtId="3" fontId="0" fillId="0" borderId="127" xfId="0" applyNumberFormat="1" applyBorder="1" applyAlignment="1">
      <alignment horizontal="center"/>
    </xf>
    <xf numFmtId="0" fontId="0" fillId="0" borderId="0" xfId="0" applyAlignment="1">
      <alignment horizontal="center"/>
    </xf>
    <xf numFmtId="179" fontId="0" fillId="0" borderId="0" xfId="282" applyNumberFormat="1" applyFont="1" applyAlignment="1">
      <alignment horizontal="center"/>
    </xf>
    <xf numFmtId="0" fontId="0" fillId="0" borderId="131" xfId="0" applyBorder="1"/>
    <xf numFmtId="0" fontId="0" fillId="0" borderId="132" xfId="0" applyBorder="1" applyAlignment="1">
      <alignment horizontal="center"/>
    </xf>
    <xf numFmtId="0" fontId="0" fillId="70" borderId="133" xfId="0" applyFill="1" applyBorder="1" applyAlignment="1">
      <alignment horizontal="center"/>
    </xf>
    <xf numFmtId="0" fontId="0" fillId="0" borderId="134" xfId="0" applyBorder="1" applyAlignment="1">
      <alignment horizontal="center"/>
    </xf>
    <xf numFmtId="0" fontId="0" fillId="70" borderId="132" xfId="0" applyFill="1" applyBorder="1" applyAlignment="1">
      <alignment horizontal="center"/>
    </xf>
    <xf numFmtId="0" fontId="0" fillId="70" borderId="135" xfId="0" applyFill="1" applyBorder="1" applyAlignment="1">
      <alignment horizontal="center"/>
    </xf>
    <xf numFmtId="0" fontId="0" fillId="0" borderId="131" xfId="0" applyBorder="1" applyAlignment="1">
      <alignment horizontal="center"/>
    </xf>
    <xf numFmtId="0" fontId="0" fillId="0" borderId="136" xfId="0" applyBorder="1" applyAlignment="1">
      <alignment horizontal="center"/>
    </xf>
    <xf numFmtId="0" fontId="17" fillId="3" borderId="8" xfId="2" applyFont="1" applyFill="1" applyBorder="1" applyAlignment="1">
      <alignment horizontal="left" vertical="center"/>
    </xf>
    <xf numFmtId="0" fontId="17" fillId="3" borderId="9" xfId="2" applyFont="1" applyFill="1" applyBorder="1" applyAlignment="1">
      <alignment horizontal="left" vertical="center"/>
    </xf>
    <xf numFmtId="0" fontId="17" fillId="3" borderId="10" xfId="2" applyFont="1" applyFill="1" applyBorder="1" applyAlignment="1">
      <alignment horizontal="left" vertical="center"/>
    </xf>
    <xf numFmtId="0" fontId="8" fillId="11" borderId="8" xfId="2" applyFont="1" applyFill="1" applyBorder="1" applyAlignment="1">
      <alignment horizontal="left"/>
    </xf>
    <xf numFmtId="0" fontId="8" fillId="11" borderId="9" xfId="2" applyFont="1" applyFill="1" applyBorder="1" applyAlignment="1">
      <alignment horizontal="left"/>
    </xf>
    <xf numFmtId="0" fontId="8" fillId="11" borderId="29" xfId="2" applyFont="1" applyFill="1" applyBorder="1" applyAlignment="1">
      <alignment horizontal="left"/>
    </xf>
    <xf numFmtId="0" fontId="26" fillId="0" borderId="0" xfId="0" applyFont="1" applyAlignment="1">
      <alignment horizontal="center" vertical="center"/>
    </xf>
    <xf numFmtId="0" fontId="29" fillId="0" borderId="0" xfId="0" applyFont="1" applyAlignment="1">
      <alignment horizontal="center"/>
    </xf>
    <xf numFmtId="0" fontId="8" fillId="0" borderId="60" xfId="0" applyFont="1" applyBorder="1" applyAlignment="1">
      <alignment horizontal="center"/>
    </xf>
    <xf numFmtId="0" fontId="8" fillId="0" borderId="92" xfId="0" applyFont="1" applyBorder="1" applyAlignment="1">
      <alignment horizontal="center"/>
    </xf>
    <xf numFmtId="0" fontId="8" fillId="0" borderId="24" xfId="0" applyFont="1" applyBorder="1" applyAlignment="1">
      <alignment horizontal="center"/>
    </xf>
    <xf numFmtId="0" fontId="145" fillId="0" borderId="0" xfId="2" applyFont="1" applyAlignment="1">
      <alignment horizontal="center"/>
    </xf>
    <xf numFmtId="0" fontId="24" fillId="0" borderId="40" xfId="2" applyFont="1" applyBorder="1" applyAlignment="1">
      <alignment horizontal="center" wrapText="1"/>
    </xf>
    <xf numFmtId="0" fontId="2" fillId="0" borderId="40" xfId="2" applyBorder="1" applyAlignment="1">
      <alignment horizontal="center"/>
    </xf>
    <xf numFmtId="0" fontId="2" fillId="3" borderId="60" xfId="2" applyFill="1" applyBorder="1" applyAlignment="1">
      <alignment horizontal="center"/>
    </xf>
    <xf numFmtId="0" fontId="2" fillId="3" borderId="92" xfId="2" applyFill="1" applyBorder="1" applyAlignment="1">
      <alignment horizontal="center"/>
    </xf>
    <xf numFmtId="0" fontId="2" fillId="3" borderId="24" xfId="2" applyFill="1" applyBorder="1" applyAlignment="1">
      <alignment horizontal="center"/>
    </xf>
    <xf numFmtId="0" fontId="8" fillId="0" borderId="28" xfId="0" applyFont="1" applyBorder="1" applyAlignment="1">
      <alignment horizontal="center"/>
    </xf>
    <xf numFmtId="0" fontId="8" fillId="0" borderId="9" xfId="0" applyFont="1" applyBorder="1" applyAlignment="1">
      <alignment horizontal="center"/>
    </xf>
    <xf numFmtId="0" fontId="8" fillId="0" borderId="29" xfId="0" applyFont="1" applyBorder="1" applyAlignment="1">
      <alignment horizontal="center"/>
    </xf>
    <xf numFmtId="0" fontId="8" fillId="0" borderId="61" xfId="0" applyFont="1" applyBorder="1" applyAlignment="1">
      <alignment horizontal="center"/>
    </xf>
    <xf numFmtId="0" fontId="8" fillId="0" borderId="93" xfId="0" applyFont="1" applyBorder="1" applyAlignment="1">
      <alignment horizontal="center"/>
    </xf>
    <xf numFmtId="0" fontId="8" fillId="0" borderId="62" xfId="0" applyFont="1" applyBorder="1" applyAlignment="1">
      <alignment horizontal="center"/>
    </xf>
    <xf numFmtId="0" fontId="2" fillId="0" borderId="4" xfId="2" applyBorder="1" applyAlignment="1">
      <alignment horizontal="center" wrapText="1"/>
    </xf>
    <xf numFmtId="0" fontId="24" fillId="2" borderId="27" xfId="2" applyFont="1" applyFill="1" applyBorder="1" applyAlignment="1">
      <alignment horizontal="center" wrapText="1"/>
    </xf>
    <xf numFmtId="0" fontId="24" fillId="0" borderId="27" xfId="2" applyFont="1" applyBorder="1" applyAlignment="1">
      <alignment horizontal="center" wrapText="1"/>
    </xf>
    <xf numFmtId="0" fontId="24" fillId="0" borderId="36" xfId="2" applyFont="1" applyBorder="1" applyAlignment="1">
      <alignment horizontal="center" wrapText="1"/>
    </xf>
    <xf numFmtId="0" fontId="24" fillId="0" borderId="0" xfId="2" applyFont="1" applyAlignment="1">
      <alignment horizontal="center" wrapText="1"/>
    </xf>
    <xf numFmtId="0" fontId="24" fillId="0" borderId="4" xfId="2" applyFont="1" applyBorder="1" applyAlignment="1">
      <alignment horizontal="center" wrapText="1"/>
    </xf>
    <xf numFmtId="0" fontId="24" fillId="0" borderId="3" xfId="2" applyFont="1" applyBorder="1" applyAlignment="1">
      <alignment horizontal="center" wrapText="1"/>
    </xf>
    <xf numFmtId="0" fontId="26" fillId="0" borderId="0" xfId="2" applyFont="1" applyAlignment="1">
      <alignment horizontal="center" vertical="center"/>
    </xf>
    <xf numFmtId="0" fontId="24" fillId="2" borderId="36" xfId="2" applyFont="1" applyFill="1" applyBorder="1" applyAlignment="1">
      <alignment horizontal="center" wrapText="1"/>
    </xf>
    <xf numFmtId="0" fontId="24" fillId="2" borderId="27" xfId="0" applyFont="1" applyFill="1" applyBorder="1" applyAlignment="1">
      <alignment horizontal="center" vertical="center"/>
    </xf>
    <xf numFmtId="0" fontId="24" fillId="2" borderId="36" xfId="0" applyFont="1" applyFill="1" applyBorder="1" applyAlignment="1">
      <alignment horizontal="center" vertical="center"/>
    </xf>
    <xf numFmtId="0" fontId="2" fillId="0" borderId="40" xfId="2" applyBorder="1" applyAlignment="1">
      <alignment horizontal="center" vertical="center"/>
    </xf>
    <xf numFmtId="0" fontId="146" fillId="12" borderId="41" xfId="2" applyFont="1" applyFill="1" applyBorder="1" applyAlignment="1">
      <alignment horizontal="center" vertical="center"/>
    </xf>
    <xf numFmtId="0" fontId="146" fillId="12" borderId="42" xfId="2" applyFont="1" applyFill="1" applyBorder="1" applyAlignment="1">
      <alignment horizontal="center" vertical="center"/>
    </xf>
    <xf numFmtId="0" fontId="146" fillId="12" borderId="43" xfId="2" applyFont="1" applyFill="1" applyBorder="1" applyAlignment="1">
      <alignment horizontal="center" vertical="center"/>
    </xf>
    <xf numFmtId="0" fontId="139" fillId="12" borderId="41" xfId="2" applyFont="1" applyFill="1" applyBorder="1" applyAlignment="1">
      <alignment horizontal="center" vertical="center"/>
    </xf>
    <xf numFmtId="0" fontId="139" fillId="12" borderId="42" xfId="2" applyFont="1" applyFill="1" applyBorder="1" applyAlignment="1">
      <alignment horizontal="center" vertical="center"/>
    </xf>
    <xf numFmtId="0" fontId="139" fillId="12" borderId="43" xfId="2" applyFont="1" applyFill="1" applyBorder="1" applyAlignment="1">
      <alignment horizontal="center" vertical="center"/>
    </xf>
    <xf numFmtId="0" fontId="0" fillId="69" borderId="41" xfId="0" applyFill="1" applyBorder="1" applyAlignment="1">
      <alignment horizontal="center" vertical="center"/>
    </xf>
    <xf numFmtId="0" fontId="0" fillId="69" borderId="43" xfId="0" applyFill="1" applyBorder="1" applyAlignment="1">
      <alignment horizontal="center" vertical="center"/>
    </xf>
    <xf numFmtId="0" fontId="0" fillId="69" borderId="42" xfId="0" applyFill="1" applyBorder="1" applyAlignment="1">
      <alignment horizontal="center" vertical="center"/>
    </xf>
    <xf numFmtId="0" fontId="0" fillId="69" borderId="57" xfId="0" applyFill="1" applyBorder="1" applyAlignment="1">
      <alignment horizontal="center" vertical="center"/>
    </xf>
    <xf numFmtId="0" fontId="0" fillId="69" borderId="41" xfId="0" applyFill="1" applyBorder="1" applyAlignment="1">
      <alignment horizontal="center" vertical="center" wrapText="1"/>
    </xf>
    <xf numFmtId="0" fontId="0" fillId="69" borderId="43" xfId="0" applyFill="1" applyBorder="1" applyAlignment="1">
      <alignment horizontal="center" vertical="center" wrapText="1"/>
    </xf>
    <xf numFmtId="0" fontId="0" fillId="69" borderId="132" xfId="0" applyFill="1" applyBorder="1" applyAlignment="1">
      <alignment horizontal="center" vertical="center"/>
    </xf>
    <xf numFmtId="0" fontId="0" fillId="69" borderId="134" xfId="0" applyFill="1" applyBorder="1" applyAlignment="1">
      <alignment horizontal="center" vertical="center"/>
    </xf>
  </cellXfs>
  <cellStyles count="283">
    <cellStyle name="20% - Accent1 2" xfId="13" xr:uid="{00000000-0005-0000-0000-000000000000}"/>
    <cellStyle name="20% - Accent2 2" xfId="14" xr:uid="{00000000-0005-0000-0000-000001000000}"/>
    <cellStyle name="20% - Accent3 2" xfId="15" xr:uid="{00000000-0005-0000-0000-000002000000}"/>
    <cellStyle name="20% - Accent4 2" xfId="16" xr:uid="{00000000-0005-0000-0000-000003000000}"/>
    <cellStyle name="20% - Accent5 2" xfId="17" xr:uid="{00000000-0005-0000-0000-000004000000}"/>
    <cellStyle name="20% - Accent6 2" xfId="18" xr:uid="{00000000-0005-0000-0000-000005000000}"/>
    <cellStyle name="20% - Accent6 3" xfId="19" xr:uid="{00000000-0005-0000-0000-000006000000}"/>
    <cellStyle name="40% - Accent1 2" xfId="20" xr:uid="{00000000-0005-0000-0000-000007000000}"/>
    <cellStyle name="40% - Accent2 2" xfId="21" xr:uid="{00000000-0005-0000-0000-000008000000}"/>
    <cellStyle name="40% - Accent2 2 2" xfId="22" xr:uid="{00000000-0005-0000-0000-000009000000}"/>
    <cellStyle name="40% - Accent2 2 3" xfId="23" xr:uid="{00000000-0005-0000-0000-00000A000000}"/>
    <cellStyle name="40% - Accent2 2 4" xfId="24" xr:uid="{00000000-0005-0000-0000-00000B000000}"/>
    <cellStyle name="40% - Accent3 2" xfId="25" xr:uid="{00000000-0005-0000-0000-00000C000000}"/>
    <cellStyle name="40% - Accent4 2" xfId="26" xr:uid="{00000000-0005-0000-0000-00000D000000}"/>
    <cellStyle name="40% - Accent5 2" xfId="27" xr:uid="{00000000-0005-0000-0000-00000E000000}"/>
    <cellStyle name="40% - Accent6 2" xfId="28" xr:uid="{00000000-0005-0000-0000-00000F000000}"/>
    <cellStyle name="508Table-Start" xfId="29" xr:uid="{00000000-0005-0000-0000-000010000000}"/>
    <cellStyle name="508Table-Stop" xfId="30" xr:uid="{00000000-0005-0000-0000-000011000000}"/>
    <cellStyle name="60% - Accent1 2" xfId="31" xr:uid="{00000000-0005-0000-0000-000012000000}"/>
    <cellStyle name="60% - Accent2 2" xfId="32" xr:uid="{00000000-0005-0000-0000-000013000000}"/>
    <cellStyle name="60% - Accent3 2" xfId="33" xr:uid="{00000000-0005-0000-0000-000014000000}"/>
    <cellStyle name="60% - Accent4 2" xfId="34" xr:uid="{00000000-0005-0000-0000-000015000000}"/>
    <cellStyle name="60% - Accent5 2" xfId="35" xr:uid="{00000000-0005-0000-0000-000016000000}"/>
    <cellStyle name="60% - Accent6 2" xfId="36" xr:uid="{00000000-0005-0000-0000-000017000000}"/>
    <cellStyle name="Accent1 2" xfId="37" xr:uid="{00000000-0005-0000-0000-000018000000}"/>
    <cellStyle name="Accent1 2 2" xfId="38" xr:uid="{00000000-0005-0000-0000-000019000000}"/>
    <cellStyle name="Accent1 2 3" xfId="39" xr:uid="{00000000-0005-0000-0000-00001A000000}"/>
    <cellStyle name="Accent1 2 4" xfId="40" xr:uid="{00000000-0005-0000-0000-00001B000000}"/>
    <cellStyle name="Accent1 2 5" xfId="41" xr:uid="{00000000-0005-0000-0000-00001C000000}"/>
    <cellStyle name="Accent1 2 6" xfId="42" xr:uid="{00000000-0005-0000-0000-00001D000000}"/>
    <cellStyle name="Accent1 3" xfId="43" xr:uid="{00000000-0005-0000-0000-00001E000000}"/>
    <cellStyle name="Accent1 4" xfId="44" xr:uid="{00000000-0005-0000-0000-00001F000000}"/>
    <cellStyle name="Accent2 2" xfId="45" xr:uid="{00000000-0005-0000-0000-000020000000}"/>
    <cellStyle name="Accent2 2 2" xfId="46" xr:uid="{00000000-0005-0000-0000-000021000000}"/>
    <cellStyle name="Accent2 2 3" xfId="47" xr:uid="{00000000-0005-0000-0000-000022000000}"/>
    <cellStyle name="Accent2 2 4" xfId="48" xr:uid="{00000000-0005-0000-0000-000023000000}"/>
    <cellStyle name="Accent2 2 5" xfId="49" xr:uid="{00000000-0005-0000-0000-000024000000}"/>
    <cellStyle name="Accent2 3" xfId="50" xr:uid="{00000000-0005-0000-0000-000025000000}"/>
    <cellStyle name="Accent2 4" xfId="51" xr:uid="{00000000-0005-0000-0000-000026000000}"/>
    <cellStyle name="Accent2 5" xfId="52" xr:uid="{00000000-0005-0000-0000-000027000000}"/>
    <cellStyle name="Accent3 2" xfId="53" xr:uid="{00000000-0005-0000-0000-000028000000}"/>
    <cellStyle name="Accent3 2 2" xfId="54" xr:uid="{00000000-0005-0000-0000-000029000000}"/>
    <cellStyle name="Accent3 2 3" xfId="55" xr:uid="{00000000-0005-0000-0000-00002A000000}"/>
    <cellStyle name="Accent3 2 4" xfId="56" xr:uid="{00000000-0005-0000-0000-00002B000000}"/>
    <cellStyle name="Accent3 3" xfId="57" xr:uid="{00000000-0005-0000-0000-00002C000000}"/>
    <cellStyle name="Accent3 4" xfId="58" xr:uid="{00000000-0005-0000-0000-00002D000000}"/>
    <cellStyle name="Accent4 2" xfId="59" xr:uid="{00000000-0005-0000-0000-00002E000000}"/>
    <cellStyle name="Accent4 2 2" xfId="60" xr:uid="{00000000-0005-0000-0000-00002F000000}"/>
    <cellStyle name="Accent4 2 3" xfId="61" xr:uid="{00000000-0005-0000-0000-000030000000}"/>
    <cellStyle name="Accent4 2 4" xfId="62" xr:uid="{00000000-0005-0000-0000-000031000000}"/>
    <cellStyle name="Accent5 2" xfId="63" xr:uid="{00000000-0005-0000-0000-000032000000}"/>
    <cellStyle name="Accent6 2" xfId="64" xr:uid="{00000000-0005-0000-0000-000033000000}"/>
    <cellStyle name="Arial 11" xfId="65" xr:uid="{00000000-0005-0000-0000-000034000000}"/>
    <cellStyle name="Bad 2" xfId="66" xr:uid="{00000000-0005-0000-0000-000035000000}"/>
    <cellStyle name="Bad 3" xfId="67" xr:uid="{00000000-0005-0000-0000-000036000000}"/>
    <cellStyle name="Body: normal cell" xfId="68" xr:uid="{00000000-0005-0000-0000-000037000000}"/>
    <cellStyle name="Calculation 2" xfId="69" xr:uid="{00000000-0005-0000-0000-000038000000}"/>
    <cellStyle name="Calculation 2 2" xfId="70" xr:uid="{00000000-0005-0000-0000-000039000000}"/>
    <cellStyle name="Calculation 3" xfId="71" xr:uid="{00000000-0005-0000-0000-00003A000000}"/>
    <cellStyle name="Calculation 4" xfId="72" xr:uid="{00000000-0005-0000-0000-00003B000000}"/>
    <cellStyle name="Check Cell 2" xfId="73" xr:uid="{00000000-0005-0000-0000-00003C000000}"/>
    <cellStyle name="CHlevel1" xfId="74" xr:uid="{00000000-0005-0000-0000-00003D000000}"/>
    <cellStyle name="CHlevel2" xfId="75" xr:uid="{00000000-0005-0000-0000-00003E000000}"/>
    <cellStyle name="CHlevel3" xfId="76" xr:uid="{00000000-0005-0000-0000-00003F000000}"/>
    <cellStyle name="CHlevel4" xfId="77" xr:uid="{00000000-0005-0000-0000-000040000000}"/>
    <cellStyle name="Column heading" xfId="78" xr:uid="{00000000-0005-0000-0000-000041000000}"/>
    <cellStyle name="Comma" xfId="282" builtinId="3"/>
    <cellStyle name="Comma 2" xfId="5" xr:uid="{00000000-0005-0000-0000-000042000000}"/>
    <cellStyle name="Comma 2 2" xfId="79" xr:uid="{00000000-0005-0000-0000-000043000000}"/>
    <cellStyle name="Comma 2 3" xfId="80" xr:uid="{00000000-0005-0000-0000-000044000000}"/>
    <cellStyle name="Comma 3" xfId="7" xr:uid="{00000000-0005-0000-0000-000045000000}"/>
    <cellStyle name="Comma 3 2" xfId="81" xr:uid="{00000000-0005-0000-0000-000046000000}"/>
    <cellStyle name="Comma 4" xfId="82" xr:uid="{00000000-0005-0000-0000-000047000000}"/>
    <cellStyle name="Comma 4 2" xfId="83" xr:uid="{00000000-0005-0000-0000-000048000000}"/>
    <cellStyle name="Comma 5" xfId="84" xr:uid="{00000000-0005-0000-0000-000049000000}"/>
    <cellStyle name="Comma 6" xfId="85" xr:uid="{00000000-0005-0000-0000-00004A000000}"/>
    <cellStyle name="Comma 7" xfId="86" xr:uid="{00000000-0005-0000-0000-00004B000000}"/>
    <cellStyle name="Comma0" xfId="87" xr:uid="{00000000-0005-0000-0000-00004C000000}"/>
    <cellStyle name="Corner heading" xfId="88" xr:uid="{00000000-0005-0000-0000-00004D000000}"/>
    <cellStyle name="Currency 2" xfId="4" xr:uid="{00000000-0005-0000-0000-00004F000000}"/>
    <cellStyle name="Currency 2 2" xfId="89" xr:uid="{00000000-0005-0000-0000-000050000000}"/>
    <cellStyle name="Currency 2 2 2" xfId="90" xr:uid="{00000000-0005-0000-0000-000051000000}"/>
    <cellStyle name="Currency 2 3" xfId="91" xr:uid="{00000000-0005-0000-0000-000052000000}"/>
    <cellStyle name="Currency 3" xfId="9" xr:uid="{00000000-0005-0000-0000-000053000000}"/>
    <cellStyle name="Currency 4" xfId="92" xr:uid="{00000000-0005-0000-0000-000054000000}"/>
    <cellStyle name="Currency 5" xfId="93" xr:uid="{00000000-0005-0000-0000-000055000000}"/>
    <cellStyle name="Currency 6" xfId="94" xr:uid="{00000000-0005-0000-0000-000056000000}"/>
    <cellStyle name="Currency 7" xfId="95" xr:uid="{00000000-0005-0000-0000-000057000000}"/>
    <cellStyle name="Currency0" xfId="96" xr:uid="{00000000-0005-0000-0000-000058000000}"/>
    <cellStyle name="Data" xfId="97" xr:uid="{00000000-0005-0000-0000-000059000000}"/>
    <cellStyle name="Data 2" xfId="98" xr:uid="{00000000-0005-0000-0000-00005A000000}"/>
    <cellStyle name="Data no deci" xfId="99" xr:uid="{00000000-0005-0000-0000-00005B000000}"/>
    <cellStyle name="Data Superscript" xfId="100" xr:uid="{00000000-0005-0000-0000-00005C000000}"/>
    <cellStyle name="Data_1-1A-Regular" xfId="101" xr:uid="{00000000-0005-0000-0000-00005D000000}"/>
    <cellStyle name="Data-one deci" xfId="102" xr:uid="{00000000-0005-0000-0000-00005E000000}"/>
    <cellStyle name="Date" xfId="103" xr:uid="{00000000-0005-0000-0000-00005F000000}"/>
    <cellStyle name="Explanatory Text 2" xfId="104" xr:uid="{00000000-0005-0000-0000-000060000000}"/>
    <cellStyle name="Fixed" xfId="105" xr:uid="{00000000-0005-0000-0000-000061000000}"/>
    <cellStyle name="Good 2" xfId="106" xr:uid="{00000000-0005-0000-0000-000062000000}"/>
    <cellStyle name="Grey" xfId="107" xr:uid="{00000000-0005-0000-0000-000063000000}"/>
    <cellStyle name="Heading 1 2" xfId="108" xr:uid="{00000000-0005-0000-0000-000064000000}"/>
    <cellStyle name="Heading 2 2" xfId="109" xr:uid="{00000000-0005-0000-0000-000065000000}"/>
    <cellStyle name="Heading 2 2 2" xfId="110" xr:uid="{00000000-0005-0000-0000-000066000000}"/>
    <cellStyle name="Heading 2 3" xfId="111" xr:uid="{00000000-0005-0000-0000-000067000000}"/>
    <cellStyle name="Heading 2 4" xfId="112" xr:uid="{00000000-0005-0000-0000-000068000000}"/>
    <cellStyle name="Heading 3 2" xfId="113" xr:uid="{00000000-0005-0000-0000-000069000000}"/>
    <cellStyle name="Heading 4 2" xfId="114" xr:uid="{00000000-0005-0000-0000-00006A000000}"/>
    <cellStyle name="Hed Side" xfId="115" xr:uid="{00000000-0005-0000-0000-00006B000000}"/>
    <cellStyle name="Hed Side 2" xfId="116" xr:uid="{00000000-0005-0000-0000-00006C000000}"/>
    <cellStyle name="Hed Side bold" xfId="117" xr:uid="{00000000-0005-0000-0000-00006D000000}"/>
    <cellStyle name="Hed Side Indent" xfId="118" xr:uid="{00000000-0005-0000-0000-00006E000000}"/>
    <cellStyle name="Hed Side Regular" xfId="119" xr:uid="{00000000-0005-0000-0000-00006F000000}"/>
    <cellStyle name="Hed Side_1-1A-Regular" xfId="120" xr:uid="{00000000-0005-0000-0000-000070000000}"/>
    <cellStyle name="Hed Top" xfId="121" xr:uid="{00000000-0005-0000-0000-000071000000}"/>
    <cellStyle name="Hed Top - SECTION" xfId="122" xr:uid="{00000000-0005-0000-0000-000072000000}"/>
    <cellStyle name="Hed Top 2" xfId="123" xr:uid="{00000000-0005-0000-0000-000073000000}"/>
    <cellStyle name="Hed Top_3-new4" xfId="124" xr:uid="{00000000-0005-0000-0000-000074000000}"/>
    <cellStyle name="Hyperlink" xfId="281" builtinId="8"/>
    <cellStyle name="Hyperlink 2" xfId="125" xr:uid="{00000000-0005-0000-0000-000075000000}"/>
    <cellStyle name="Hyperlink 2 2" xfId="126" xr:uid="{00000000-0005-0000-0000-000076000000}"/>
    <cellStyle name="Hyperlink 3" xfId="127" xr:uid="{00000000-0005-0000-0000-000077000000}"/>
    <cellStyle name="Hyperlink 4" xfId="128" xr:uid="{00000000-0005-0000-0000-000078000000}"/>
    <cellStyle name="Input [yellow]" xfId="129" xr:uid="{00000000-0005-0000-0000-000079000000}"/>
    <cellStyle name="Input 10" xfId="130" xr:uid="{00000000-0005-0000-0000-00007A000000}"/>
    <cellStyle name="Input 11" xfId="131" xr:uid="{00000000-0005-0000-0000-00007B000000}"/>
    <cellStyle name="Input 12" xfId="132" xr:uid="{00000000-0005-0000-0000-00007C000000}"/>
    <cellStyle name="Input 13" xfId="133" xr:uid="{00000000-0005-0000-0000-00007D000000}"/>
    <cellStyle name="Input 14" xfId="134" xr:uid="{00000000-0005-0000-0000-00007E000000}"/>
    <cellStyle name="Input 15" xfId="135" xr:uid="{00000000-0005-0000-0000-00007F000000}"/>
    <cellStyle name="Input 2" xfId="136" xr:uid="{00000000-0005-0000-0000-000080000000}"/>
    <cellStyle name="Input 2 2" xfId="137" xr:uid="{00000000-0005-0000-0000-000081000000}"/>
    <cellStyle name="Input 2 3" xfId="138" xr:uid="{00000000-0005-0000-0000-000082000000}"/>
    <cellStyle name="Input 2 4" xfId="139" xr:uid="{00000000-0005-0000-0000-000083000000}"/>
    <cellStyle name="Input 2 5" xfId="140" xr:uid="{00000000-0005-0000-0000-000084000000}"/>
    <cellStyle name="Input 2 6" xfId="141" xr:uid="{00000000-0005-0000-0000-000085000000}"/>
    <cellStyle name="Input 3" xfId="142" xr:uid="{00000000-0005-0000-0000-000086000000}"/>
    <cellStyle name="Input 4" xfId="143" xr:uid="{00000000-0005-0000-0000-000087000000}"/>
    <cellStyle name="Input 5" xfId="144" xr:uid="{00000000-0005-0000-0000-000088000000}"/>
    <cellStyle name="Input 6" xfId="145" xr:uid="{00000000-0005-0000-0000-000089000000}"/>
    <cellStyle name="Input 7" xfId="146" xr:uid="{00000000-0005-0000-0000-00008A000000}"/>
    <cellStyle name="Input 8" xfId="147" xr:uid="{00000000-0005-0000-0000-00008B000000}"/>
    <cellStyle name="Input 9" xfId="148" xr:uid="{00000000-0005-0000-0000-00008C000000}"/>
    <cellStyle name="Linked Cell 2" xfId="149" xr:uid="{00000000-0005-0000-0000-00008D000000}"/>
    <cellStyle name="Neutral 2" xfId="150" xr:uid="{00000000-0005-0000-0000-00008E000000}"/>
    <cellStyle name="Normal" xfId="0" builtinId="0"/>
    <cellStyle name="Normal - Style1" xfId="151" xr:uid="{00000000-0005-0000-0000-000090000000}"/>
    <cellStyle name="Normal 10" xfId="152" xr:uid="{00000000-0005-0000-0000-000091000000}"/>
    <cellStyle name="Normal 11" xfId="153" xr:uid="{00000000-0005-0000-0000-000092000000}"/>
    <cellStyle name="Normal 12" xfId="154" xr:uid="{00000000-0005-0000-0000-000093000000}"/>
    <cellStyle name="Normal 13" xfId="155" xr:uid="{00000000-0005-0000-0000-000094000000}"/>
    <cellStyle name="Normal 14" xfId="156" xr:uid="{00000000-0005-0000-0000-000095000000}"/>
    <cellStyle name="Normal 15" xfId="157" xr:uid="{00000000-0005-0000-0000-000096000000}"/>
    <cellStyle name="Normal 16" xfId="158" xr:uid="{00000000-0005-0000-0000-000097000000}"/>
    <cellStyle name="Normal 17" xfId="159" xr:uid="{00000000-0005-0000-0000-000098000000}"/>
    <cellStyle name="Normal 18" xfId="160" xr:uid="{00000000-0005-0000-0000-000099000000}"/>
    <cellStyle name="Normal 19" xfId="161" xr:uid="{00000000-0005-0000-0000-00009A000000}"/>
    <cellStyle name="Normal 2" xfId="1" xr:uid="{00000000-0005-0000-0000-00009B000000}"/>
    <cellStyle name="Normal 2 2" xfId="12" xr:uid="{00000000-0005-0000-0000-00009C000000}"/>
    <cellStyle name="Normal 2 2 2" xfId="162" xr:uid="{00000000-0005-0000-0000-00009D000000}"/>
    <cellStyle name="Normal 2 2 2 2" xfId="278" xr:uid="{00000000-0005-0000-0000-00009E000000}"/>
    <cellStyle name="Normal 2 3" xfId="163" xr:uid="{00000000-0005-0000-0000-00009F000000}"/>
    <cellStyle name="Normal 2 4" xfId="164" xr:uid="{00000000-0005-0000-0000-0000A0000000}"/>
    <cellStyle name="Normal 2 5" xfId="165" xr:uid="{00000000-0005-0000-0000-0000A1000000}"/>
    <cellStyle name="Normal 2 6" xfId="166" xr:uid="{00000000-0005-0000-0000-0000A2000000}"/>
    <cellStyle name="Normal 2 7" xfId="167" xr:uid="{00000000-0005-0000-0000-0000A3000000}"/>
    <cellStyle name="Normal 2 8" xfId="168" xr:uid="{00000000-0005-0000-0000-0000A4000000}"/>
    <cellStyle name="Normal 2_steeplechaseconcept4" xfId="169" xr:uid="{00000000-0005-0000-0000-0000A5000000}"/>
    <cellStyle name="Normal 20" xfId="170" xr:uid="{00000000-0005-0000-0000-0000A6000000}"/>
    <cellStyle name="Normal 21" xfId="171" xr:uid="{00000000-0005-0000-0000-0000A7000000}"/>
    <cellStyle name="Normal 22" xfId="172" xr:uid="{00000000-0005-0000-0000-0000A8000000}"/>
    <cellStyle name="Normal 23" xfId="173" xr:uid="{00000000-0005-0000-0000-0000A9000000}"/>
    <cellStyle name="Normal 24" xfId="174" xr:uid="{00000000-0005-0000-0000-0000AA000000}"/>
    <cellStyle name="Normal 24 2" xfId="175" xr:uid="{00000000-0005-0000-0000-0000AB000000}"/>
    <cellStyle name="Normal 25" xfId="176" xr:uid="{00000000-0005-0000-0000-0000AC000000}"/>
    <cellStyle name="Normal 26" xfId="177" xr:uid="{00000000-0005-0000-0000-0000AD000000}"/>
    <cellStyle name="Normal 27" xfId="178" xr:uid="{00000000-0005-0000-0000-0000AE000000}"/>
    <cellStyle name="Normal 28" xfId="179" xr:uid="{00000000-0005-0000-0000-0000AF000000}"/>
    <cellStyle name="Normal 29" xfId="180" xr:uid="{00000000-0005-0000-0000-0000B0000000}"/>
    <cellStyle name="Normal 3" xfId="2" xr:uid="{00000000-0005-0000-0000-0000B1000000}"/>
    <cellStyle name="Normal 3 2" xfId="181" xr:uid="{00000000-0005-0000-0000-0000B2000000}"/>
    <cellStyle name="Normal 3 3" xfId="182" xr:uid="{00000000-0005-0000-0000-0000B3000000}"/>
    <cellStyle name="Normal 3 4" xfId="183" xr:uid="{00000000-0005-0000-0000-0000B4000000}"/>
    <cellStyle name="Normal 3 5" xfId="184" xr:uid="{00000000-0005-0000-0000-0000B5000000}"/>
    <cellStyle name="Normal 3 6" xfId="280" xr:uid="{85FB6617-B9CD-413E-B08B-A347AF582E94}"/>
    <cellStyle name="Normal 30" xfId="185" xr:uid="{00000000-0005-0000-0000-0000B6000000}"/>
    <cellStyle name="Normal 31" xfId="186" xr:uid="{00000000-0005-0000-0000-0000B7000000}"/>
    <cellStyle name="Normal 32" xfId="187" xr:uid="{00000000-0005-0000-0000-0000B8000000}"/>
    <cellStyle name="Normal 33" xfId="188" xr:uid="{00000000-0005-0000-0000-0000B9000000}"/>
    <cellStyle name="Normal 34" xfId="189" xr:uid="{00000000-0005-0000-0000-0000BA000000}"/>
    <cellStyle name="Normal 35" xfId="190" xr:uid="{00000000-0005-0000-0000-0000BB000000}"/>
    <cellStyle name="Normal 4" xfId="6" xr:uid="{00000000-0005-0000-0000-0000BC000000}"/>
    <cellStyle name="Normal 4 2" xfId="191" xr:uid="{00000000-0005-0000-0000-0000BD000000}"/>
    <cellStyle name="Normal 5" xfId="192" xr:uid="{00000000-0005-0000-0000-0000BE000000}"/>
    <cellStyle name="Normal 5 2" xfId="193" xr:uid="{00000000-0005-0000-0000-0000BF000000}"/>
    <cellStyle name="Normal 5 2 2" xfId="194" xr:uid="{00000000-0005-0000-0000-0000C0000000}"/>
    <cellStyle name="Normal 5 3" xfId="195" xr:uid="{00000000-0005-0000-0000-0000C1000000}"/>
    <cellStyle name="Normal 51" xfId="196" xr:uid="{00000000-0005-0000-0000-0000C2000000}"/>
    <cellStyle name="Normal 54" xfId="197" xr:uid="{00000000-0005-0000-0000-0000C3000000}"/>
    <cellStyle name="Normal 6" xfId="198" xr:uid="{00000000-0005-0000-0000-0000C4000000}"/>
    <cellStyle name="Normal 6 2" xfId="199" xr:uid="{00000000-0005-0000-0000-0000C5000000}"/>
    <cellStyle name="Normal 6 3" xfId="200" xr:uid="{00000000-0005-0000-0000-0000C6000000}"/>
    <cellStyle name="Normal 7" xfId="201" xr:uid="{00000000-0005-0000-0000-0000C7000000}"/>
    <cellStyle name="Normal 7 2" xfId="202" xr:uid="{00000000-0005-0000-0000-0000C8000000}"/>
    <cellStyle name="Normal 8" xfId="203" xr:uid="{00000000-0005-0000-0000-0000C9000000}"/>
    <cellStyle name="Normal 9" xfId="204" xr:uid="{00000000-0005-0000-0000-0000CA000000}"/>
    <cellStyle name="Normal_Bc_model 2" xfId="10" xr:uid="{00000000-0005-0000-0000-0000CB000000}"/>
    <cellStyle name="Note 2" xfId="205" xr:uid="{00000000-0005-0000-0000-0000CC000000}"/>
    <cellStyle name="Note 3" xfId="206" xr:uid="{00000000-0005-0000-0000-0000CD000000}"/>
    <cellStyle name="Output 2" xfId="207" xr:uid="{00000000-0005-0000-0000-0000CE000000}"/>
    <cellStyle name="Percent" xfId="279" builtinId="5"/>
    <cellStyle name="Percent [2]" xfId="208" xr:uid="{00000000-0005-0000-0000-0000D0000000}"/>
    <cellStyle name="Percent 10" xfId="209" xr:uid="{00000000-0005-0000-0000-0000D1000000}"/>
    <cellStyle name="Percent 11" xfId="210" xr:uid="{00000000-0005-0000-0000-0000D2000000}"/>
    <cellStyle name="Percent 12" xfId="211" xr:uid="{00000000-0005-0000-0000-0000D3000000}"/>
    <cellStyle name="Percent 13" xfId="212" xr:uid="{00000000-0005-0000-0000-0000D4000000}"/>
    <cellStyle name="Percent 2" xfId="3" xr:uid="{00000000-0005-0000-0000-0000D5000000}"/>
    <cellStyle name="Percent 2 2" xfId="213" xr:uid="{00000000-0005-0000-0000-0000D6000000}"/>
    <cellStyle name="Percent 2 3" xfId="214" xr:uid="{00000000-0005-0000-0000-0000D7000000}"/>
    <cellStyle name="Percent 2 4" xfId="215" xr:uid="{00000000-0005-0000-0000-0000D8000000}"/>
    <cellStyle name="Percent 2 5" xfId="216" xr:uid="{00000000-0005-0000-0000-0000D9000000}"/>
    <cellStyle name="Percent 2 6" xfId="217" xr:uid="{00000000-0005-0000-0000-0000DA000000}"/>
    <cellStyle name="Percent 2 7" xfId="218" xr:uid="{00000000-0005-0000-0000-0000DB000000}"/>
    <cellStyle name="Percent 3" xfId="8" xr:uid="{00000000-0005-0000-0000-0000DC000000}"/>
    <cellStyle name="Percent 3 2" xfId="11" xr:uid="{00000000-0005-0000-0000-0000DD000000}"/>
    <cellStyle name="Percent 4" xfId="219" xr:uid="{00000000-0005-0000-0000-0000DE000000}"/>
    <cellStyle name="Percent 4 2" xfId="220" xr:uid="{00000000-0005-0000-0000-0000DF000000}"/>
    <cellStyle name="Percent 4 3" xfId="221" xr:uid="{00000000-0005-0000-0000-0000E0000000}"/>
    <cellStyle name="Percent 5" xfId="222" xr:uid="{00000000-0005-0000-0000-0000E1000000}"/>
    <cellStyle name="Percent 5 2" xfId="223" xr:uid="{00000000-0005-0000-0000-0000E2000000}"/>
    <cellStyle name="Percent 6" xfId="224" xr:uid="{00000000-0005-0000-0000-0000E3000000}"/>
    <cellStyle name="Percent 7" xfId="225" xr:uid="{00000000-0005-0000-0000-0000E4000000}"/>
    <cellStyle name="Percent 8" xfId="226" xr:uid="{00000000-0005-0000-0000-0000E5000000}"/>
    <cellStyle name="Percent 9" xfId="227" xr:uid="{00000000-0005-0000-0000-0000E6000000}"/>
    <cellStyle name="Refdb standard" xfId="228" xr:uid="{00000000-0005-0000-0000-0000E7000000}"/>
    <cellStyle name="Reference" xfId="229" xr:uid="{00000000-0005-0000-0000-0000E8000000}"/>
    <cellStyle name="RHlayer1" xfId="230" xr:uid="{00000000-0005-0000-0000-0000E9000000}"/>
    <cellStyle name="RHlayer2" xfId="231" xr:uid="{00000000-0005-0000-0000-0000EA000000}"/>
    <cellStyle name="RHlayer3" xfId="232" xr:uid="{00000000-0005-0000-0000-0000EB000000}"/>
    <cellStyle name="RHlayer4" xfId="233" xr:uid="{00000000-0005-0000-0000-0000EC000000}"/>
    <cellStyle name="RHlayer5" xfId="234" xr:uid="{00000000-0005-0000-0000-0000ED000000}"/>
    <cellStyle name="RHlayer6" xfId="235" xr:uid="{00000000-0005-0000-0000-0000EE000000}"/>
    <cellStyle name="RHlevel1" xfId="236" xr:uid="{00000000-0005-0000-0000-0000EF000000}"/>
    <cellStyle name="RHlevel2" xfId="237" xr:uid="{00000000-0005-0000-0000-0000F0000000}"/>
    <cellStyle name="RHlevel3" xfId="238" xr:uid="{00000000-0005-0000-0000-0000F1000000}"/>
    <cellStyle name="RHlevel4" xfId="239" xr:uid="{00000000-0005-0000-0000-0000F2000000}"/>
    <cellStyle name="RHlevel5" xfId="240" xr:uid="{00000000-0005-0000-0000-0000F3000000}"/>
    <cellStyle name="Row heading" xfId="241" xr:uid="{00000000-0005-0000-0000-0000F4000000}"/>
    <cellStyle name="Source Hed" xfId="242" xr:uid="{00000000-0005-0000-0000-0000F5000000}"/>
    <cellStyle name="Source Letter" xfId="243" xr:uid="{00000000-0005-0000-0000-0000F6000000}"/>
    <cellStyle name="Source Superscript" xfId="244" xr:uid="{00000000-0005-0000-0000-0000F7000000}"/>
    <cellStyle name="Source Superscript 2" xfId="245" xr:uid="{00000000-0005-0000-0000-0000F8000000}"/>
    <cellStyle name="Source Text" xfId="246" xr:uid="{00000000-0005-0000-0000-0000F9000000}"/>
    <cellStyle name="Source Text 2" xfId="247" xr:uid="{00000000-0005-0000-0000-0000FA000000}"/>
    <cellStyle name="Source Text 3" xfId="248" xr:uid="{00000000-0005-0000-0000-0000FB000000}"/>
    <cellStyle name="State" xfId="249" xr:uid="{00000000-0005-0000-0000-0000FC000000}"/>
    <cellStyle name="Style 1" xfId="250" xr:uid="{00000000-0005-0000-0000-0000FD000000}"/>
    <cellStyle name="Superscript" xfId="251" xr:uid="{00000000-0005-0000-0000-0000FE000000}"/>
    <cellStyle name="Superscript- regular" xfId="252" xr:uid="{00000000-0005-0000-0000-0000FF000000}"/>
    <cellStyle name="Superscript_1-1A-Regular" xfId="253" xr:uid="{00000000-0005-0000-0000-000000010000}"/>
    <cellStyle name="Table Data" xfId="254" xr:uid="{00000000-0005-0000-0000-000001010000}"/>
    <cellStyle name="Table Head Top" xfId="255" xr:uid="{00000000-0005-0000-0000-000002010000}"/>
    <cellStyle name="Table Hed Side" xfId="256" xr:uid="{00000000-0005-0000-0000-000003010000}"/>
    <cellStyle name="Table Title" xfId="257" xr:uid="{00000000-0005-0000-0000-000004010000}"/>
    <cellStyle name="Times New Roman" xfId="258" xr:uid="{00000000-0005-0000-0000-000005010000}"/>
    <cellStyle name="Title Text" xfId="259" xr:uid="{00000000-0005-0000-0000-000006010000}"/>
    <cellStyle name="Title Text 1" xfId="260" xr:uid="{00000000-0005-0000-0000-000007010000}"/>
    <cellStyle name="Title Text 2" xfId="261" xr:uid="{00000000-0005-0000-0000-000008010000}"/>
    <cellStyle name="Title-1" xfId="262" xr:uid="{00000000-0005-0000-0000-000009010000}"/>
    <cellStyle name="Title-1 2" xfId="263" xr:uid="{00000000-0005-0000-0000-00000A010000}"/>
    <cellStyle name="Title-1 3" xfId="264" xr:uid="{00000000-0005-0000-0000-00000B010000}"/>
    <cellStyle name="Title-2" xfId="265" xr:uid="{00000000-0005-0000-0000-00000C010000}"/>
    <cellStyle name="Title-2 2" xfId="266" xr:uid="{00000000-0005-0000-0000-00000D010000}"/>
    <cellStyle name="Title-3" xfId="267" xr:uid="{00000000-0005-0000-0000-00000E010000}"/>
    <cellStyle name="Total 2" xfId="268" xr:uid="{00000000-0005-0000-0000-00000F010000}"/>
    <cellStyle name="Total 3" xfId="269" xr:uid="{00000000-0005-0000-0000-000010010000}"/>
    <cellStyle name="Warning Text 2" xfId="270" xr:uid="{00000000-0005-0000-0000-000011010000}"/>
    <cellStyle name="Warning Text 2 2" xfId="271" xr:uid="{00000000-0005-0000-0000-000012010000}"/>
    <cellStyle name="Warning Text 2 3" xfId="272" xr:uid="{00000000-0005-0000-0000-000013010000}"/>
    <cellStyle name="Warning Text 2 4" xfId="273" xr:uid="{00000000-0005-0000-0000-000014010000}"/>
    <cellStyle name="Wrap" xfId="274" xr:uid="{00000000-0005-0000-0000-000015010000}"/>
    <cellStyle name="Wrap Bold" xfId="275" xr:uid="{00000000-0005-0000-0000-000016010000}"/>
    <cellStyle name="Wrap Title" xfId="276" xr:uid="{00000000-0005-0000-0000-000017010000}"/>
    <cellStyle name="Wrap_NTS99-~11" xfId="277" xr:uid="{00000000-0005-0000-0000-000018010000}"/>
  </cellStyles>
  <dxfs count="18">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s>
  <tableStyles count="0" defaultTableStyle="TableStyleMedium2" defaultPivotStyle="PivotStyleLight16"/>
  <colors>
    <mruColors>
      <color rgb="FFFFFFCC"/>
      <color rgb="FFCCFFCC"/>
      <color rgb="FF99CCFF"/>
      <color rgb="FF333399"/>
      <color rgb="FFC0C0C0"/>
      <color rgb="FF800000"/>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e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2</xdr:col>
      <xdr:colOff>762000</xdr:colOff>
      <xdr:row>1</xdr:row>
      <xdr:rowOff>1543050</xdr:rowOff>
    </xdr:from>
    <xdr:to>
      <xdr:col>2</xdr:col>
      <xdr:colOff>5334000</xdr:colOff>
      <xdr:row>18</xdr:row>
      <xdr:rowOff>114300</xdr:rowOff>
    </xdr:to>
    <xdr:grpSp>
      <xdr:nvGrpSpPr>
        <xdr:cNvPr id="2" name="Group 1" descr="&quot;&quot;">
          <a:extLst>
            <a:ext uri="{FF2B5EF4-FFF2-40B4-BE49-F238E27FC236}">
              <a16:creationId xmlns:a16="http://schemas.microsoft.com/office/drawing/2014/main" id="{00000000-0008-0000-0000-000002000000}"/>
            </a:ext>
          </a:extLst>
        </xdr:cNvPr>
        <xdr:cNvGrpSpPr>
          <a:grpSpLocks/>
        </xdr:cNvGrpSpPr>
      </xdr:nvGrpSpPr>
      <xdr:grpSpPr bwMode="auto">
        <a:xfrm>
          <a:off x="4881372" y="1677924"/>
          <a:ext cx="4911852" cy="2819400"/>
          <a:chOff x="2286000" y="1922859"/>
          <a:chExt cx="4572000" cy="3012281"/>
        </a:xfrm>
      </xdr:grpSpPr>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0" y="1922859"/>
            <a:ext cx="4572000" cy="3012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C:\Users\cwillige\AppData\Local\Microsoft\Windows\Temporary Internet Files\Content.IE5\15D66EJW\2648217927_92876ba92a_z[1].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352799" y="3711558"/>
            <a:ext cx="539413" cy="338204"/>
          </a:xfrm>
          <a:prstGeom prst="rect">
            <a:avLst/>
          </a:prstGeom>
          <a:noFill/>
          <a:ln>
            <a:noFill/>
          </a:ln>
          <a:effectLst>
            <a:outerShdw dist="76201" dir="2700000" algn="tl" rotWithShape="0">
              <a:srgbClr val="000000">
                <a:alpha val="29999"/>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333375</xdr:colOff>
      <xdr:row>1</xdr:row>
      <xdr:rowOff>171450</xdr:rowOff>
    </xdr:from>
    <xdr:to>
      <xdr:col>1</xdr:col>
      <xdr:colOff>1590675</xdr:colOff>
      <xdr:row>1</xdr:row>
      <xdr:rowOff>1666875</xdr:rowOff>
    </xdr:to>
    <xdr:pic>
      <xdr:nvPicPr>
        <xdr:cNvPr id="5" name="Picture 128" descr="Brandmark of Caltrans">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9813" y="361950"/>
          <a:ext cx="1257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77288</xdr:colOff>
      <xdr:row>20</xdr:row>
      <xdr:rowOff>53633</xdr:rowOff>
    </xdr:from>
    <xdr:to>
      <xdr:col>1</xdr:col>
      <xdr:colOff>557348</xdr:colOff>
      <xdr:row>21</xdr:row>
      <xdr:rowOff>293</xdr:rowOff>
    </xdr:to>
    <xdr:sp macro="" textlink="">
      <xdr:nvSpPr>
        <xdr:cNvPr id="2" name="Oval 1" descr="&quot;&quot;">
          <a:extLst>
            <a:ext uri="{FF2B5EF4-FFF2-40B4-BE49-F238E27FC236}">
              <a16:creationId xmlns:a16="http://schemas.microsoft.com/office/drawing/2014/main" id="{00000000-0008-0000-0900-000002000000}"/>
            </a:ext>
          </a:extLst>
        </xdr:cNvPr>
        <xdr:cNvSpPr>
          <a:spLocks noChangeArrowheads="1"/>
        </xdr:cNvSpPr>
      </xdr:nvSpPr>
      <xdr:spPr bwMode="auto">
        <a:xfrm>
          <a:off x="703217" y="4094954"/>
          <a:ext cx="480060" cy="205196"/>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twoCellAnchor>
    <xdr:from>
      <xdr:col>20</xdr:col>
      <xdr:colOff>239527</xdr:colOff>
      <xdr:row>20</xdr:row>
      <xdr:rowOff>51017</xdr:rowOff>
    </xdr:from>
    <xdr:to>
      <xdr:col>20</xdr:col>
      <xdr:colOff>727207</xdr:colOff>
      <xdr:row>21</xdr:row>
      <xdr:rowOff>2910</xdr:rowOff>
    </xdr:to>
    <xdr:sp macro="" textlink="">
      <xdr:nvSpPr>
        <xdr:cNvPr id="3" name="Oval 3" descr="&quot;&quot;">
          <a:extLst>
            <a:ext uri="{FF2B5EF4-FFF2-40B4-BE49-F238E27FC236}">
              <a16:creationId xmlns:a16="http://schemas.microsoft.com/office/drawing/2014/main" id="{00000000-0008-0000-0900-000003000000}"/>
            </a:ext>
          </a:extLst>
        </xdr:cNvPr>
        <xdr:cNvSpPr>
          <a:spLocks noChangeArrowheads="1"/>
        </xdr:cNvSpPr>
      </xdr:nvSpPr>
      <xdr:spPr bwMode="auto">
        <a:xfrm>
          <a:off x="22759348" y="4092338"/>
          <a:ext cx="487680" cy="210429"/>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22860</xdr:colOff>
      <xdr:row>14</xdr:row>
      <xdr:rowOff>60960</xdr:rowOff>
    </xdr:from>
    <xdr:to>
      <xdr:col>1</xdr:col>
      <xdr:colOff>502920</xdr:colOff>
      <xdr:row>15</xdr:row>
      <xdr:rowOff>7620</xdr:rowOff>
    </xdr:to>
    <xdr:sp macro="" textlink="">
      <xdr:nvSpPr>
        <xdr:cNvPr id="2" name="Oval 1" descr="&quot;&quot;">
          <a:extLst>
            <a:ext uri="{FF2B5EF4-FFF2-40B4-BE49-F238E27FC236}">
              <a16:creationId xmlns:a16="http://schemas.microsoft.com/office/drawing/2014/main" id="{00000000-0008-0000-0A00-000002000000}"/>
            </a:ext>
          </a:extLst>
        </xdr:cNvPr>
        <xdr:cNvSpPr>
          <a:spLocks noChangeArrowheads="1"/>
        </xdr:cNvSpPr>
      </xdr:nvSpPr>
      <xdr:spPr bwMode="auto">
        <a:xfrm>
          <a:off x="648789" y="2959281"/>
          <a:ext cx="480060" cy="205196"/>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twoCellAnchor>
    <xdr:from>
      <xdr:col>65</xdr:col>
      <xdr:colOff>22860</xdr:colOff>
      <xdr:row>14</xdr:row>
      <xdr:rowOff>60960</xdr:rowOff>
    </xdr:from>
    <xdr:to>
      <xdr:col>65</xdr:col>
      <xdr:colOff>510540</xdr:colOff>
      <xdr:row>15</xdr:row>
      <xdr:rowOff>7620</xdr:rowOff>
    </xdr:to>
    <xdr:sp macro="" textlink="">
      <xdr:nvSpPr>
        <xdr:cNvPr id="3" name="Oval 3" descr="&quot;&quot;">
          <a:extLst>
            <a:ext uri="{FF2B5EF4-FFF2-40B4-BE49-F238E27FC236}">
              <a16:creationId xmlns:a16="http://schemas.microsoft.com/office/drawing/2014/main" id="{00000000-0008-0000-0A00-000003000000}"/>
            </a:ext>
          </a:extLst>
        </xdr:cNvPr>
        <xdr:cNvSpPr>
          <a:spLocks noChangeArrowheads="1"/>
        </xdr:cNvSpPr>
      </xdr:nvSpPr>
      <xdr:spPr bwMode="auto">
        <a:xfrm>
          <a:off x="60533824" y="2959281"/>
          <a:ext cx="487680" cy="205196"/>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22860</xdr:colOff>
      <xdr:row>13</xdr:row>
      <xdr:rowOff>60960</xdr:rowOff>
    </xdr:from>
    <xdr:to>
      <xdr:col>1</xdr:col>
      <xdr:colOff>510540</xdr:colOff>
      <xdr:row>14</xdr:row>
      <xdr:rowOff>7620</xdr:rowOff>
    </xdr:to>
    <xdr:sp macro="" textlink="">
      <xdr:nvSpPr>
        <xdr:cNvPr id="2" name="Oval 1" descr="&quot;&quot;">
          <a:extLst>
            <a:ext uri="{FF2B5EF4-FFF2-40B4-BE49-F238E27FC236}">
              <a16:creationId xmlns:a16="http://schemas.microsoft.com/office/drawing/2014/main" id="{00000000-0008-0000-0B00-000002000000}"/>
            </a:ext>
          </a:extLst>
        </xdr:cNvPr>
        <xdr:cNvSpPr>
          <a:spLocks noChangeArrowheads="1"/>
        </xdr:cNvSpPr>
      </xdr:nvSpPr>
      <xdr:spPr bwMode="auto">
        <a:xfrm>
          <a:off x="403860" y="2453640"/>
          <a:ext cx="487680" cy="205740"/>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twoCellAnchor>
    <xdr:from>
      <xdr:col>23</xdr:col>
      <xdr:colOff>22860</xdr:colOff>
      <xdr:row>13</xdr:row>
      <xdr:rowOff>60960</xdr:rowOff>
    </xdr:from>
    <xdr:to>
      <xdr:col>23</xdr:col>
      <xdr:colOff>510540</xdr:colOff>
      <xdr:row>14</xdr:row>
      <xdr:rowOff>7620</xdr:rowOff>
    </xdr:to>
    <xdr:sp macro="" textlink="">
      <xdr:nvSpPr>
        <xdr:cNvPr id="3" name="Oval 3" descr="&quot;&quot;">
          <a:extLst>
            <a:ext uri="{FF2B5EF4-FFF2-40B4-BE49-F238E27FC236}">
              <a16:creationId xmlns:a16="http://schemas.microsoft.com/office/drawing/2014/main" id="{00000000-0008-0000-0B00-000003000000}"/>
            </a:ext>
          </a:extLst>
        </xdr:cNvPr>
        <xdr:cNvSpPr>
          <a:spLocks noChangeArrowheads="1"/>
        </xdr:cNvSpPr>
      </xdr:nvSpPr>
      <xdr:spPr bwMode="auto">
        <a:xfrm>
          <a:off x="21130260" y="2453640"/>
          <a:ext cx="487680" cy="205740"/>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0</xdr:row>
          <xdr:rowOff>66675</xdr:rowOff>
        </xdr:from>
        <xdr:to>
          <xdr:col>0</xdr:col>
          <xdr:colOff>6067425</xdr:colOff>
          <xdr:row>43</xdr:row>
          <xdr:rowOff>142875</xdr:rowOff>
        </xdr:to>
        <xdr:sp macro="" textlink="">
          <xdr:nvSpPr>
            <xdr:cNvPr id="9235" name="Object 19" hidden="1">
              <a:extLst>
                <a:ext uri="{63B3BB69-23CF-44E3-9099-C40C66FF867C}">
                  <a14:compatExt spid="_x0000_s9235"/>
                </a:ext>
                <a:ext uri="{FF2B5EF4-FFF2-40B4-BE49-F238E27FC236}">
                  <a16:creationId xmlns:a16="http://schemas.microsoft.com/office/drawing/2014/main" id="{00000000-0008-0000-0100-000013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0</xdr:row>
          <xdr:rowOff>66675</xdr:rowOff>
        </xdr:from>
        <xdr:to>
          <xdr:col>1</xdr:col>
          <xdr:colOff>6067425</xdr:colOff>
          <xdr:row>44</xdr:row>
          <xdr:rowOff>0</xdr:rowOff>
        </xdr:to>
        <xdr:sp macro="" textlink="">
          <xdr:nvSpPr>
            <xdr:cNvPr id="9236" name="Object 20" hidden="1">
              <a:extLst>
                <a:ext uri="{63B3BB69-23CF-44E3-9099-C40C66FF867C}">
                  <a14:compatExt spid="_x0000_s9236"/>
                </a:ext>
                <a:ext uri="{FF2B5EF4-FFF2-40B4-BE49-F238E27FC236}">
                  <a16:creationId xmlns:a16="http://schemas.microsoft.com/office/drawing/2014/main" id="{00000000-0008-0000-0100-000014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0</xdr:row>
          <xdr:rowOff>66675</xdr:rowOff>
        </xdr:from>
        <xdr:to>
          <xdr:col>2</xdr:col>
          <xdr:colOff>6067425</xdr:colOff>
          <xdr:row>42</xdr:row>
          <xdr:rowOff>180975</xdr:rowOff>
        </xdr:to>
        <xdr:sp macro="" textlink="">
          <xdr:nvSpPr>
            <xdr:cNvPr id="9237" name="Object 21" hidden="1">
              <a:extLst>
                <a:ext uri="{63B3BB69-23CF-44E3-9099-C40C66FF867C}">
                  <a14:compatExt spid="_x0000_s9237"/>
                </a:ext>
                <a:ext uri="{FF2B5EF4-FFF2-40B4-BE49-F238E27FC236}">
                  <a16:creationId xmlns:a16="http://schemas.microsoft.com/office/drawing/2014/main" id="{00000000-0008-0000-0100-000015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0</xdr:row>
          <xdr:rowOff>66675</xdr:rowOff>
        </xdr:from>
        <xdr:to>
          <xdr:col>3</xdr:col>
          <xdr:colOff>6067425</xdr:colOff>
          <xdr:row>43</xdr:row>
          <xdr:rowOff>66675</xdr:rowOff>
        </xdr:to>
        <xdr:sp macro="" textlink="">
          <xdr:nvSpPr>
            <xdr:cNvPr id="9238" name="Object 22" hidden="1">
              <a:extLst>
                <a:ext uri="{63B3BB69-23CF-44E3-9099-C40C66FF867C}">
                  <a14:compatExt spid="_x0000_s9238"/>
                </a:ext>
                <a:ext uri="{FF2B5EF4-FFF2-40B4-BE49-F238E27FC236}">
                  <a16:creationId xmlns:a16="http://schemas.microsoft.com/office/drawing/2014/main" id="{00000000-0008-0000-0100-00001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0</xdr:row>
          <xdr:rowOff>66675</xdr:rowOff>
        </xdr:from>
        <xdr:to>
          <xdr:col>4</xdr:col>
          <xdr:colOff>6057900</xdr:colOff>
          <xdr:row>39</xdr:row>
          <xdr:rowOff>66675</xdr:rowOff>
        </xdr:to>
        <xdr:sp macro="" textlink="">
          <xdr:nvSpPr>
            <xdr:cNvPr id="9239" name="Object 23" hidden="1">
              <a:extLst>
                <a:ext uri="{63B3BB69-23CF-44E3-9099-C40C66FF867C}">
                  <a14:compatExt spid="_x0000_s9239"/>
                </a:ext>
                <a:ext uri="{FF2B5EF4-FFF2-40B4-BE49-F238E27FC236}">
                  <a16:creationId xmlns:a16="http://schemas.microsoft.com/office/drawing/2014/main" id="{00000000-0008-0000-0100-00001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0</xdr:row>
          <xdr:rowOff>66675</xdr:rowOff>
        </xdr:from>
        <xdr:to>
          <xdr:col>5</xdr:col>
          <xdr:colOff>6067425</xdr:colOff>
          <xdr:row>41</xdr:row>
          <xdr:rowOff>104775</xdr:rowOff>
        </xdr:to>
        <xdr:sp macro="" textlink="">
          <xdr:nvSpPr>
            <xdr:cNvPr id="9240" name="Object 24" hidden="1">
              <a:extLst>
                <a:ext uri="{63B3BB69-23CF-44E3-9099-C40C66FF867C}">
                  <a14:compatExt spid="_x0000_s9240"/>
                </a:ext>
                <a:ext uri="{FF2B5EF4-FFF2-40B4-BE49-F238E27FC236}">
                  <a16:creationId xmlns:a16="http://schemas.microsoft.com/office/drawing/2014/main" id="{00000000-0008-0000-0100-00001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5987</xdr:colOff>
      <xdr:row>5</xdr:row>
      <xdr:rowOff>153652</xdr:rowOff>
    </xdr:from>
    <xdr:to>
      <xdr:col>3</xdr:col>
      <xdr:colOff>27976</xdr:colOff>
      <xdr:row>7</xdr:row>
      <xdr:rowOff>10178</xdr:rowOff>
    </xdr:to>
    <xdr:sp macro="" textlink="">
      <xdr:nvSpPr>
        <xdr:cNvPr id="2" name="Oval 6" descr="&quot;&quot;">
          <a:extLst>
            <a:ext uri="{FF2B5EF4-FFF2-40B4-BE49-F238E27FC236}">
              <a16:creationId xmlns:a16="http://schemas.microsoft.com/office/drawing/2014/main" id="{00000000-0008-0000-0200-000002000000}"/>
            </a:ext>
          </a:extLst>
        </xdr:cNvPr>
        <xdr:cNvSpPr>
          <a:spLocks noChangeArrowheads="1"/>
        </xdr:cNvSpPr>
      </xdr:nvSpPr>
      <xdr:spPr bwMode="auto">
        <a:xfrm>
          <a:off x="495844" y="1038116"/>
          <a:ext cx="484632" cy="210312"/>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twoCellAnchor>
    <xdr:from>
      <xdr:col>21</xdr:col>
      <xdr:colOff>60960</xdr:colOff>
      <xdr:row>5</xdr:row>
      <xdr:rowOff>153652</xdr:rowOff>
    </xdr:from>
    <xdr:to>
      <xdr:col>21</xdr:col>
      <xdr:colOff>545592</xdr:colOff>
      <xdr:row>7</xdr:row>
      <xdr:rowOff>10178</xdr:rowOff>
    </xdr:to>
    <xdr:sp macro="" textlink="">
      <xdr:nvSpPr>
        <xdr:cNvPr id="3" name="Oval 7" descr="&quot;&quot;">
          <a:extLst>
            <a:ext uri="{FF2B5EF4-FFF2-40B4-BE49-F238E27FC236}">
              <a16:creationId xmlns:a16="http://schemas.microsoft.com/office/drawing/2014/main" id="{00000000-0008-0000-0200-000003000000}"/>
            </a:ext>
          </a:extLst>
        </xdr:cNvPr>
        <xdr:cNvSpPr>
          <a:spLocks noChangeArrowheads="1"/>
        </xdr:cNvSpPr>
      </xdr:nvSpPr>
      <xdr:spPr bwMode="auto">
        <a:xfrm>
          <a:off x="13423174" y="1038116"/>
          <a:ext cx="484632" cy="210312"/>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twoCellAnchor>
    <xdr:from>
      <xdr:col>11</xdr:col>
      <xdr:colOff>45720</xdr:colOff>
      <xdr:row>0</xdr:row>
      <xdr:rowOff>0</xdr:rowOff>
    </xdr:from>
    <xdr:to>
      <xdr:col>12</xdr:col>
      <xdr:colOff>76200</xdr:colOff>
      <xdr:row>0</xdr:row>
      <xdr:rowOff>0</xdr:rowOff>
    </xdr:to>
    <xdr:sp macro="" textlink="">
      <xdr:nvSpPr>
        <xdr:cNvPr id="4" name="Oval 10" descr="&quot;&quot;">
          <a:extLst>
            <a:ext uri="{FF2B5EF4-FFF2-40B4-BE49-F238E27FC236}">
              <a16:creationId xmlns:a16="http://schemas.microsoft.com/office/drawing/2014/main" id="{00000000-0008-0000-0200-000004000000}"/>
            </a:ext>
          </a:extLst>
        </xdr:cNvPr>
        <xdr:cNvSpPr>
          <a:spLocks noChangeArrowheads="1"/>
        </xdr:cNvSpPr>
      </xdr:nvSpPr>
      <xdr:spPr bwMode="auto">
        <a:xfrm>
          <a:off x="6172200" y="0"/>
          <a:ext cx="281940" cy="0"/>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twoCellAnchor>
    <xdr:from>
      <xdr:col>10</xdr:col>
      <xdr:colOff>85724</xdr:colOff>
      <xdr:row>5</xdr:row>
      <xdr:rowOff>153353</xdr:rowOff>
    </xdr:from>
    <xdr:to>
      <xdr:col>12</xdr:col>
      <xdr:colOff>148534</xdr:colOff>
      <xdr:row>7</xdr:row>
      <xdr:rowOff>10478</xdr:rowOff>
    </xdr:to>
    <xdr:sp macro="" textlink="">
      <xdr:nvSpPr>
        <xdr:cNvPr id="7" name="Oval 13" descr="&quot;&quot;">
          <a:extLst>
            <a:ext uri="{FF2B5EF4-FFF2-40B4-BE49-F238E27FC236}">
              <a16:creationId xmlns:a16="http://schemas.microsoft.com/office/drawing/2014/main" id="{00000000-0008-0000-0200-000007000000}"/>
            </a:ext>
          </a:extLst>
        </xdr:cNvPr>
        <xdr:cNvSpPr>
          <a:spLocks noChangeArrowheads="1"/>
        </xdr:cNvSpPr>
      </xdr:nvSpPr>
      <xdr:spPr bwMode="auto">
        <a:xfrm>
          <a:off x="5936795" y="1037817"/>
          <a:ext cx="484632" cy="210911"/>
        </a:xfrm>
        <a:prstGeom prst="ellipse">
          <a:avLst/>
        </a:prstGeom>
        <a:noFill/>
        <a:ln w="1">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21257</xdr:colOff>
      <xdr:row>23</xdr:row>
      <xdr:rowOff>157912</xdr:rowOff>
    </xdr:from>
    <xdr:to>
      <xdr:col>4</xdr:col>
      <xdr:colOff>35082</xdr:colOff>
      <xdr:row>24</xdr:row>
      <xdr:rowOff>212558</xdr:rowOff>
    </xdr:to>
    <xdr:sp macro="" textlink="">
      <xdr:nvSpPr>
        <xdr:cNvPr id="2" name="Oval 1" descr="&quot;&quot;">
          <a:extLst>
            <a:ext uri="{FF2B5EF4-FFF2-40B4-BE49-F238E27FC236}">
              <a16:creationId xmlns:a16="http://schemas.microsoft.com/office/drawing/2014/main" id="{00000000-0008-0000-0300-000002000000}"/>
            </a:ext>
          </a:extLst>
        </xdr:cNvPr>
        <xdr:cNvSpPr>
          <a:spLocks noChangeArrowheads="1"/>
        </xdr:cNvSpPr>
      </xdr:nvSpPr>
      <xdr:spPr bwMode="auto">
        <a:xfrm>
          <a:off x="742436" y="4103983"/>
          <a:ext cx="484632" cy="210312"/>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twoCellAnchor editAs="oneCell">
    <xdr:from>
      <xdr:col>2</xdr:col>
      <xdr:colOff>157329</xdr:colOff>
      <xdr:row>4</xdr:row>
      <xdr:rowOff>8486</xdr:rowOff>
    </xdr:from>
    <xdr:to>
      <xdr:col>3</xdr:col>
      <xdr:colOff>466338</xdr:colOff>
      <xdr:row>4</xdr:row>
      <xdr:rowOff>219433</xdr:rowOff>
    </xdr:to>
    <xdr:sp macro="" textlink="">
      <xdr:nvSpPr>
        <xdr:cNvPr id="3" name="Oval 2" descr="&quot;&quot;">
          <a:extLst>
            <a:ext uri="{FF2B5EF4-FFF2-40B4-BE49-F238E27FC236}">
              <a16:creationId xmlns:a16="http://schemas.microsoft.com/office/drawing/2014/main" id="{00000000-0008-0000-0300-000003000000}"/>
            </a:ext>
          </a:extLst>
        </xdr:cNvPr>
        <xdr:cNvSpPr>
          <a:spLocks noChangeArrowheads="1"/>
        </xdr:cNvSpPr>
      </xdr:nvSpPr>
      <xdr:spPr bwMode="auto">
        <a:xfrm>
          <a:off x="701615" y="852129"/>
          <a:ext cx="484632" cy="210312"/>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twoCellAnchor editAs="oneCell">
    <xdr:from>
      <xdr:col>19</xdr:col>
      <xdr:colOff>201372</xdr:colOff>
      <xdr:row>24</xdr:row>
      <xdr:rowOff>19367</xdr:rowOff>
    </xdr:from>
    <xdr:to>
      <xdr:col>19</xdr:col>
      <xdr:colOff>684768</xdr:colOff>
      <xdr:row>25</xdr:row>
      <xdr:rowOff>7</xdr:rowOff>
    </xdr:to>
    <xdr:sp macro="" textlink="">
      <xdr:nvSpPr>
        <xdr:cNvPr id="4" name="Oval 3" descr="&quot;&quot;">
          <a:extLst>
            <a:ext uri="{FF2B5EF4-FFF2-40B4-BE49-F238E27FC236}">
              <a16:creationId xmlns:a16="http://schemas.microsoft.com/office/drawing/2014/main" id="{00000000-0008-0000-0300-000004000000}"/>
            </a:ext>
          </a:extLst>
        </xdr:cNvPr>
        <xdr:cNvSpPr>
          <a:spLocks noChangeArrowheads="1"/>
        </xdr:cNvSpPr>
      </xdr:nvSpPr>
      <xdr:spPr bwMode="auto">
        <a:xfrm>
          <a:off x="14454236" y="4071822"/>
          <a:ext cx="483396" cy="202890"/>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266700</xdr:colOff>
          <xdr:row>5</xdr:row>
          <xdr:rowOff>28575</xdr:rowOff>
        </xdr:from>
        <xdr:to>
          <xdr:col>20</xdr:col>
          <xdr:colOff>2009775</xdr:colOff>
          <xdr:row>6</xdr:row>
          <xdr:rowOff>152400</xdr:rowOff>
        </xdr:to>
        <xdr:sp macro="" textlink="">
          <xdr:nvSpPr>
            <xdr:cNvPr id="11266" name="btnPrepareModel" hidden="1">
              <a:extLst>
                <a:ext uri="{63B3BB69-23CF-44E3-9099-C40C66FF867C}">
                  <a14:compatExt spid="_x0000_s11266"/>
                </a:ext>
                <a:ext uri="{FF2B5EF4-FFF2-40B4-BE49-F238E27FC236}">
                  <a16:creationId xmlns:a16="http://schemas.microsoft.com/office/drawing/2014/main" id="{00000000-0008-0000-03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Prepare Model for Next Location</a:t>
              </a:r>
            </a:p>
          </xdr:txBody>
        </xdr:sp>
        <xdr:clientData/>
      </xdr:twoCellAnchor>
    </mc:Choice>
    <mc:Fallback/>
  </mc:AlternateContent>
  <xdr:oneCellAnchor>
    <xdr:from>
      <xdr:col>34</xdr:col>
      <xdr:colOff>1022504</xdr:colOff>
      <xdr:row>3</xdr:row>
      <xdr:rowOff>239809</xdr:rowOff>
    </xdr:from>
    <xdr:ext cx="484632" cy="210312"/>
    <xdr:sp macro="" textlink="">
      <xdr:nvSpPr>
        <xdr:cNvPr id="6" name="Oval 5" descr="&quot;&quot;">
          <a:extLst>
            <a:ext uri="{FF2B5EF4-FFF2-40B4-BE49-F238E27FC236}">
              <a16:creationId xmlns:a16="http://schemas.microsoft.com/office/drawing/2014/main" id="{00000000-0008-0000-0300-000006000000}"/>
            </a:ext>
          </a:extLst>
        </xdr:cNvPr>
        <xdr:cNvSpPr>
          <a:spLocks noChangeArrowheads="1"/>
        </xdr:cNvSpPr>
      </xdr:nvSpPr>
      <xdr:spPr bwMode="auto">
        <a:xfrm>
          <a:off x="32482218" y="838523"/>
          <a:ext cx="484632" cy="210312"/>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oneCellAnchor>
  <xdr:oneCellAnchor>
    <xdr:from>
      <xdr:col>35</xdr:col>
      <xdr:colOff>1968</xdr:colOff>
      <xdr:row>23</xdr:row>
      <xdr:rowOff>157912</xdr:rowOff>
    </xdr:from>
    <xdr:ext cx="484632" cy="210312"/>
    <xdr:sp macro="" textlink="">
      <xdr:nvSpPr>
        <xdr:cNvPr id="7" name="Oval 6" descr="&quot;&quot;">
          <a:extLst>
            <a:ext uri="{FF2B5EF4-FFF2-40B4-BE49-F238E27FC236}">
              <a16:creationId xmlns:a16="http://schemas.microsoft.com/office/drawing/2014/main" id="{00000000-0008-0000-0300-000007000000}"/>
            </a:ext>
          </a:extLst>
        </xdr:cNvPr>
        <xdr:cNvSpPr>
          <a:spLocks noChangeArrowheads="1"/>
        </xdr:cNvSpPr>
      </xdr:nvSpPr>
      <xdr:spPr bwMode="auto">
        <a:xfrm>
          <a:off x="27760539" y="4103983"/>
          <a:ext cx="484632" cy="210312"/>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oneCellAnchor>
  <xdr:oneCellAnchor>
    <xdr:from>
      <xdr:col>50</xdr:col>
      <xdr:colOff>26292</xdr:colOff>
      <xdr:row>23</xdr:row>
      <xdr:rowOff>157912</xdr:rowOff>
    </xdr:from>
    <xdr:ext cx="484632" cy="210312"/>
    <xdr:sp macro="" textlink="">
      <xdr:nvSpPr>
        <xdr:cNvPr id="8" name="Oval 7" descr="&quot;&quot;">
          <a:extLst>
            <a:ext uri="{FF2B5EF4-FFF2-40B4-BE49-F238E27FC236}">
              <a16:creationId xmlns:a16="http://schemas.microsoft.com/office/drawing/2014/main" id="{00000000-0008-0000-0300-000008000000}"/>
            </a:ext>
          </a:extLst>
        </xdr:cNvPr>
        <xdr:cNvSpPr>
          <a:spLocks noChangeArrowheads="1"/>
        </xdr:cNvSpPr>
      </xdr:nvSpPr>
      <xdr:spPr bwMode="auto">
        <a:xfrm>
          <a:off x="39214863" y="4103983"/>
          <a:ext cx="484632" cy="210312"/>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oneCellAnchor>
  <xdr:twoCellAnchor editAs="oneCell">
    <xdr:from>
      <xdr:col>19</xdr:col>
      <xdr:colOff>201372</xdr:colOff>
      <xdr:row>4</xdr:row>
      <xdr:rowOff>15910</xdr:rowOff>
    </xdr:from>
    <xdr:to>
      <xdr:col>19</xdr:col>
      <xdr:colOff>684768</xdr:colOff>
      <xdr:row>5</xdr:row>
      <xdr:rowOff>261</xdr:rowOff>
    </xdr:to>
    <xdr:sp macro="" textlink="">
      <xdr:nvSpPr>
        <xdr:cNvPr id="18" name="Oval 17" descr="&quot;&quot;">
          <a:extLst>
            <a:ext uri="{FF2B5EF4-FFF2-40B4-BE49-F238E27FC236}">
              <a16:creationId xmlns:a16="http://schemas.microsoft.com/office/drawing/2014/main" id="{00000000-0008-0000-0300-000012000000}"/>
            </a:ext>
          </a:extLst>
        </xdr:cNvPr>
        <xdr:cNvSpPr>
          <a:spLocks noChangeArrowheads="1"/>
        </xdr:cNvSpPr>
      </xdr:nvSpPr>
      <xdr:spPr bwMode="auto">
        <a:xfrm>
          <a:off x="14454236" y="743274"/>
          <a:ext cx="483396" cy="206601"/>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oneCellAnchor>
    <xdr:from>
      <xdr:col>64</xdr:col>
      <xdr:colOff>219683</xdr:colOff>
      <xdr:row>4</xdr:row>
      <xdr:rowOff>8487</xdr:rowOff>
    </xdr:from>
    <xdr:ext cx="484632" cy="210312"/>
    <xdr:sp macro="" textlink="">
      <xdr:nvSpPr>
        <xdr:cNvPr id="10" name="Oval 9" descr="&quot;&quot;">
          <a:extLst>
            <a:ext uri="{FF2B5EF4-FFF2-40B4-BE49-F238E27FC236}">
              <a16:creationId xmlns:a16="http://schemas.microsoft.com/office/drawing/2014/main" id="{00000000-0008-0000-0300-00000A000000}"/>
            </a:ext>
          </a:extLst>
        </xdr:cNvPr>
        <xdr:cNvSpPr>
          <a:spLocks noChangeArrowheads="1"/>
        </xdr:cNvSpPr>
      </xdr:nvSpPr>
      <xdr:spPr bwMode="auto">
        <a:xfrm>
          <a:off x="57750683" y="852130"/>
          <a:ext cx="484632" cy="210312"/>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a:lstStyle/>
        <a:p>
          <a:endParaRPr lang="en-US"/>
        </a:p>
      </xdr:txBody>
    </xdr:sp>
    <xdr:clientData/>
  </xdr:oneCellAnchor>
  <xdr:oneCellAnchor>
    <xdr:from>
      <xdr:col>65</xdr:col>
      <xdr:colOff>1968</xdr:colOff>
      <xdr:row>23</xdr:row>
      <xdr:rowOff>157912</xdr:rowOff>
    </xdr:from>
    <xdr:ext cx="484632" cy="210312"/>
    <xdr:sp macro="" textlink="">
      <xdr:nvSpPr>
        <xdr:cNvPr id="11" name="Oval 10" descr="&quot;&quot;">
          <a:extLst>
            <a:ext uri="{FF2B5EF4-FFF2-40B4-BE49-F238E27FC236}">
              <a16:creationId xmlns:a16="http://schemas.microsoft.com/office/drawing/2014/main" id="{00000000-0008-0000-0300-00000B000000}"/>
            </a:ext>
          </a:extLst>
        </xdr:cNvPr>
        <xdr:cNvSpPr>
          <a:spLocks noChangeArrowheads="1"/>
        </xdr:cNvSpPr>
      </xdr:nvSpPr>
      <xdr:spPr bwMode="auto">
        <a:xfrm>
          <a:off x="49531968" y="4044112"/>
          <a:ext cx="484632" cy="210312"/>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oneCellAnchor>
  <xdr:oneCellAnchor>
    <xdr:from>
      <xdr:col>77</xdr:col>
      <xdr:colOff>1968</xdr:colOff>
      <xdr:row>23</xdr:row>
      <xdr:rowOff>157912</xdr:rowOff>
    </xdr:from>
    <xdr:ext cx="484632" cy="210312"/>
    <xdr:sp macro="" textlink="">
      <xdr:nvSpPr>
        <xdr:cNvPr id="12" name="Oval 11" descr="&quot;&quot;">
          <a:extLst>
            <a:ext uri="{FF2B5EF4-FFF2-40B4-BE49-F238E27FC236}">
              <a16:creationId xmlns:a16="http://schemas.microsoft.com/office/drawing/2014/main" id="{00000000-0008-0000-0300-00000C000000}"/>
            </a:ext>
          </a:extLst>
        </xdr:cNvPr>
        <xdr:cNvSpPr>
          <a:spLocks noChangeArrowheads="1"/>
        </xdr:cNvSpPr>
      </xdr:nvSpPr>
      <xdr:spPr bwMode="auto">
        <a:xfrm>
          <a:off x="58571193" y="4044112"/>
          <a:ext cx="484632" cy="210312"/>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oneCellAnchor>
  <xdr:oneCellAnchor>
    <xdr:from>
      <xdr:col>77</xdr:col>
      <xdr:colOff>1968</xdr:colOff>
      <xdr:row>23</xdr:row>
      <xdr:rowOff>157912</xdr:rowOff>
    </xdr:from>
    <xdr:ext cx="484632" cy="210312"/>
    <xdr:sp macro="" textlink="">
      <xdr:nvSpPr>
        <xdr:cNvPr id="13" name="Oval 12" descr="&quot;&quot;">
          <a:extLst>
            <a:ext uri="{FF2B5EF4-FFF2-40B4-BE49-F238E27FC236}">
              <a16:creationId xmlns:a16="http://schemas.microsoft.com/office/drawing/2014/main" id="{00000000-0008-0000-0300-00000D000000}"/>
            </a:ext>
          </a:extLst>
        </xdr:cNvPr>
        <xdr:cNvSpPr>
          <a:spLocks noChangeArrowheads="1"/>
        </xdr:cNvSpPr>
      </xdr:nvSpPr>
      <xdr:spPr bwMode="auto">
        <a:xfrm>
          <a:off x="58571193" y="4044112"/>
          <a:ext cx="484632" cy="210312"/>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oneCellAnchor>
  <xdr:oneCellAnchor>
    <xdr:from>
      <xdr:col>97</xdr:col>
      <xdr:colOff>38348</xdr:colOff>
      <xdr:row>4</xdr:row>
      <xdr:rowOff>13607</xdr:rowOff>
    </xdr:from>
    <xdr:ext cx="484632" cy="210312"/>
    <xdr:sp macro="" textlink="">
      <xdr:nvSpPr>
        <xdr:cNvPr id="14" name="Oval 13" descr="&quot;&quot;">
          <a:extLst>
            <a:ext uri="{FF2B5EF4-FFF2-40B4-BE49-F238E27FC236}">
              <a16:creationId xmlns:a16="http://schemas.microsoft.com/office/drawing/2014/main" id="{00000000-0008-0000-0300-00000E000000}"/>
            </a:ext>
          </a:extLst>
        </xdr:cNvPr>
        <xdr:cNvSpPr>
          <a:spLocks noChangeArrowheads="1"/>
        </xdr:cNvSpPr>
      </xdr:nvSpPr>
      <xdr:spPr bwMode="auto">
        <a:xfrm>
          <a:off x="84919705" y="612321"/>
          <a:ext cx="484632" cy="210312"/>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oneCellAnchor>
  <mc:AlternateContent xmlns:mc="http://schemas.openxmlformats.org/markup-compatibility/2006">
    <mc:Choice xmlns:a14="http://schemas.microsoft.com/office/drawing/2010/main" Requires="a14">
      <xdr:twoCellAnchor editAs="oneCell">
        <xdr:from>
          <xdr:col>19</xdr:col>
          <xdr:colOff>266700</xdr:colOff>
          <xdr:row>67</xdr:row>
          <xdr:rowOff>28575</xdr:rowOff>
        </xdr:from>
        <xdr:to>
          <xdr:col>20</xdr:col>
          <xdr:colOff>2009775</xdr:colOff>
          <xdr:row>69</xdr:row>
          <xdr:rowOff>0</xdr:rowOff>
        </xdr:to>
        <xdr:sp macro="" textlink="">
          <xdr:nvSpPr>
            <xdr:cNvPr id="11267" name="btnPrepareModel" hidden="1">
              <a:extLst>
                <a:ext uri="{63B3BB69-23CF-44E3-9099-C40C66FF867C}">
                  <a14:compatExt spid="_x0000_s11267"/>
                </a:ext>
                <a:ext uri="{FF2B5EF4-FFF2-40B4-BE49-F238E27FC236}">
                  <a16:creationId xmlns:a16="http://schemas.microsoft.com/office/drawing/2014/main" id="{00000000-0008-0000-03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Prepare Model for Next Location</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xdr:col>
      <xdr:colOff>38644</xdr:colOff>
      <xdr:row>8</xdr:row>
      <xdr:rowOff>45720</xdr:rowOff>
    </xdr:from>
    <xdr:to>
      <xdr:col>4</xdr:col>
      <xdr:colOff>132479</xdr:colOff>
      <xdr:row>8</xdr:row>
      <xdr:rowOff>256032</xdr:rowOff>
    </xdr:to>
    <xdr:sp macro="" textlink="">
      <xdr:nvSpPr>
        <xdr:cNvPr id="2" name="Oval 2" descr="&quot;&quot;">
          <a:extLst>
            <a:ext uri="{FF2B5EF4-FFF2-40B4-BE49-F238E27FC236}">
              <a16:creationId xmlns:a16="http://schemas.microsoft.com/office/drawing/2014/main" id="{00000000-0008-0000-0400-000002000000}"/>
            </a:ext>
          </a:extLst>
        </xdr:cNvPr>
        <xdr:cNvSpPr>
          <a:spLocks noChangeArrowheads="1"/>
        </xdr:cNvSpPr>
      </xdr:nvSpPr>
      <xdr:spPr bwMode="auto">
        <a:xfrm>
          <a:off x="909501" y="1556113"/>
          <a:ext cx="393192" cy="210312"/>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22860</xdr:colOff>
      <xdr:row>14</xdr:row>
      <xdr:rowOff>45259</xdr:rowOff>
    </xdr:from>
    <xdr:to>
      <xdr:col>1</xdr:col>
      <xdr:colOff>502920</xdr:colOff>
      <xdr:row>14</xdr:row>
      <xdr:rowOff>255688</xdr:rowOff>
    </xdr:to>
    <xdr:sp macro="" textlink="">
      <xdr:nvSpPr>
        <xdr:cNvPr id="2" name="Oval 2" descr="&quot;&quot;">
          <a:extLst>
            <a:ext uri="{FF2B5EF4-FFF2-40B4-BE49-F238E27FC236}">
              <a16:creationId xmlns:a16="http://schemas.microsoft.com/office/drawing/2014/main" id="{00000000-0008-0000-0500-000002000000}"/>
            </a:ext>
          </a:extLst>
        </xdr:cNvPr>
        <xdr:cNvSpPr>
          <a:spLocks noChangeArrowheads="1"/>
        </xdr:cNvSpPr>
      </xdr:nvSpPr>
      <xdr:spPr bwMode="auto">
        <a:xfrm>
          <a:off x="744039" y="2671438"/>
          <a:ext cx="480060" cy="210429"/>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twoCellAnchor>
    <xdr:from>
      <xdr:col>21</xdr:col>
      <xdr:colOff>22860</xdr:colOff>
      <xdr:row>14</xdr:row>
      <xdr:rowOff>45259</xdr:rowOff>
    </xdr:from>
    <xdr:to>
      <xdr:col>21</xdr:col>
      <xdr:colOff>510540</xdr:colOff>
      <xdr:row>14</xdr:row>
      <xdr:rowOff>255688</xdr:rowOff>
    </xdr:to>
    <xdr:sp macro="" textlink="">
      <xdr:nvSpPr>
        <xdr:cNvPr id="3" name="Oval 4" descr="&quot;&quot;">
          <a:extLst>
            <a:ext uri="{FF2B5EF4-FFF2-40B4-BE49-F238E27FC236}">
              <a16:creationId xmlns:a16="http://schemas.microsoft.com/office/drawing/2014/main" id="{00000000-0008-0000-0500-000003000000}"/>
            </a:ext>
          </a:extLst>
        </xdr:cNvPr>
        <xdr:cNvSpPr>
          <a:spLocks noChangeArrowheads="1"/>
        </xdr:cNvSpPr>
      </xdr:nvSpPr>
      <xdr:spPr bwMode="auto">
        <a:xfrm>
          <a:off x="21753467" y="2671438"/>
          <a:ext cx="487680" cy="210429"/>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216082</xdr:colOff>
      <xdr:row>14</xdr:row>
      <xdr:rowOff>45259</xdr:rowOff>
    </xdr:from>
    <xdr:to>
      <xdr:col>1</xdr:col>
      <xdr:colOff>696142</xdr:colOff>
      <xdr:row>14</xdr:row>
      <xdr:rowOff>255688</xdr:rowOff>
    </xdr:to>
    <xdr:sp macro="" textlink="">
      <xdr:nvSpPr>
        <xdr:cNvPr id="2" name="Oval 2" descr="&quot;&quot;">
          <a:extLst>
            <a:ext uri="{FF2B5EF4-FFF2-40B4-BE49-F238E27FC236}">
              <a16:creationId xmlns:a16="http://schemas.microsoft.com/office/drawing/2014/main" id="{00000000-0008-0000-0600-000002000000}"/>
            </a:ext>
          </a:extLst>
        </xdr:cNvPr>
        <xdr:cNvSpPr>
          <a:spLocks noChangeArrowheads="1"/>
        </xdr:cNvSpPr>
      </xdr:nvSpPr>
      <xdr:spPr bwMode="auto">
        <a:xfrm>
          <a:off x="828403" y="807259"/>
          <a:ext cx="480060" cy="210429"/>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twoCellAnchor>
    <xdr:from>
      <xdr:col>30</xdr:col>
      <xdr:colOff>221523</xdr:colOff>
      <xdr:row>14</xdr:row>
      <xdr:rowOff>45259</xdr:rowOff>
    </xdr:from>
    <xdr:to>
      <xdr:col>30</xdr:col>
      <xdr:colOff>706155</xdr:colOff>
      <xdr:row>14</xdr:row>
      <xdr:rowOff>255688</xdr:rowOff>
    </xdr:to>
    <xdr:sp macro="" textlink="">
      <xdr:nvSpPr>
        <xdr:cNvPr id="3" name="Oval 4" descr="&quot;&quot;">
          <a:extLst>
            <a:ext uri="{FF2B5EF4-FFF2-40B4-BE49-F238E27FC236}">
              <a16:creationId xmlns:a16="http://schemas.microsoft.com/office/drawing/2014/main" id="{00000000-0008-0000-0600-000003000000}"/>
            </a:ext>
          </a:extLst>
        </xdr:cNvPr>
        <xdr:cNvSpPr>
          <a:spLocks noChangeArrowheads="1"/>
        </xdr:cNvSpPr>
      </xdr:nvSpPr>
      <xdr:spPr bwMode="auto">
        <a:xfrm>
          <a:off x="32252737" y="807259"/>
          <a:ext cx="484632" cy="210429"/>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266700</xdr:colOff>
          <xdr:row>0</xdr:row>
          <xdr:rowOff>0</xdr:rowOff>
        </xdr:from>
        <xdr:to>
          <xdr:col>11</xdr:col>
          <xdr:colOff>962025</xdr:colOff>
          <xdr:row>1</xdr:row>
          <xdr:rowOff>104775</xdr:rowOff>
        </xdr:to>
        <xdr:sp macro="" textlink="">
          <xdr:nvSpPr>
            <xdr:cNvPr id="20483" name="btnPrepareModel" hidden="1">
              <a:extLst>
                <a:ext uri="{63B3BB69-23CF-44E3-9099-C40C66FF867C}">
                  <a14:compatExt spid="_x0000_s20483"/>
                </a:ext>
                <a:ext uri="{FF2B5EF4-FFF2-40B4-BE49-F238E27FC236}">
                  <a16:creationId xmlns:a16="http://schemas.microsoft.com/office/drawing/2014/main" id="{00000000-0008-0000-0600-000003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Prepare Model for Next Location</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19050</xdr:colOff>
      <xdr:row>16</xdr:row>
      <xdr:rowOff>57150</xdr:rowOff>
    </xdr:from>
    <xdr:to>
      <xdr:col>1</xdr:col>
      <xdr:colOff>495300</xdr:colOff>
      <xdr:row>17</xdr:row>
      <xdr:rowOff>9525</xdr:rowOff>
    </xdr:to>
    <xdr:sp macro="" textlink="">
      <xdr:nvSpPr>
        <xdr:cNvPr id="2" name="Oval 2" descr="&quot;&quot;">
          <a:extLst>
            <a:ext uri="{FF2B5EF4-FFF2-40B4-BE49-F238E27FC236}">
              <a16:creationId xmlns:a16="http://schemas.microsoft.com/office/drawing/2014/main" id="{00000000-0008-0000-0700-000002000000}"/>
            </a:ext>
          </a:extLst>
        </xdr:cNvPr>
        <xdr:cNvSpPr>
          <a:spLocks noChangeArrowheads="1"/>
        </xdr:cNvSpPr>
      </xdr:nvSpPr>
      <xdr:spPr bwMode="auto">
        <a:xfrm>
          <a:off x="628650" y="2971800"/>
          <a:ext cx="476250" cy="209550"/>
        </a:xfrm>
        <a:prstGeom prst="ellipse">
          <a:avLst/>
        </a:prstGeom>
        <a:noFill/>
        <a:ln w="1">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19050</xdr:colOff>
      <xdr:row>16</xdr:row>
      <xdr:rowOff>57150</xdr:rowOff>
    </xdr:from>
    <xdr:to>
      <xdr:col>15</xdr:col>
      <xdr:colOff>495300</xdr:colOff>
      <xdr:row>17</xdr:row>
      <xdr:rowOff>9525</xdr:rowOff>
    </xdr:to>
    <xdr:sp macro="" textlink="">
      <xdr:nvSpPr>
        <xdr:cNvPr id="3" name="Oval 3" descr="&quot;&quot;">
          <a:extLst>
            <a:ext uri="{FF2B5EF4-FFF2-40B4-BE49-F238E27FC236}">
              <a16:creationId xmlns:a16="http://schemas.microsoft.com/office/drawing/2014/main" id="{00000000-0008-0000-0700-000003000000}"/>
            </a:ext>
          </a:extLst>
        </xdr:cNvPr>
        <xdr:cNvSpPr>
          <a:spLocks noChangeArrowheads="1"/>
        </xdr:cNvSpPr>
      </xdr:nvSpPr>
      <xdr:spPr bwMode="auto">
        <a:xfrm>
          <a:off x="13782675" y="2971800"/>
          <a:ext cx="476250" cy="209550"/>
        </a:xfrm>
        <a:prstGeom prst="ellipse">
          <a:avLst/>
        </a:prstGeom>
        <a:noFill/>
        <a:ln w="1">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19050</xdr:colOff>
      <xdr:row>16</xdr:row>
      <xdr:rowOff>57150</xdr:rowOff>
    </xdr:from>
    <xdr:to>
      <xdr:col>29</xdr:col>
      <xdr:colOff>495300</xdr:colOff>
      <xdr:row>17</xdr:row>
      <xdr:rowOff>9525</xdr:rowOff>
    </xdr:to>
    <xdr:sp macro="" textlink="">
      <xdr:nvSpPr>
        <xdr:cNvPr id="4" name="Oval 4" descr="&quot;&quot;">
          <a:extLst>
            <a:ext uri="{FF2B5EF4-FFF2-40B4-BE49-F238E27FC236}">
              <a16:creationId xmlns:a16="http://schemas.microsoft.com/office/drawing/2014/main" id="{00000000-0008-0000-0700-000004000000}"/>
            </a:ext>
          </a:extLst>
        </xdr:cNvPr>
        <xdr:cNvSpPr>
          <a:spLocks noChangeArrowheads="1"/>
        </xdr:cNvSpPr>
      </xdr:nvSpPr>
      <xdr:spPr bwMode="auto">
        <a:xfrm>
          <a:off x="26974800" y="2971800"/>
          <a:ext cx="476250" cy="209550"/>
        </a:xfrm>
        <a:prstGeom prst="ellipse">
          <a:avLst/>
        </a:prstGeom>
        <a:noFill/>
        <a:ln w="1">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22860</xdr:colOff>
      <xdr:row>14</xdr:row>
      <xdr:rowOff>60960</xdr:rowOff>
    </xdr:from>
    <xdr:to>
      <xdr:col>1</xdr:col>
      <xdr:colOff>502920</xdr:colOff>
      <xdr:row>15</xdr:row>
      <xdr:rowOff>7620</xdr:rowOff>
    </xdr:to>
    <xdr:sp macro="" textlink="">
      <xdr:nvSpPr>
        <xdr:cNvPr id="2" name="Oval 1" descr="&quot;&quot;">
          <a:extLst>
            <a:ext uri="{FF2B5EF4-FFF2-40B4-BE49-F238E27FC236}">
              <a16:creationId xmlns:a16="http://schemas.microsoft.com/office/drawing/2014/main" id="{00000000-0008-0000-0800-000002000000}"/>
            </a:ext>
          </a:extLst>
        </xdr:cNvPr>
        <xdr:cNvSpPr>
          <a:spLocks noChangeArrowheads="1"/>
        </xdr:cNvSpPr>
      </xdr:nvSpPr>
      <xdr:spPr bwMode="auto">
        <a:xfrm>
          <a:off x="647700" y="2674620"/>
          <a:ext cx="480060" cy="205740"/>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twoCellAnchor>
    <xdr:from>
      <xdr:col>21</xdr:col>
      <xdr:colOff>360315</xdr:colOff>
      <xdr:row>14</xdr:row>
      <xdr:rowOff>60960</xdr:rowOff>
    </xdr:from>
    <xdr:to>
      <xdr:col>22</xdr:col>
      <xdr:colOff>325481</xdr:colOff>
      <xdr:row>15</xdr:row>
      <xdr:rowOff>7620</xdr:rowOff>
    </xdr:to>
    <xdr:sp macro="" textlink="">
      <xdr:nvSpPr>
        <xdr:cNvPr id="3" name="Oval 3" descr="&quot;&quot;">
          <a:extLst>
            <a:ext uri="{FF2B5EF4-FFF2-40B4-BE49-F238E27FC236}">
              <a16:creationId xmlns:a16="http://schemas.microsoft.com/office/drawing/2014/main" id="{00000000-0008-0000-0800-000003000000}"/>
            </a:ext>
          </a:extLst>
        </xdr:cNvPr>
        <xdr:cNvSpPr>
          <a:spLocks noChangeArrowheads="1"/>
        </xdr:cNvSpPr>
      </xdr:nvSpPr>
      <xdr:spPr bwMode="auto">
        <a:xfrm>
          <a:off x="22654258" y="2847703"/>
          <a:ext cx="487680" cy="207917"/>
        </a:xfrm>
        <a:prstGeom prst="ellips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ab@dot.ca.gov"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package" Target="../embeddings/Microsoft_Word_Document2.docx"/><Relationship Id="rId13" Type="http://schemas.openxmlformats.org/officeDocument/2006/relationships/image" Target="../media/image8.emf"/><Relationship Id="rId3" Type="http://schemas.openxmlformats.org/officeDocument/2006/relationships/vmlDrawing" Target="../drawings/vmlDrawing1.vml"/><Relationship Id="rId7" Type="http://schemas.openxmlformats.org/officeDocument/2006/relationships/image" Target="../media/image5.emf"/><Relationship Id="rId12" Type="http://schemas.openxmlformats.org/officeDocument/2006/relationships/package" Target="../embeddings/Microsoft_Word_Document4.docx"/><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package" Target="../embeddings/Microsoft_Word_Document1.docx"/><Relationship Id="rId11" Type="http://schemas.openxmlformats.org/officeDocument/2006/relationships/image" Target="../media/image7.emf"/><Relationship Id="rId5" Type="http://schemas.openxmlformats.org/officeDocument/2006/relationships/image" Target="../media/image4.emf"/><Relationship Id="rId15" Type="http://schemas.openxmlformats.org/officeDocument/2006/relationships/image" Target="../media/image9.emf"/><Relationship Id="rId10" Type="http://schemas.openxmlformats.org/officeDocument/2006/relationships/package" Target="../embeddings/Microsoft_Word_Document3.docx"/><Relationship Id="rId4" Type="http://schemas.openxmlformats.org/officeDocument/2006/relationships/package" Target="../embeddings/Microsoft_Word_Document.docx"/><Relationship Id="rId9" Type="http://schemas.openxmlformats.org/officeDocument/2006/relationships/image" Target="../media/image6.emf"/><Relationship Id="rId14" Type="http://schemas.openxmlformats.org/officeDocument/2006/relationships/package" Target="../embeddings/Microsoft_Word_Document5.docx"/></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tabColor rgb="FFFFFFCC"/>
  </sheetPr>
  <dimension ref="A1:D29"/>
  <sheetViews>
    <sheetView showGridLines="0" zoomScale="80" zoomScaleNormal="80" workbookViewId="0">
      <selection activeCell="A47" sqref="A47"/>
    </sheetView>
  </sheetViews>
  <sheetFormatPr defaultRowHeight="12.75" x14ac:dyDescent="0.2"/>
  <cols>
    <col min="1" max="1" width="29.5703125" style="504" customWidth="1"/>
    <col min="2" max="2" width="27.140625" style="504" customWidth="1"/>
    <col min="3" max="3" width="90.5703125" style="504" customWidth="1"/>
    <col min="4" max="256" width="9.42578125" style="504"/>
    <col min="257" max="257" width="29.5703125" style="504" customWidth="1"/>
    <col min="258" max="258" width="25.5703125" style="504" customWidth="1"/>
    <col min="259" max="259" width="90.5703125" style="504" customWidth="1"/>
    <col min="260" max="512" width="9.42578125" style="504"/>
    <col min="513" max="513" width="29.5703125" style="504" customWidth="1"/>
    <col min="514" max="514" width="25.5703125" style="504" customWidth="1"/>
    <col min="515" max="515" width="90.5703125" style="504" customWidth="1"/>
    <col min="516" max="768" width="9.42578125" style="504"/>
    <col min="769" max="769" width="29.5703125" style="504" customWidth="1"/>
    <col min="770" max="770" width="25.5703125" style="504" customWidth="1"/>
    <col min="771" max="771" width="90.5703125" style="504" customWidth="1"/>
    <col min="772" max="1024" width="9.42578125" style="504"/>
    <col min="1025" max="1025" width="29.5703125" style="504" customWidth="1"/>
    <col min="1026" max="1026" width="25.5703125" style="504" customWidth="1"/>
    <col min="1027" max="1027" width="90.5703125" style="504" customWidth="1"/>
    <col min="1028" max="1280" width="9.42578125" style="504"/>
    <col min="1281" max="1281" width="29.5703125" style="504" customWidth="1"/>
    <col min="1282" max="1282" width="25.5703125" style="504" customWidth="1"/>
    <col min="1283" max="1283" width="90.5703125" style="504" customWidth="1"/>
    <col min="1284" max="1536" width="9.42578125" style="504"/>
    <col min="1537" max="1537" width="29.5703125" style="504" customWidth="1"/>
    <col min="1538" max="1538" width="25.5703125" style="504" customWidth="1"/>
    <col min="1539" max="1539" width="90.5703125" style="504" customWidth="1"/>
    <col min="1540" max="1792" width="9.42578125" style="504"/>
    <col min="1793" max="1793" width="29.5703125" style="504" customWidth="1"/>
    <col min="1794" max="1794" width="25.5703125" style="504" customWidth="1"/>
    <col min="1795" max="1795" width="90.5703125" style="504" customWidth="1"/>
    <col min="1796" max="2048" width="9.42578125" style="504"/>
    <col min="2049" max="2049" width="29.5703125" style="504" customWidth="1"/>
    <col min="2050" max="2050" width="25.5703125" style="504" customWidth="1"/>
    <col min="2051" max="2051" width="90.5703125" style="504" customWidth="1"/>
    <col min="2052" max="2304" width="9.42578125" style="504"/>
    <col min="2305" max="2305" width="29.5703125" style="504" customWidth="1"/>
    <col min="2306" max="2306" width="25.5703125" style="504" customWidth="1"/>
    <col min="2307" max="2307" width="90.5703125" style="504" customWidth="1"/>
    <col min="2308" max="2560" width="9.42578125" style="504"/>
    <col min="2561" max="2561" width="29.5703125" style="504" customWidth="1"/>
    <col min="2562" max="2562" width="25.5703125" style="504" customWidth="1"/>
    <col min="2563" max="2563" width="90.5703125" style="504" customWidth="1"/>
    <col min="2564" max="2816" width="9.42578125" style="504"/>
    <col min="2817" max="2817" width="29.5703125" style="504" customWidth="1"/>
    <col min="2818" max="2818" width="25.5703125" style="504" customWidth="1"/>
    <col min="2819" max="2819" width="90.5703125" style="504" customWidth="1"/>
    <col min="2820" max="3072" width="9.42578125" style="504"/>
    <col min="3073" max="3073" width="29.5703125" style="504" customWidth="1"/>
    <col min="3074" max="3074" width="25.5703125" style="504" customWidth="1"/>
    <col min="3075" max="3075" width="90.5703125" style="504" customWidth="1"/>
    <col min="3076" max="3328" width="9.42578125" style="504"/>
    <col min="3329" max="3329" width="29.5703125" style="504" customWidth="1"/>
    <col min="3330" max="3330" width="25.5703125" style="504" customWidth="1"/>
    <col min="3331" max="3331" width="90.5703125" style="504" customWidth="1"/>
    <col min="3332" max="3584" width="9.42578125" style="504"/>
    <col min="3585" max="3585" width="29.5703125" style="504" customWidth="1"/>
    <col min="3586" max="3586" width="25.5703125" style="504" customWidth="1"/>
    <col min="3587" max="3587" width="90.5703125" style="504" customWidth="1"/>
    <col min="3588" max="3840" width="9.42578125" style="504"/>
    <col min="3841" max="3841" width="29.5703125" style="504" customWidth="1"/>
    <col min="3842" max="3842" width="25.5703125" style="504" customWidth="1"/>
    <col min="3843" max="3843" width="90.5703125" style="504" customWidth="1"/>
    <col min="3844" max="4096" width="9.42578125" style="504"/>
    <col min="4097" max="4097" width="29.5703125" style="504" customWidth="1"/>
    <col min="4098" max="4098" width="25.5703125" style="504" customWidth="1"/>
    <col min="4099" max="4099" width="90.5703125" style="504" customWidth="1"/>
    <col min="4100" max="4352" width="9.42578125" style="504"/>
    <col min="4353" max="4353" width="29.5703125" style="504" customWidth="1"/>
    <col min="4354" max="4354" width="25.5703125" style="504" customWidth="1"/>
    <col min="4355" max="4355" width="90.5703125" style="504" customWidth="1"/>
    <col min="4356" max="4608" width="9.42578125" style="504"/>
    <col min="4609" max="4609" width="29.5703125" style="504" customWidth="1"/>
    <col min="4610" max="4610" width="25.5703125" style="504" customWidth="1"/>
    <col min="4611" max="4611" width="90.5703125" style="504" customWidth="1"/>
    <col min="4612" max="4864" width="9.42578125" style="504"/>
    <col min="4865" max="4865" width="29.5703125" style="504" customWidth="1"/>
    <col min="4866" max="4866" width="25.5703125" style="504" customWidth="1"/>
    <col min="4867" max="4867" width="90.5703125" style="504" customWidth="1"/>
    <col min="4868" max="5120" width="9.42578125" style="504"/>
    <col min="5121" max="5121" width="29.5703125" style="504" customWidth="1"/>
    <col min="5122" max="5122" width="25.5703125" style="504" customWidth="1"/>
    <col min="5123" max="5123" width="90.5703125" style="504" customWidth="1"/>
    <col min="5124" max="5376" width="9.42578125" style="504"/>
    <col min="5377" max="5377" width="29.5703125" style="504" customWidth="1"/>
    <col min="5378" max="5378" width="25.5703125" style="504" customWidth="1"/>
    <col min="5379" max="5379" width="90.5703125" style="504" customWidth="1"/>
    <col min="5380" max="5632" width="9.42578125" style="504"/>
    <col min="5633" max="5633" width="29.5703125" style="504" customWidth="1"/>
    <col min="5634" max="5634" width="25.5703125" style="504" customWidth="1"/>
    <col min="5635" max="5635" width="90.5703125" style="504" customWidth="1"/>
    <col min="5636" max="5888" width="9.42578125" style="504"/>
    <col min="5889" max="5889" width="29.5703125" style="504" customWidth="1"/>
    <col min="5890" max="5890" width="25.5703125" style="504" customWidth="1"/>
    <col min="5891" max="5891" width="90.5703125" style="504" customWidth="1"/>
    <col min="5892" max="6144" width="9.42578125" style="504"/>
    <col min="6145" max="6145" width="29.5703125" style="504" customWidth="1"/>
    <col min="6146" max="6146" width="25.5703125" style="504" customWidth="1"/>
    <col min="6147" max="6147" width="90.5703125" style="504" customWidth="1"/>
    <col min="6148" max="6400" width="9.42578125" style="504"/>
    <col min="6401" max="6401" width="29.5703125" style="504" customWidth="1"/>
    <col min="6402" max="6402" width="25.5703125" style="504" customWidth="1"/>
    <col min="6403" max="6403" width="90.5703125" style="504" customWidth="1"/>
    <col min="6404" max="6656" width="9.42578125" style="504"/>
    <col min="6657" max="6657" width="29.5703125" style="504" customWidth="1"/>
    <col min="6658" max="6658" width="25.5703125" style="504" customWidth="1"/>
    <col min="6659" max="6659" width="90.5703125" style="504" customWidth="1"/>
    <col min="6660" max="6912" width="9.42578125" style="504"/>
    <col min="6913" max="6913" width="29.5703125" style="504" customWidth="1"/>
    <col min="6914" max="6914" width="25.5703125" style="504" customWidth="1"/>
    <col min="6915" max="6915" width="90.5703125" style="504" customWidth="1"/>
    <col min="6916" max="7168" width="9.42578125" style="504"/>
    <col min="7169" max="7169" width="29.5703125" style="504" customWidth="1"/>
    <col min="7170" max="7170" width="25.5703125" style="504" customWidth="1"/>
    <col min="7171" max="7171" width="90.5703125" style="504" customWidth="1"/>
    <col min="7172" max="7424" width="9.42578125" style="504"/>
    <col min="7425" max="7425" width="29.5703125" style="504" customWidth="1"/>
    <col min="7426" max="7426" width="25.5703125" style="504" customWidth="1"/>
    <col min="7427" max="7427" width="90.5703125" style="504" customWidth="1"/>
    <col min="7428" max="7680" width="9.42578125" style="504"/>
    <col min="7681" max="7681" width="29.5703125" style="504" customWidth="1"/>
    <col min="7682" max="7682" width="25.5703125" style="504" customWidth="1"/>
    <col min="7683" max="7683" width="90.5703125" style="504" customWidth="1"/>
    <col min="7684" max="7936" width="9.42578125" style="504"/>
    <col min="7937" max="7937" width="29.5703125" style="504" customWidth="1"/>
    <col min="7938" max="7938" width="25.5703125" style="504" customWidth="1"/>
    <col min="7939" max="7939" width="90.5703125" style="504" customWidth="1"/>
    <col min="7940" max="8192" width="9.42578125" style="504"/>
    <col min="8193" max="8193" width="29.5703125" style="504" customWidth="1"/>
    <col min="8194" max="8194" width="25.5703125" style="504" customWidth="1"/>
    <col min="8195" max="8195" width="90.5703125" style="504" customWidth="1"/>
    <col min="8196" max="8448" width="9.42578125" style="504"/>
    <col min="8449" max="8449" width="29.5703125" style="504" customWidth="1"/>
    <col min="8450" max="8450" width="25.5703125" style="504" customWidth="1"/>
    <col min="8451" max="8451" width="90.5703125" style="504" customWidth="1"/>
    <col min="8452" max="8704" width="9.42578125" style="504"/>
    <col min="8705" max="8705" width="29.5703125" style="504" customWidth="1"/>
    <col min="8706" max="8706" width="25.5703125" style="504" customWidth="1"/>
    <col min="8707" max="8707" width="90.5703125" style="504" customWidth="1"/>
    <col min="8708" max="8960" width="9.42578125" style="504"/>
    <col min="8961" max="8961" width="29.5703125" style="504" customWidth="1"/>
    <col min="8962" max="8962" width="25.5703125" style="504" customWidth="1"/>
    <col min="8963" max="8963" width="90.5703125" style="504" customWidth="1"/>
    <col min="8964" max="9216" width="9.42578125" style="504"/>
    <col min="9217" max="9217" width="29.5703125" style="504" customWidth="1"/>
    <col min="9218" max="9218" width="25.5703125" style="504" customWidth="1"/>
    <col min="9219" max="9219" width="90.5703125" style="504" customWidth="1"/>
    <col min="9220" max="9472" width="9.42578125" style="504"/>
    <col min="9473" max="9473" width="29.5703125" style="504" customWidth="1"/>
    <col min="9474" max="9474" width="25.5703125" style="504" customWidth="1"/>
    <col min="9475" max="9475" width="90.5703125" style="504" customWidth="1"/>
    <col min="9476" max="9728" width="9.42578125" style="504"/>
    <col min="9729" max="9729" width="29.5703125" style="504" customWidth="1"/>
    <col min="9730" max="9730" width="25.5703125" style="504" customWidth="1"/>
    <col min="9731" max="9731" width="90.5703125" style="504" customWidth="1"/>
    <col min="9732" max="9984" width="9.42578125" style="504"/>
    <col min="9985" max="9985" width="29.5703125" style="504" customWidth="1"/>
    <col min="9986" max="9986" width="25.5703125" style="504" customWidth="1"/>
    <col min="9987" max="9987" width="90.5703125" style="504" customWidth="1"/>
    <col min="9988" max="10240" width="9.42578125" style="504"/>
    <col min="10241" max="10241" width="29.5703125" style="504" customWidth="1"/>
    <col min="10242" max="10242" width="25.5703125" style="504" customWidth="1"/>
    <col min="10243" max="10243" width="90.5703125" style="504" customWidth="1"/>
    <col min="10244" max="10496" width="9.42578125" style="504"/>
    <col min="10497" max="10497" width="29.5703125" style="504" customWidth="1"/>
    <col min="10498" max="10498" width="25.5703125" style="504" customWidth="1"/>
    <col min="10499" max="10499" width="90.5703125" style="504" customWidth="1"/>
    <col min="10500" max="10752" width="9.42578125" style="504"/>
    <col min="10753" max="10753" width="29.5703125" style="504" customWidth="1"/>
    <col min="10754" max="10754" width="25.5703125" style="504" customWidth="1"/>
    <col min="10755" max="10755" width="90.5703125" style="504" customWidth="1"/>
    <col min="10756" max="11008" width="9.42578125" style="504"/>
    <col min="11009" max="11009" width="29.5703125" style="504" customWidth="1"/>
    <col min="11010" max="11010" width="25.5703125" style="504" customWidth="1"/>
    <col min="11011" max="11011" width="90.5703125" style="504" customWidth="1"/>
    <col min="11012" max="11264" width="9.42578125" style="504"/>
    <col min="11265" max="11265" width="29.5703125" style="504" customWidth="1"/>
    <col min="11266" max="11266" width="25.5703125" style="504" customWidth="1"/>
    <col min="11267" max="11267" width="90.5703125" style="504" customWidth="1"/>
    <col min="11268" max="11520" width="9.42578125" style="504"/>
    <col min="11521" max="11521" width="29.5703125" style="504" customWidth="1"/>
    <col min="11522" max="11522" width="25.5703125" style="504" customWidth="1"/>
    <col min="11523" max="11523" width="90.5703125" style="504" customWidth="1"/>
    <col min="11524" max="11776" width="9.42578125" style="504"/>
    <col min="11777" max="11777" width="29.5703125" style="504" customWidth="1"/>
    <col min="11778" max="11778" width="25.5703125" style="504" customWidth="1"/>
    <col min="11779" max="11779" width="90.5703125" style="504" customWidth="1"/>
    <col min="11780" max="12032" width="9.42578125" style="504"/>
    <col min="12033" max="12033" width="29.5703125" style="504" customWidth="1"/>
    <col min="12034" max="12034" width="25.5703125" style="504" customWidth="1"/>
    <col min="12035" max="12035" width="90.5703125" style="504" customWidth="1"/>
    <col min="12036" max="12288" width="9.42578125" style="504"/>
    <col min="12289" max="12289" width="29.5703125" style="504" customWidth="1"/>
    <col min="12290" max="12290" width="25.5703125" style="504" customWidth="1"/>
    <col min="12291" max="12291" width="90.5703125" style="504" customWidth="1"/>
    <col min="12292" max="12544" width="9.42578125" style="504"/>
    <col min="12545" max="12545" width="29.5703125" style="504" customWidth="1"/>
    <col min="12546" max="12546" width="25.5703125" style="504" customWidth="1"/>
    <col min="12547" max="12547" width="90.5703125" style="504" customWidth="1"/>
    <col min="12548" max="12800" width="9.42578125" style="504"/>
    <col min="12801" max="12801" width="29.5703125" style="504" customWidth="1"/>
    <col min="12802" max="12802" width="25.5703125" style="504" customWidth="1"/>
    <col min="12803" max="12803" width="90.5703125" style="504" customWidth="1"/>
    <col min="12804" max="13056" width="9.42578125" style="504"/>
    <col min="13057" max="13057" width="29.5703125" style="504" customWidth="1"/>
    <col min="13058" max="13058" width="25.5703125" style="504" customWidth="1"/>
    <col min="13059" max="13059" width="90.5703125" style="504" customWidth="1"/>
    <col min="13060" max="13312" width="9.42578125" style="504"/>
    <col min="13313" max="13313" width="29.5703125" style="504" customWidth="1"/>
    <col min="13314" max="13314" width="25.5703125" style="504" customWidth="1"/>
    <col min="13315" max="13315" width="90.5703125" style="504" customWidth="1"/>
    <col min="13316" max="13568" width="9.42578125" style="504"/>
    <col min="13569" max="13569" width="29.5703125" style="504" customWidth="1"/>
    <col min="13570" max="13570" width="25.5703125" style="504" customWidth="1"/>
    <col min="13571" max="13571" width="90.5703125" style="504" customWidth="1"/>
    <col min="13572" max="13824" width="9.42578125" style="504"/>
    <col min="13825" max="13825" width="29.5703125" style="504" customWidth="1"/>
    <col min="13826" max="13826" width="25.5703125" style="504" customWidth="1"/>
    <col min="13827" max="13827" width="90.5703125" style="504" customWidth="1"/>
    <col min="13828" max="14080" width="9.42578125" style="504"/>
    <col min="14081" max="14081" width="29.5703125" style="504" customWidth="1"/>
    <col min="14082" max="14082" width="25.5703125" style="504" customWidth="1"/>
    <col min="14083" max="14083" width="90.5703125" style="504" customWidth="1"/>
    <col min="14084" max="14336" width="9.42578125" style="504"/>
    <col min="14337" max="14337" width="29.5703125" style="504" customWidth="1"/>
    <col min="14338" max="14338" width="25.5703125" style="504" customWidth="1"/>
    <col min="14339" max="14339" width="90.5703125" style="504" customWidth="1"/>
    <col min="14340" max="14592" width="9.42578125" style="504"/>
    <col min="14593" max="14593" width="29.5703125" style="504" customWidth="1"/>
    <col min="14594" max="14594" width="25.5703125" style="504" customWidth="1"/>
    <col min="14595" max="14595" width="90.5703125" style="504" customWidth="1"/>
    <col min="14596" max="14848" width="9.42578125" style="504"/>
    <col min="14849" max="14849" width="29.5703125" style="504" customWidth="1"/>
    <col min="14850" max="14850" width="25.5703125" style="504" customWidth="1"/>
    <col min="14851" max="14851" width="90.5703125" style="504" customWidth="1"/>
    <col min="14852" max="15104" width="9.42578125" style="504"/>
    <col min="15105" max="15105" width="29.5703125" style="504" customWidth="1"/>
    <col min="15106" max="15106" width="25.5703125" style="504" customWidth="1"/>
    <col min="15107" max="15107" width="90.5703125" style="504" customWidth="1"/>
    <col min="15108" max="15360" width="9.42578125" style="504"/>
    <col min="15361" max="15361" width="29.5703125" style="504" customWidth="1"/>
    <col min="15362" max="15362" width="25.5703125" style="504" customWidth="1"/>
    <col min="15363" max="15363" width="90.5703125" style="504" customWidth="1"/>
    <col min="15364" max="15616" width="9.42578125" style="504"/>
    <col min="15617" max="15617" width="29.5703125" style="504" customWidth="1"/>
    <col min="15618" max="15618" width="25.5703125" style="504" customWidth="1"/>
    <col min="15619" max="15619" width="90.5703125" style="504" customWidth="1"/>
    <col min="15620" max="15872" width="9.42578125" style="504"/>
    <col min="15873" max="15873" width="29.5703125" style="504" customWidth="1"/>
    <col min="15874" max="15874" width="25.5703125" style="504" customWidth="1"/>
    <col min="15875" max="15875" width="90.5703125" style="504" customWidth="1"/>
    <col min="15876" max="16128" width="9.42578125" style="504"/>
    <col min="16129" max="16129" width="29.5703125" style="504" customWidth="1"/>
    <col min="16130" max="16130" width="25.5703125" style="504" customWidth="1"/>
    <col min="16131" max="16131" width="90.5703125" style="504" customWidth="1"/>
    <col min="16132" max="16384" width="9.42578125" style="504"/>
  </cols>
  <sheetData>
    <row r="1" spans="1:3" ht="15" x14ac:dyDescent="0.2">
      <c r="A1" s="988" t="s">
        <v>869</v>
      </c>
    </row>
    <row r="2" spans="1:3" ht="139.5" customHeight="1" x14ac:dyDescent="0.2">
      <c r="B2" s="502"/>
      <c r="C2" s="503" t="s">
        <v>868</v>
      </c>
    </row>
    <row r="3" spans="1:3" x14ac:dyDescent="0.2">
      <c r="B3" s="505"/>
      <c r="C3" s="506"/>
    </row>
    <row r="4" spans="1:3" x14ac:dyDescent="0.2">
      <c r="B4" s="505"/>
      <c r="C4" s="506"/>
    </row>
    <row r="5" spans="1:3" x14ac:dyDescent="0.2">
      <c r="B5" s="505"/>
      <c r="C5" s="506"/>
    </row>
    <row r="6" spans="1:3" x14ac:dyDescent="0.2">
      <c r="B6" s="505"/>
      <c r="C6" s="506"/>
    </row>
    <row r="7" spans="1:3" x14ac:dyDescent="0.2">
      <c r="B7" s="505"/>
      <c r="C7" s="506"/>
    </row>
    <row r="8" spans="1:3" x14ac:dyDescent="0.2">
      <c r="B8" s="505"/>
      <c r="C8" s="506"/>
    </row>
    <row r="9" spans="1:3" x14ac:dyDescent="0.2">
      <c r="B9" s="505"/>
      <c r="C9" s="506"/>
    </row>
    <row r="10" spans="1:3" x14ac:dyDescent="0.2">
      <c r="B10" s="505"/>
      <c r="C10" s="506"/>
    </row>
    <row r="11" spans="1:3" x14ac:dyDescent="0.2">
      <c r="B11" s="505"/>
      <c r="C11" s="506"/>
    </row>
    <row r="12" spans="1:3" x14ac:dyDescent="0.2">
      <c r="B12" s="505"/>
      <c r="C12" s="506"/>
    </row>
    <row r="13" spans="1:3" x14ac:dyDescent="0.2">
      <c r="B13" s="505"/>
      <c r="C13" s="506"/>
    </row>
    <row r="14" spans="1:3" x14ac:dyDescent="0.2">
      <c r="B14" s="505"/>
      <c r="C14" s="506"/>
    </row>
    <row r="15" spans="1:3" x14ac:dyDescent="0.2">
      <c r="B15" s="505"/>
      <c r="C15" s="506"/>
    </row>
    <row r="16" spans="1:3" x14ac:dyDescent="0.2">
      <c r="B16" s="505"/>
      <c r="C16" s="506"/>
    </row>
    <row r="17" spans="2:4" x14ac:dyDescent="0.2">
      <c r="B17" s="505"/>
      <c r="C17" s="506"/>
    </row>
    <row r="18" spans="2:4" x14ac:dyDescent="0.2">
      <c r="B18" s="505"/>
      <c r="C18" s="506"/>
    </row>
    <row r="19" spans="2:4" x14ac:dyDescent="0.2">
      <c r="B19" s="505"/>
      <c r="C19" s="506"/>
    </row>
    <row r="20" spans="2:4" x14ac:dyDescent="0.2">
      <c r="B20" s="505"/>
      <c r="C20" s="506"/>
    </row>
    <row r="21" spans="2:4" x14ac:dyDescent="0.2">
      <c r="B21" s="505"/>
      <c r="C21" s="507"/>
    </row>
    <row r="22" spans="2:4" ht="18" x14ac:dyDescent="0.25">
      <c r="B22" s="508" t="s">
        <v>0</v>
      </c>
      <c r="C22" s="509"/>
    </row>
    <row r="23" spans="2:4" ht="18" x14ac:dyDescent="0.2">
      <c r="B23" s="510" t="s">
        <v>1</v>
      </c>
      <c r="C23" s="511"/>
    </row>
    <row r="24" spans="2:4" ht="15.75" x14ac:dyDescent="0.2">
      <c r="B24" s="512" t="s">
        <v>922</v>
      </c>
      <c r="C24" s="513"/>
    </row>
    <row r="25" spans="2:4" x14ac:dyDescent="0.2">
      <c r="B25" s="514"/>
      <c r="C25" s="515"/>
    </row>
    <row r="27" spans="2:4" x14ac:dyDescent="0.2">
      <c r="B27" s="516" t="s">
        <v>2</v>
      </c>
    </row>
    <row r="28" spans="2:4" x14ac:dyDescent="0.2">
      <c r="C28" s="501"/>
    </row>
    <row r="29" spans="2:4" x14ac:dyDescent="0.2">
      <c r="B29" s="517" t="s">
        <v>924</v>
      </c>
      <c r="C29" s="1544" t="s">
        <v>923</v>
      </c>
      <c r="D29" s="501"/>
    </row>
  </sheetData>
  <hyperlinks>
    <hyperlink ref="C29" r:id="rId1" xr:uid="{6D07F258-F9D9-4D21-8210-A081955FFA73}"/>
  </hyperlinks>
  <printOptions horizontalCentered="1" verticalCentered="1"/>
  <pageMargins left="0.75" right="0.75" top="0.75" bottom="0.75" header="0.5" footer="0.5"/>
  <pageSetup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AI215"/>
  <sheetViews>
    <sheetView showGridLines="0" topLeftCell="J1" zoomScale="70" zoomScaleNormal="70" workbookViewId="0"/>
  </sheetViews>
  <sheetFormatPr defaultColWidth="9.42578125" defaultRowHeight="15" x14ac:dyDescent="0.25"/>
  <cols>
    <col min="1" max="1" width="9.42578125" style="1"/>
    <col min="2" max="2" width="9.42578125" style="184" customWidth="1"/>
    <col min="3" max="3" width="14.5703125" style="184" customWidth="1"/>
    <col min="4" max="4" width="14.5703125" style="283" customWidth="1"/>
    <col min="5" max="6" width="23.42578125" style="283" customWidth="1"/>
    <col min="7" max="7" width="19.5703125" style="1" customWidth="1"/>
    <col min="8" max="8" width="19.5703125" style="3" customWidth="1"/>
    <col min="9" max="10" width="18.5703125" style="3" customWidth="1"/>
    <col min="11" max="11" width="25.5703125" style="3" customWidth="1"/>
    <col min="12" max="12" width="24.42578125" style="3" customWidth="1"/>
    <col min="13" max="13" width="22.42578125" style="3" customWidth="1"/>
    <col min="14" max="14" width="21.5703125" style="3" customWidth="1"/>
    <col min="15" max="15" width="15.5703125" style="3" customWidth="1"/>
    <col min="16" max="16" width="9.42578125" style="1" customWidth="1"/>
    <col min="17" max="18" width="12.42578125" style="1" customWidth="1"/>
    <col min="19" max="19" width="12.5703125" style="1" customWidth="1"/>
    <col min="20" max="20" width="9.42578125" style="1"/>
    <col min="21" max="21" width="14.42578125" style="1" customWidth="1"/>
    <col min="22" max="27" width="16.42578125" style="1" customWidth="1"/>
    <col min="28" max="28" width="2.5703125" customWidth="1"/>
    <col min="29" max="29" width="16" style="1" customWidth="1"/>
    <col min="30" max="30" width="2.5703125" style="1" customWidth="1"/>
    <col min="31" max="31" width="15.5703125" style="1" customWidth="1"/>
    <col min="32" max="32" width="9.42578125" style="1"/>
    <col min="33" max="33" width="15" style="1" customWidth="1"/>
    <col min="34" max="34" width="13.5703125" style="1" customWidth="1"/>
    <col min="35" max="35" width="14.42578125" style="1" customWidth="1"/>
    <col min="36" max="16384" width="9.42578125" style="1"/>
  </cols>
  <sheetData>
    <row r="1" spans="2:28" ht="20.25" x14ac:dyDescent="0.3">
      <c r="B1" s="282" t="s">
        <v>288</v>
      </c>
      <c r="N1" s="1"/>
      <c r="O1" s="282"/>
      <c r="P1" s="184"/>
      <c r="Q1" s="184"/>
      <c r="R1" s="184"/>
      <c r="S1" s="184"/>
    </row>
    <row r="2" spans="2:28" x14ac:dyDescent="0.25">
      <c r="N2" s="1"/>
      <c r="O2" s="184"/>
      <c r="P2" s="184"/>
      <c r="Q2" s="184"/>
      <c r="R2" s="184"/>
      <c r="S2" s="184"/>
    </row>
    <row r="3" spans="2:28" ht="18.75" x14ac:dyDescent="0.25">
      <c r="B3" s="284" t="s">
        <v>289</v>
      </c>
      <c r="C3" s="1"/>
      <c r="D3" s="2"/>
      <c r="E3" s="2"/>
      <c r="F3" s="2"/>
      <c r="G3" s="13"/>
      <c r="H3" s="13"/>
      <c r="I3" s="13"/>
      <c r="J3" s="2"/>
      <c r="K3" s="2"/>
      <c r="L3" s="2"/>
      <c r="M3" s="2"/>
      <c r="N3" s="1"/>
      <c r="O3" s="284"/>
    </row>
    <row r="4" spans="2:28" ht="18.75" x14ac:dyDescent="0.25">
      <c r="B4" s="284"/>
      <c r="C4" s="1"/>
      <c r="D4" s="2"/>
      <c r="E4" s="2"/>
      <c r="F4" s="2"/>
      <c r="G4" s="13"/>
      <c r="H4" s="13"/>
      <c r="I4" s="13"/>
      <c r="J4" s="2"/>
      <c r="K4" s="2"/>
      <c r="L4" s="2"/>
      <c r="M4" s="2"/>
      <c r="N4" s="1"/>
      <c r="O4" s="284"/>
    </row>
    <row r="5" spans="2:28" x14ac:dyDescent="0.25">
      <c r="B5" s="1"/>
      <c r="C5" s="1"/>
      <c r="D5" s="1"/>
      <c r="E5" s="1"/>
      <c r="F5" s="1"/>
      <c r="H5" s="1"/>
      <c r="I5" s="1"/>
      <c r="J5" s="1"/>
      <c r="K5" s="1"/>
      <c r="L5" s="1"/>
      <c r="M5" s="1"/>
      <c r="N5" s="1"/>
      <c r="O5" s="419"/>
    </row>
    <row r="6" spans="2:28" ht="18.75" x14ac:dyDescent="0.25">
      <c r="B6" s="285" t="s">
        <v>166</v>
      </c>
      <c r="C6" s="43"/>
      <c r="D6" s="59"/>
      <c r="E6" s="59"/>
      <c r="F6" s="59"/>
      <c r="G6" s="286"/>
      <c r="H6" s="286"/>
      <c r="I6" s="286"/>
      <c r="J6" s="59"/>
      <c r="K6" s="59"/>
      <c r="L6" s="60"/>
      <c r="M6"/>
      <c r="N6" s="834" t="s">
        <v>57</v>
      </c>
      <c r="O6" s="33"/>
      <c r="P6" s="33"/>
      <c r="Q6" s="731"/>
      <c r="T6"/>
      <c r="AB6" s="1"/>
    </row>
    <row r="7" spans="2:28" x14ac:dyDescent="0.25">
      <c r="B7" s="287"/>
      <c r="C7" s="51"/>
      <c r="D7" s="270"/>
      <c r="E7" s="270"/>
      <c r="F7" s="270"/>
      <c r="G7" s="288"/>
      <c r="H7" s="288"/>
      <c r="I7" s="288"/>
      <c r="J7" s="270"/>
      <c r="K7" s="270"/>
      <c r="L7" s="293"/>
      <c r="M7"/>
      <c r="N7" s="734"/>
      <c r="O7" s="1037" t="s">
        <v>254</v>
      </c>
      <c r="P7" s="294"/>
      <c r="Q7" s="835"/>
      <c r="T7"/>
      <c r="AB7" s="1"/>
    </row>
    <row r="8" spans="2:28" x14ac:dyDescent="0.25">
      <c r="B8" s="296" t="s">
        <v>255</v>
      </c>
      <c r="C8" s="291"/>
      <c r="D8" s="297"/>
      <c r="E8" s="297"/>
      <c r="F8" s="298"/>
      <c r="G8" s="51"/>
      <c r="H8" s="289" t="s">
        <v>290</v>
      </c>
      <c r="I8" s="291"/>
      <c r="J8" s="291"/>
      <c r="K8" s="290"/>
      <c r="L8" s="293"/>
      <c r="M8"/>
      <c r="N8" s="1"/>
      <c r="O8" s="305"/>
    </row>
    <row r="9" spans="2:28" x14ac:dyDescent="0.25">
      <c r="B9" s="303" t="s">
        <v>258</v>
      </c>
      <c r="C9" s="51"/>
      <c r="D9" s="420" t="s">
        <v>259</v>
      </c>
      <c r="E9" s="420" t="s">
        <v>260</v>
      </c>
      <c r="F9" s="270"/>
      <c r="G9" s="270"/>
      <c r="H9" s="421" t="s">
        <v>291</v>
      </c>
      <c r="I9" s="872" t="s">
        <v>258</v>
      </c>
      <c r="J9" s="872" t="s">
        <v>292</v>
      </c>
      <c r="K9" s="872" t="s">
        <v>293</v>
      </c>
      <c r="L9" s="293"/>
      <c r="M9"/>
      <c r="N9" s="1"/>
      <c r="O9" s="2"/>
      <c r="P9" s="2"/>
      <c r="Q9" s="2"/>
      <c r="R9" s="2"/>
      <c r="S9" s="2"/>
    </row>
    <row r="10" spans="2:28" x14ac:dyDescent="0.25">
      <c r="B10" s="303"/>
      <c r="C10" s="51"/>
      <c r="D10" s="420"/>
      <c r="E10" s="420"/>
      <c r="F10" s="270"/>
      <c r="G10" s="270"/>
      <c r="H10" s="421"/>
      <c r="I10" s="300"/>
      <c r="J10" s="300"/>
      <c r="K10" s="270"/>
      <c r="L10" s="293"/>
      <c r="M10"/>
      <c r="N10" s="1"/>
      <c r="O10" s="2"/>
      <c r="P10" s="2"/>
      <c r="Q10" s="2"/>
      <c r="R10" s="2"/>
      <c r="S10" s="2"/>
    </row>
    <row r="11" spans="2:28" x14ac:dyDescent="0.25">
      <c r="B11" s="296" t="s">
        <v>294</v>
      </c>
      <c r="C11" s="291"/>
      <c r="D11" s="297"/>
      <c r="E11" s="297"/>
      <c r="F11" s="292"/>
      <c r="G11" s="270"/>
      <c r="H11" s="304" t="s">
        <v>295</v>
      </c>
      <c r="I11" s="291"/>
      <c r="J11" s="423"/>
      <c r="K11" s="290"/>
      <c r="L11" s="293"/>
      <c r="M11"/>
      <c r="N11" s="1"/>
      <c r="O11" s="2"/>
      <c r="P11" s="2"/>
      <c r="Q11" s="2"/>
      <c r="R11" s="2"/>
      <c r="S11" s="2"/>
    </row>
    <row r="12" spans="2:28" x14ac:dyDescent="0.25">
      <c r="B12" s="950" t="s">
        <v>291</v>
      </c>
      <c r="C12" s="51"/>
      <c r="D12" s="420" t="s">
        <v>296</v>
      </c>
      <c r="E12" s="872" t="s">
        <v>292</v>
      </c>
      <c r="F12" s="872" t="s">
        <v>293</v>
      </c>
      <c r="G12" s="270"/>
      <c r="H12" s="421" t="s">
        <v>291</v>
      </c>
      <c r="I12" s="872" t="s">
        <v>258</v>
      </c>
      <c r="J12" s="872" t="s">
        <v>292</v>
      </c>
      <c r="K12" s="872" t="s">
        <v>293</v>
      </c>
      <c r="L12" s="293"/>
      <c r="M12"/>
      <c r="N12" s="1"/>
      <c r="O12" s="2"/>
      <c r="P12" s="2"/>
      <c r="Q12" s="2"/>
      <c r="R12" s="2"/>
      <c r="S12" s="2"/>
    </row>
    <row r="13" spans="2:28" x14ac:dyDescent="0.25">
      <c r="B13" s="237"/>
      <c r="C13" s="270"/>
      <c r="D13" s="270"/>
      <c r="E13" s="270"/>
      <c r="F13" s="270"/>
      <c r="G13" s="270"/>
      <c r="H13" s="51"/>
      <c r="I13" s="51"/>
      <c r="J13" s="422"/>
      <c r="K13" s="270"/>
      <c r="L13" s="293"/>
      <c r="M13"/>
      <c r="N13" s="1"/>
      <c r="O13" s="302"/>
      <c r="P13" s="2"/>
      <c r="Q13" s="2"/>
      <c r="R13" s="2"/>
      <c r="S13" s="2"/>
    </row>
    <row r="14" spans="2:28" x14ac:dyDescent="0.25">
      <c r="B14" s="296" t="s">
        <v>297</v>
      </c>
      <c r="C14" s="291"/>
      <c r="D14" s="297"/>
      <c r="E14" s="297"/>
      <c r="F14" s="292"/>
      <c r="G14" s="270"/>
      <c r="H14" s="304" t="s">
        <v>298</v>
      </c>
      <c r="I14" s="291"/>
      <c r="J14" s="423"/>
      <c r="K14" s="290"/>
      <c r="L14" s="293"/>
      <c r="M14"/>
      <c r="N14" s="1"/>
      <c r="O14" s="310"/>
      <c r="P14" s="2"/>
      <c r="Q14" s="2"/>
      <c r="R14" s="2"/>
      <c r="S14" s="2"/>
    </row>
    <row r="15" spans="2:28" x14ac:dyDescent="0.25">
      <c r="B15" s="303" t="s">
        <v>299</v>
      </c>
      <c r="C15" s="51"/>
      <c r="D15" s="300" t="s">
        <v>291</v>
      </c>
      <c r="E15" s="300" t="s">
        <v>300</v>
      </c>
      <c r="F15" s="836"/>
      <c r="G15" s="270"/>
      <c r="H15" s="421" t="s">
        <v>299</v>
      </c>
      <c r="I15" s="300" t="s">
        <v>291</v>
      </c>
      <c r="J15" s="300" t="s">
        <v>300</v>
      </c>
      <c r="K15" s="300"/>
      <c r="L15" s="741"/>
      <c r="M15"/>
      <c r="N15" s="1"/>
      <c r="O15" s="310"/>
      <c r="P15" s="2"/>
      <c r="Q15" s="2"/>
      <c r="R15" s="2"/>
      <c r="S15" s="2"/>
    </row>
    <row r="16" spans="2:28" x14ac:dyDescent="0.25">
      <c r="B16" s="237"/>
      <c r="C16" s="270"/>
      <c r="D16" s="270"/>
      <c r="E16" s="270"/>
      <c r="F16" s="270"/>
      <c r="G16" s="270"/>
      <c r="H16" s="51"/>
      <c r="I16" s="51"/>
      <c r="J16" s="51"/>
      <c r="K16" s="270"/>
      <c r="L16" s="293"/>
      <c r="M16"/>
      <c r="N16" s="1"/>
      <c r="O16" s="310"/>
      <c r="P16" s="2"/>
      <c r="Q16" s="2"/>
      <c r="R16" s="2"/>
      <c r="S16" s="2"/>
    </row>
    <row r="17" spans="1:35" x14ac:dyDescent="0.25">
      <c r="B17" s="296" t="s">
        <v>301</v>
      </c>
      <c r="C17" s="291"/>
      <c r="D17" s="297"/>
      <c r="E17" s="297"/>
      <c r="F17" s="292"/>
      <c r="G17" s="270"/>
      <c r="H17" s="304" t="s">
        <v>302</v>
      </c>
      <c r="I17" s="291"/>
      <c r="J17" s="423"/>
      <c r="K17" s="290"/>
      <c r="L17" s="293"/>
      <c r="M17"/>
      <c r="N17" s="1"/>
      <c r="O17" s="310"/>
      <c r="P17" s="2"/>
      <c r="Q17" s="2"/>
      <c r="R17" s="2"/>
      <c r="S17" s="2"/>
    </row>
    <row r="18" spans="1:35" x14ac:dyDescent="0.25">
      <c r="A18" s="310"/>
      <c r="B18" s="424" t="s">
        <v>299</v>
      </c>
      <c r="C18" s="124"/>
      <c r="D18" s="309" t="s">
        <v>291</v>
      </c>
      <c r="E18" s="837" t="s">
        <v>300</v>
      </c>
      <c r="F18" s="740"/>
      <c r="G18" s="309"/>
      <c r="H18" s="425" t="s">
        <v>299</v>
      </c>
      <c r="I18" s="837" t="s">
        <v>299</v>
      </c>
      <c r="J18" s="837" t="s">
        <v>299</v>
      </c>
      <c r="K18" s="837" t="s">
        <v>299</v>
      </c>
      <c r="L18" s="742"/>
      <c r="M18"/>
      <c r="N18" s="1"/>
      <c r="O18" s="2"/>
      <c r="P18" s="310"/>
      <c r="Q18" s="310"/>
      <c r="R18" s="310"/>
      <c r="S18" s="310"/>
    </row>
    <row r="19" spans="1:35" x14ac:dyDescent="0.25">
      <c r="A19" s="310"/>
      <c r="B19" s="2"/>
      <c r="C19" s="310"/>
      <c r="D19" s="311"/>
      <c r="E19" s="311"/>
      <c r="F19" s="311"/>
      <c r="G19" s="2"/>
      <c r="H19" s="310"/>
      <c r="I19" s="310"/>
      <c r="J19" s="310"/>
      <c r="K19" s="310"/>
      <c r="L19" s="310"/>
      <c r="M19" s="1"/>
      <c r="N19" s="1"/>
      <c r="O19" s="1"/>
      <c r="U19" s="2"/>
      <c r="V19" s="310"/>
      <c r="W19" s="310"/>
      <c r="X19" s="310"/>
      <c r="Y19" s="310"/>
      <c r="Z19" s="310"/>
      <c r="AA19" s="310"/>
      <c r="AC19" s="310"/>
      <c r="AD19" s="310"/>
    </row>
    <row r="20" spans="1:35" x14ac:dyDescent="0.25">
      <c r="A20" s="310"/>
      <c r="B20" s="2"/>
      <c r="C20" s="310"/>
      <c r="D20" s="311"/>
      <c r="E20" s="311"/>
      <c r="F20" s="311"/>
      <c r="G20" s="2"/>
      <c r="H20" s="310"/>
      <c r="I20" s="310"/>
      <c r="J20" s="310"/>
      <c r="K20" s="310"/>
      <c r="L20" s="310"/>
      <c r="M20" s="1"/>
      <c r="N20" s="1"/>
      <c r="O20" s="1"/>
      <c r="U20" s="2"/>
      <c r="V20" s="310"/>
      <c r="W20" s="310"/>
      <c r="X20" s="310"/>
      <c r="Y20" s="310"/>
      <c r="Z20" s="310"/>
      <c r="AA20" s="310"/>
      <c r="AC20" s="310"/>
      <c r="AD20" s="310"/>
    </row>
    <row r="21" spans="1:35" ht="20.25" x14ac:dyDescent="0.3">
      <c r="A21" s="310"/>
      <c r="B21" s="159" t="s">
        <v>186</v>
      </c>
      <c r="C21" s="312" t="s">
        <v>269</v>
      </c>
      <c r="D21" s="313"/>
      <c r="E21" s="313"/>
      <c r="F21" s="313"/>
      <c r="G21" s="313"/>
      <c r="H21" s="314"/>
      <c r="I21" s="314"/>
      <c r="J21" s="314"/>
      <c r="K21" s="314"/>
      <c r="L21" s="314"/>
      <c r="M21" s="315"/>
      <c r="N21" s="315"/>
      <c r="O21" s="315"/>
      <c r="U21" s="159" t="s">
        <v>188</v>
      </c>
      <c r="V21" s="316" t="s">
        <v>303</v>
      </c>
      <c r="W21" s="316"/>
      <c r="X21" s="316"/>
      <c r="Y21" s="316"/>
      <c r="Z21" s="316"/>
      <c r="AA21" s="316"/>
      <c r="AC21" s="316"/>
      <c r="AD21" s="313"/>
      <c r="AE21" s="313"/>
    </row>
    <row r="22" spans="1:35" ht="18" x14ac:dyDescent="0.25">
      <c r="A22" s="310"/>
      <c r="B22" s="2"/>
      <c r="C22" s="310"/>
      <c r="D22" s="311"/>
      <c r="E22" s="311"/>
      <c r="F22" s="311"/>
      <c r="G22" s="2"/>
      <c r="H22" s="310"/>
      <c r="I22" s="310"/>
      <c r="J22" s="310"/>
      <c r="K22" s="310"/>
      <c r="L22" s="310"/>
      <c r="M22" s="306"/>
      <c r="N22" s="2"/>
      <c r="O22" s="1"/>
      <c r="U22" s="316"/>
      <c r="V22" s="310"/>
      <c r="W22" s="310"/>
      <c r="X22" s="310"/>
      <c r="Y22" s="310"/>
      <c r="Z22" s="310"/>
      <c r="AA22" s="310"/>
      <c r="AC22" s="310"/>
      <c r="AD22" s="310"/>
    </row>
    <row r="23" spans="1:35" x14ac:dyDescent="0.25">
      <c r="A23" s="317"/>
      <c r="B23" s="2"/>
      <c r="C23" s="317"/>
      <c r="D23" s="318"/>
      <c r="E23" s="2"/>
      <c r="F23" s="2"/>
      <c r="G23" s="2"/>
      <c r="H23" s="2"/>
      <c r="I23" s="2"/>
      <c r="J23" s="2"/>
      <c r="K23" s="317"/>
      <c r="L23" s="317"/>
      <c r="M23" s="149"/>
      <c r="N23" s="2"/>
      <c r="O23" s="1"/>
    </row>
    <row r="24" spans="1:35" x14ac:dyDescent="0.25">
      <c r="A24" s="1">
        <f>MAX($A$1:A23)+1</f>
        <v>1</v>
      </c>
      <c r="B24" s="319" t="str">
        <f>IF(ISBLANK(INDEX(SafetyModelGroup,A24,1)),"Not Used",INDEX(SafetyModelGroup,A24,1))</f>
        <v>SB Off-ramp to Ave 280</v>
      </c>
      <c r="C24" s="2"/>
      <c r="D24" s="2"/>
      <c r="E24" s="2"/>
      <c r="F24" s="2"/>
      <c r="G24" s="2"/>
      <c r="H24" s="2"/>
      <c r="I24" s="2"/>
      <c r="J24" s="2"/>
      <c r="K24" s="320"/>
      <c r="L24" s="320"/>
      <c r="M24" s="2"/>
      <c r="N24" s="2"/>
      <c r="O24" s="2"/>
    </row>
    <row r="25" spans="1:35" x14ac:dyDescent="0.25">
      <c r="B25" s="2"/>
      <c r="C25" s="1787"/>
      <c r="D25" s="1787"/>
      <c r="E25" s="831"/>
      <c r="F25" s="831"/>
      <c r="G25" s="831"/>
      <c r="H25" s="831"/>
      <c r="I25" s="831"/>
      <c r="J25" s="831"/>
      <c r="K25" s="831"/>
      <c r="L25" s="831"/>
      <c r="M25" s="831"/>
      <c r="N25" s="2"/>
      <c r="O25" s="149"/>
    </row>
    <row r="26" spans="1:35" ht="15.75" x14ac:dyDescent="0.25">
      <c r="B26" s="322"/>
      <c r="C26" s="325" t="s">
        <v>271</v>
      </c>
      <c r="D26" s="326"/>
      <c r="E26" s="325" t="s">
        <v>304</v>
      </c>
      <c r="F26" s="326"/>
      <c r="G26" s="325" t="s">
        <v>305</v>
      </c>
      <c r="H26" s="324"/>
      <c r="I26" s="323" t="s">
        <v>306</v>
      </c>
      <c r="J26" s="326"/>
      <c r="K26" s="327" t="s">
        <v>307</v>
      </c>
      <c r="L26" s="323"/>
      <c r="M26" s="328"/>
      <c r="N26" s="329"/>
      <c r="O26" s="330"/>
      <c r="Q26" s="331" t="s">
        <v>308</v>
      </c>
      <c r="R26" s="791"/>
      <c r="S26" s="792"/>
      <c r="U26" s="322"/>
      <c r="V26" s="52">
        <v>1</v>
      </c>
      <c r="W26" s="52">
        <v>2</v>
      </c>
      <c r="X26" s="52">
        <v>3</v>
      </c>
      <c r="Y26" s="52">
        <v>4</v>
      </c>
      <c r="Z26" s="52">
        <v>5</v>
      </c>
      <c r="AA26" s="52">
        <v>6</v>
      </c>
      <c r="AC26" s="333" t="s">
        <v>39</v>
      </c>
      <c r="AD26" s="334"/>
      <c r="AE26" s="333"/>
      <c r="AG26" s="331" t="s">
        <v>56</v>
      </c>
      <c r="AH26" s="331" t="s">
        <v>56</v>
      </c>
      <c r="AI26" s="331" t="s">
        <v>56</v>
      </c>
    </row>
    <row r="27" spans="1:35" x14ac:dyDescent="0.25">
      <c r="B27" s="335"/>
      <c r="C27" s="338" t="s">
        <v>274</v>
      </c>
      <c r="D27" s="339"/>
      <c r="E27" s="338" t="s">
        <v>309</v>
      </c>
      <c r="F27" s="339"/>
      <c r="G27" s="338" t="s">
        <v>309</v>
      </c>
      <c r="H27" s="337"/>
      <c r="I27" s="336" t="s">
        <v>309</v>
      </c>
      <c r="J27" s="339"/>
      <c r="K27" s="340" t="s">
        <v>203</v>
      </c>
      <c r="L27" s="336"/>
      <c r="M27" s="341"/>
      <c r="N27" s="342"/>
      <c r="O27" s="343"/>
      <c r="Q27" s="784" t="s">
        <v>309</v>
      </c>
      <c r="R27" s="450"/>
      <c r="S27" s="451"/>
      <c r="U27" s="335"/>
      <c r="V27" s="1777" t="str">
        <f t="shared" ref="V27:AA27" si="0">IF(ISBLANK(INDEX(SafetyModelGroup,V26,1)),"Not Used",INDEX(SafetyModelGroup,V26,1))</f>
        <v>SB Off-ramp to Ave 280</v>
      </c>
      <c r="W27" s="1777" t="str">
        <f t="shared" si="0"/>
        <v>SB On-ramp from Ave 280</v>
      </c>
      <c r="X27" s="1777" t="str">
        <f t="shared" si="0"/>
        <v>NB Off-ramp to Ave 280</v>
      </c>
      <c r="Y27" s="1777" t="str">
        <f t="shared" si="0"/>
        <v>NB On-ramp from Ave 280</v>
      </c>
      <c r="Z27" s="1777" t="str">
        <f t="shared" si="0"/>
        <v>NB Mainline</v>
      </c>
      <c r="AA27" s="1777" t="str">
        <f t="shared" si="0"/>
        <v>SB Mainline</v>
      </c>
      <c r="AC27" s="347" t="s">
        <v>204</v>
      </c>
      <c r="AD27" s="334"/>
      <c r="AE27" s="347"/>
      <c r="AG27" s="344" t="s">
        <v>310</v>
      </c>
      <c r="AH27" s="344" t="s">
        <v>311</v>
      </c>
      <c r="AI27" s="344" t="s">
        <v>97</v>
      </c>
    </row>
    <row r="28" spans="1:35" x14ac:dyDescent="0.25">
      <c r="B28" s="77" t="s">
        <v>34</v>
      </c>
      <c r="C28" s="348"/>
      <c r="D28" s="349"/>
      <c r="E28" s="348"/>
      <c r="F28" s="349"/>
      <c r="G28" s="723"/>
      <c r="H28" s="349"/>
      <c r="I28" s="348"/>
      <c r="J28" s="349"/>
      <c r="K28" s="350" t="s">
        <v>312</v>
      </c>
      <c r="L28" s="348" t="s">
        <v>313</v>
      </c>
      <c r="M28" s="349" t="s">
        <v>314</v>
      </c>
      <c r="N28" s="351" t="s">
        <v>208</v>
      </c>
      <c r="O28" s="347" t="s">
        <v>39</v>
      </c>
      <c r="Q28" s="793"/>
      <c r="R28" s="797"/>
      <c r="S28" s="795"/>
      <c r="U28" s="77" t="s">
        <v>34</v>
      </c>
      <c r="V28" s="1778"/>
      <c r="W28" s="1778"/>
      <c r="X28" s="1778"/>
      <c r="Y28" s="1778"/>
      <c r="Z28" s="1778"/>
      <c r="AA28" s="1778"/>
      <c r="AC28" s="347" t="s">
        <v>315</v>
      </c>
      <c r="AD28" s="334"/>
      <c r="AE28" s="347" t="s">
        <v>208</v>
      </c>
      <c r="AG28" s="353" t="s">
        <v>316</v>
      </c>
      <c r="AH28" s="353" t="s">
        <v>316</v>
      </c>
      <c r="AI28" s="353" t="s">
        <v>316</v>
      </c>
    </row>
    <row r="29" spans="1:35" x14ac:dyDescent="0.25">
      <c r="B29" s="355"/>
      <c r="C29" s="356" t="s">
        <v>74</v>
      </c>
      <c r="D29" s="357" t="s">
        <v>125</v>
      </c>
      <c r="E29" s="356" t="s">
        <v>74</v>
      </c>
      <c r="F29" s="357" t="s">
        <v>125</v>
      </c>
      <c r="G29" s="724" t="s">
        <v>74</v>
      </c>
      <c r="H29" s="357" t="s">
        <v>125</v>
      </c>
      <c r="I29" s="356" t="s">
        <v>74</v>
      </c>
      <c r="J29" s="357" t="s">
        <v>125</v>
      </c>
      <c r="K29" s="358" t="s">
        <v>47</v>
      </c>
      <c r="L29" s="356" t="s">
        <v>47</v>
      </c>
      <c r="M29" s="357" t="s">
        <v>47</v>
      </c>
      <c r="N29" s="359" t="s">
        <v>48</v>
      </c>
      <c r="O29" s="360" t="s">
        <v>49</v>
      </c>
      <c r="Q29" s="794" t="s">
        <v>310</v>
      </c>
      <c r="R29" s="798" t="s">
        <v>311</v>
      </c>
      <c r="S29" s="796" t="s">
        <v>97</v>
      </c>
      <c r="U29" s="355"/>
      <c r="V29" s="1779"/>
      <c r="W29" s="1779"/>
      <c r="X29" s="1779"/>
      <c r="Y29" s="1779"/>
      <c r="Z29" s="1779"/>
      <c r="AA29" s="1779"/>
      <c r="AC29" s="360" t="str">
        <f>IF(VehOp&lt;&gt;"N","Benefits","Benefits*")</f>
        <v>Benefits</v>
      </c>
      <c r="AD29" s="334"/>
      <c r="AE29" s="360" t="s">
        <v>48</v>
      </c>
      <c r="AG29" s="361"/>
      <c r="AH29" s="361"/>
      <c r="AI29" s="361"/>
    </row>
    <row r="30" spans="1:35" x14ac:dyDescent="0.25">
      <c r="B30" s="363">
        <f>SafetyYearFirst</f>
        <v>2026</v>
      </c>
      <c r="C30" s="364">
        <f>INDEX(SafetyData1NB,A24,1)*AnnualFactor</f>
        <v>751535</v>
      </c>
      <c r="D30" s="365">
        <f>INDEX(SafetyData1B,A24,1)*AnnualFactor</f>
        <v>723430</v>
      </c>
      <c r="E30" s="1019" cm="1">
        <f t="array" ref="E30">IFERROR(IF(_xlfn.SINGLE(INDEX(SafetyGroup,A24,1))=Hwy,_xlfn.SINGLE(INDEX(SafetyData1NB,A24,5))*IF(ProjLoc=3,PARAMETERS!$BB$26,PARAMETERS!$AZ$26),_xlfn.SINGLE(INDEX(SafetyData1NB,A24,1))*INDEX(PARAMETERS!$BH$12:$BK$14/10^6,1,MATCH(_xlfn.SINGLE(INDEX(SafetyGroup,A24,1)),PARAMETERS!$BH$11:$BK$11,0)))*AnnualFactor,0)</f>
        <v>0</v>
      </c>
      <c r="F30" s="1020" cm="1">
        <f t="array" ref="F30">IFERROR(IF(_xlfn.SINGLE(INDEX(SafetyGroup,A24,1))=Hwy,_xlfn.SINGLE(INDEX(SafetyData1B,A24,5))*IF(ProjLoc=3,PARAMETERS!$BB$26,PARAMETERS!$AZ$26),_xlfn.SINGLE(INDEX(SafetyData1B,A24,1))*INDEX(PARAMETERS!$BH$12:$BK$14/10^6,1,MATCH(_xlfn.SINGLE(INDEX(SafetyGroup,A24,1)),PARAMETERS!$BH$11:$BK$11,0))*(1-_xlfn.SINGLE(INDEX(SafetyGroup,A24,6))))*AnnualFactor,0)</f>
        <v>0</v>
      </c>
      <c r="G30" s="1019" cm="1">
        <f t="array" ref="G30">IFERROR(IF(_xlfn.SINGLE(INDEX(SafetyGroup,A24,1))=Hwy,(_xlfn.SINGLE(INDEX(SafetyData1NB,A24,5))*IF(ProjLoc=3,PARAMETERS!$BB$33,PARAMETERS!$AZ$33)+_xlfn.SINGLE(INDEX(SafetyData1NB,A24,6))*IF(ProjLoc=3,PARAMETERS!$BB$34,PARAMETERS!$AZ$34)),_xlfn.SINGLE(INDEX(SafetyData1NB,A24,1))*INDEX(PARAMETERS!$BH$12:$BK$14/10^6,2,MATCH(_xlfn.SINGLE(INDEX(SafetyGroup,A24,1)),PARAMETERS!$BH$11:$BK$11,0)))*AnnualFactor,0)</f>
        <v>1.0371182999999999</v>
      </c>
      <c r="H30" s="1020" cm="1">
        <f t="array" ref="H30">IFERROR(IF(_xlfn.SINGLE(INDEX(SafetyGroup,A24,1))=Hwy,(_xlfn.SINGLE(INDEX(SafetyData1B,A24,5))*IF(ProjLoc=3,PARAMETERS!$BB$33,PARAMETERS!$AZ$33)+_xlfn.SINGLE(INDEX(SafetyData1B,A24,6))*IF(ProjLoc=3,PARAMETERS!$BB$34,PARAMETERS!$AZ$34)),_xlfn.SINGLE(INDEX(SafetyData1B,A24,1))*INDEX(PARAMETERS!$BH$12:$BK$14/10^6,2,MATCH(_xlfn.SINGLE(INDEX(SafetyGroup,A24,1)),PARAMETERS!$BH$11:$BK$11,0))*(1-_xlfn.SINGLE(INDEX(SafetyGroup,A24,7))))*AnnualFactor,0)</f>
        <v>0.239600016</v>
      </c>
      <c r="I30" s="1019" cm="1">
        <f t="array" ref="I30">IFERROR(IF(_xlfn.SINGLE(INDEX(SafetyGroup,A24,1))=Hwy,(_xlfn.SINGLE(INDEX(SafetyData1NB,A24,5))*IF(ProjLoc=3,PARAMETERS!$BB$41,PARAMETERS!$AZ$41)+_xlfn.SINGLE(INDEX(SafetyData1NB,A24,6))*IF(ProjLoc=3,PARAMETERS!$BB$42,PARAMETERS!$AZ$42)+_xlfn.SINGLE(INDEX(SafetyData1NB,A24,7))*IF(ProjLoc=3,PARAMETERS!$BB$43,PARAMETERS!$AZ$43)*2),_xlfn.SINGLE(INDEX(SafetyData1NB,A24,1))*INDEX(PARAMETERS!$BH$12:$BK$14/10^6,3,MATCH(_xlfn.SINGLE(INDEX(SafetyGroup,A24,1)),PARAMETERS!$BH$11:$BK$11,0)))*AnnualFactor,0)</f>
        <v>5.4728281770000002</v>
      </c>
      <c r="J30" s="1020" cm="1">
        <f t="array" ref="J30">IFERROR(IF(_xlfn.SINGLE(INDEX(SafetyGroup,A24,1))=Hwy,(_xlfn.SINGLE(INDEX(SafetyData1B,A24,5))*IF(ProjLoc=3,PARAMETERS!$BB$41,PARAMETERS!$AZ$41)+_xlfn.SINGLE(INDEX(SafetyData1B,A24,6))*IF(ProjLoc=3,PARAMETERS!$BB$42,PARAMETERS!$AZ$42)+_xlfn.SINGLE(INDEX(SafetyData1B,A24,7))*IF(ProjLoc=3,PARAMETERS!$BB$43,PARAMETERS!$AZ$43)*2),_xlfn.SINGLE(INDEX(SafetyData1B,A24,1))*INDEX(PARAMETERS!$BH$12:$BK$14/10^6,3,MATCH(_xlfn.SINGLE(INDEX(SafetyGroup,A24,1)),PARAMETERS!$BH$11:$BK$11,0))*(1-_xlfn.SINGLE(INDEX(SafetyGroup,A24,8))))*AnnualFactor,0)</f>
        <v>3.3272238526200004</v>
      </c>
      <c r="K30" s="367">
        <f>IFERROR(IF(INDEX(SafetyGroup,A24,1)=Hwy,FatValue,INDEX(PARAMETERS!$BH$26:$BK$28,1,MATCH(INDEX(SafetyGroup,A24,1),PARAMETERS!$BH$25:$BK$25,0)))*(E30-F30),0)</f>
        <v>0</v>
      </c>
      <c r="L30" s="701">
        <f>IFERROR(IF(INDEX(SafetyGroup,A24,1)=Hwy,SUMPRODUCT(PARAMETERS!$E$64:$E$66,PARAMETERS!$BC$12:$BC$14),INDEX(PARAMETERS!$BH$26:$BK$28,2,MATCH(INDEX(SafetyGroup,A24,1),PARAMETERS!$BH$25:$BK$25,0)))*(G30-H30),0)</f>
        <v>92864.265142300181</v>
      </c>
      <c r="M30" s="832">
        <f>IFERROR(IF(INDEX(SafetyGroup,A24,1)=Hwy,NoInjValue,INDEX(PARAMETERS!$BH$26:$BK$28,3,MATCH(INDEX(SafetyGroup,A24,1),PARAMETERS!$BH$25:$BK$25,0)))*(I30-J30),0)</f>
        <v>6651.3734055779996</v>
      </c>
      <c r="N30" s="369">
        <f>SUM(K30:M30)</f>
        <v>99515.638547878174</v>
      </c>
      <c r="O30" s="370">
        <f>N30/(1+DiscRate)^(B30-YearCurrent)</f>
        <v>85066.384903725586</v>
      </c>
      <c r="Q30" s="809">
        <f>E30-F30</f>
        <v>0</v>
      </c>
      <c r="R30" s="786">
        <f>G30-H30</f>
        <v>0.79751828399999991</v>
      </c>
      <c r="S30" s="787">
        <f>I30-J30</f>
        <v>2.1456043243799998</v>
      </c>
      <c r="U30" s="375">
        <f>YearOpen</f>
        <v>2026</v>
      </c>
      <c r="V30" s="376">
        <f t="shared" ref="V30:AA49" ca="1" si="1">OFFSET($O9,MATCH(V$26,$A:$A),0)</f>
        <v>85066.384903725731</v>
      </c>
      <c r="W30" s="376">
        <f t="shared" ca="1" si="1"/>
        <v>28350.27638352957</v>
      </c>
      <c r="X30" s="376">
        <f t="shared" ca="1" si="1"/>
        <v>9522.5466942238018</v>
      </c>
      <c r="Y30" s="376">
        <f t="shared" ca="1" si="1"/>
        <v>1415.4586940903293</v>
      </c>
      <c r="Z30" s="376">
        <f t="shared" ca="1" si="1"/>
        <v>202945.9705217756</v>
      </c>
      <c r="AA30" s="376">
        <f t="shared" ca="1" si="1"/>
        <v>1184694.4315148406</v>
      </c>
      <c r="AC30" s="370">
        <f ca="1">IF(Accidents&lt;&gt;"N",SUM($V30:AB30),0)</f>
        <v>1511995.0687121856</v>
      </c>
      <c r="AD30" s="377"/>
      <c r="AE30" s="370">
        <f t="shared" ref="AE30:AE49" ca="1" si="2">$AC30*(1+DiscRate)^($U30-YearCurrent)</f>
        <v>1768820.3738107388</v>
      </c>
      <c r="AG30" s="378">
        <f ca="1">SUM($V64:AB64)</f>
        <v>9.359233274999923E-2</v>
      </c>
      <c r="AH30" s="378">
        <f ca="1">SUM($V98:AB98)</f>
        <v>4.8554387435000361</v>
      </c>
      <c r="AI30" s="378">
        <f ca="1">SUM($V132:AB132)</f>
        <v>31.95355939921015</v>
      </c>
    </row>
    <row r="31" spans="1:35" x14ac:dyDescent="0.25">
      <c r="B31" s="379">
        <f>SafetyYearLast</f>
        <v>2046</v>
      </c>
      <c r="C31" s="380">
        <f>INDEX(SafetyData20NB,A24,1)*AnnualFactor</f>
        <v>944985</v>
      </c>
      <c r="D31" s="381">
        <f>INDEX(SafetyData20B,A24,1)*AnnualFactor</f>
        <v>1045725</v>
      </c>
      <c r="E31" s="1021" cm="1">
        <f t="array" ref="E31">IFERROR(IF(_xlfn.SINGLE(INDEX(SafetyGroup,A24,1))=Hwy,_xlfn.SINGLE(INDEX(SafetyData20NB,A24,5))*IF(ProjLoc=3,PARAMETERS!$BB$26,PARAMETERS!$AZ$26),_xlfn.SINGLE(INDEX(SafetyData20NB,A24,1))*INDEX(PARAMETERS!$BH$12:$BK$14/10^6,1,MATCH(_xlfn.SINGLE(INDEX(SafetyGroup,A24,1)),PARAMETERS!$BH$11:$BK$11,0)))*AnnualFactor,0)</f>
        <v>0</v>
      </c>
      <c r="F31" s="1022" cm="1">
        <f t="array" ref="F31">IFERROR(IF(_xlfn.SINGLE(INDEX(SafetyGroup,A24,1))=Hwy,_xlfn.SINGLE(INDEX(SafetyData20B,A24,5))*IF(ProjLoc=3,PARAMETERS!$BB$26,PARAMETERS!$AZ$26),_xlfn.SINGLE(INDEX(SafetyData20B,A24,1))*INDEX(PARAMETERS!$BH$12:$BK$14/10^6,1,MATCH(_xlfn.SINGLE(INDEX(SafetyGroup,A24,1)),PARAMETERS!$BH$11:$BK$11,0))*(1-_xlfn.SINGLE(INDEX(SafetyGroup,A24,6))))*AnnualFactor,0)</f>
        <v>0</v>
      </c>
      <c r="G31" s="1021" cm="1">
        <f t="array" ref="G31">IFERROR(IF(_xlfn.SINGLE(INDEX(SafetyGroup,A24,1))=Hwy,(_xlfn.SINGLE(INDEX(SafetyData20NB,A24,5))*IF(ProjLoc=3,PARAMETERS!$BB$33,PARAMETERS!$AZ$33)+_xlfn.SINGLE(INDEX(SafetyData20NB,A24,6))*IF(ProjLoc=3,PARAMETERS!$BB$34,PARAMETERS!$AZ$34)),_xlfn.SINGLE(INDEX(SafetyData20NB,A24,1))*INDEX(PARAMETERS!$BH$12:$BK$14/10^6,2,MATCH(_xlfn.SINGLE(INDEX(SafetyGroup,A24,1)),PARAMETERS!$BH$11:$BK$11,0)))*AnnualFactor,0)</f>
        <v>1.3040793000000002</v>
      </c>
      <c r="H31" s="1022" cm="1">
        <f t="array" ref="H31">IFERROR(IF(_xlfn.SINGLE(INDEX(SafetyGroup,A24,1))=Hwy,(_xlfn.SINGLE(INDEX(SafetyData20B,A24,5))*IF(ProjLoc=3,PARAMETERS!$BB$33,PARAMETERS!$AZ$33)+_xlfn.SINGLE(INDEX(SafetyData20B,A24,6))*IF(ProjLoc=3,PARAMETERS!$BB$34,PARAMETERS!$AZ$34)),_xlfn.SINGLE(INDEX(SafetyData20B,A24,1))*INDEX(PARAMETERS!$BH$12:$BK$14/10^6,2,MATCH(_xlfn.SINGLE(INDEX(SafetyGroup,A24,1)),PARAMETERS!$BH$11:$BK$11,0))*(1-_xlfn.SINGLE(INDEX(SafetyGroup,A24,7))))*AnnualFactor,0)</f>
        <v>0.34634411999999998</v>
      </c>
      <c r="I31" s="1021" cm="1">
        <f t="array" ref="I31">IFERROR(IF(_xlfn.SINGLE(INDEX(SafetyGroup,A24,1))=Hwy,(_xlfn.SINGLE(INDEX(SafetyData20NB,A24,5))*IF(ProjLoc=3,PARAMETERS!$BB$41,PARAMETERS!$AZ$41)+_xlfn.SINGLE(INDEX(SafetyData20NB,A24,6))*IF(ProjLoc=3,PARAMETERS!$BB$42,PARAMETERS!$AZ$42)+_xlfn.SINGLE(INDEX(SafetyData20NB,A24,7))*IF(ProjLoc=3,PARAMETERS!$BB$43,PARAMETERS!$AZ$43)*2),_xlfn.SINGLE(INDEX(SafetyData20NB,A24,1))*INDEX(PARAMETERS!$BH$12:$BK$14/10^6,3,MATCH(_xlfn.SINGLE(INDEX(SafetyGroup,A24,1)),PARAMETERS!$BH$11:$BK$11,0)))*AnnualFactor,0)</f>
        <v>6.8815697670000002</v>
      </c>
      <c r="J31" s="1022" cm="1">
        <f t="array" ref="J31">IFERROR(IF(_xlfn.SINGLE(INDEX(SafetyGroup,A24,1))=Hwy,(_xlfn.SINGLE(INDEX(SafetyData20B,A24,5))*IF(ProjLoc=3,PARAMETERS!$BB$41,PARAMETERS!$AZ$41)+_xlfn.SINGLE(INDEX(SafetyData20B,A24,6))*IF(ProjLoc=3,PARAMETERS!$BB$42,PARAMETERS!$AZ$42)+_xlfn.SINGLE(INDEX(SafetyData20B,A24,7))*IF(ProjLoc=3,PARAMETERS!$BB$43,PARAMETERS!$AZ$43)*2),_xlfn.SINGLE(INDEX(SafetyData20B,A24,1))*INDEX(PARAMETERS!$BH$12:$BK$14/10^6,3,MATCH(_xlfn.SINGLE(INDEX(SafetyGroup,A24,1)),PARAMETERS!$BH$11:$BK$11,0))*(1-_xlfn.SINGLE(INDEX(SafetyGroup,A24,8))))*AnnualFactor,0)</f>
        <v>4.8095339746499999</v>
      </c>
      <c r="K31" s="782">
        <f>IFERROR(IF(INDEX(SafetyGroup,A24,1)=Hwy,FatValue,INDEX(PARAMETERS!$BH$26:$BK$28,1,MATCH(INDEX(SafetyGroup,A24,1),PARAMETERS!$BH$25:$BK$25,0)))*(E31-F31),0)</f>
        <v>0</v>
      </c>
      <c r="L31" s="833">
        <f>IFERROR(IF(INDEX(SafetyGroup,A24,1)=Hwy,SUMPRODUCT(PARAMETERS!$E$64:$E$66,PARAMETERS!$BC$12:$BC$14),INDEX(PARAMETERS!$BH$26:$BK$28,2,MATCH(INDEX(SafetyGroup,A24,1),PARAMETERS!$BH$25:$BK$25,0)))*(G31-H31),0)</f>
        <v>111520.16884872902</v>
      </c>
      <c r="M31" s="830">
        <f>IFERROR(IF(INDEX(SafetyGroup,A24,1)=Hwy,NoInjValue,INDEX(PARAMETERS!$BH$26:$BK$28,3,MATCH(INDEX(SafetyGroup,A24,1),PARAMETERS!$BH$25:$BK$25,0)))*(I31-J31),0)</f>
        <v>6423.3109562850013</v>
      </c>
      <c r="N31" s="369">
        <f>SUM(K31:M31)</f>
        <v>117943.47980501402</v>
      </c>
      <c r="O31" s="370">
        <f>N31/(1+DiscRate)^(B31-YearCurrent)</f>
        <v>46012.284230808298</v>
      </c>
      <c r="Q31" s="810">
        <f>E31-F31</f>
        <v>0</v>
      </c>
      <c r="R31" s="789">
        <f>G31-H31</f>
        <v>0.95773518000000024</v>
      </c>
      <c r="S31" s="790">
        <f>I31-J31</f>
        <v>2.0720357923500003</v>
      </c>
      <c r="U31" s="375">
        <f>U30+1</f>
        <v>2027</v>
      </c>
      <c r="V31" s="376">
        <f t="shared" ca="1" si="1"/>
        <v>82551.917981382125</v>
      </c>
      <c r="W31" s="376">
        <f t="shared" ca="1" si="1"/>
        <v>27782.741485267601</v>
      </c>
      <c r="X31" s="376">
        <f t="shared" ca="1" si="1"/>
        <v>9331.5455336894393</v>
      </c>
      <c r="Y31" s="376">
        <f t="shared" ca="1" si="1"/>
        <v>1378.6109186455128</v>
      </c>
      <c r="Z31" s="376">
        <f t="shared" ca="1" si="1"/>
        <v>199198.84093506585</v>
      </c>
      <c r="AA31" s="376">
        <f t="shared" ca="1" si="1"/>
        <v>1159237.0683350202</v>
      </c>
      <c r="AC31" s="370">
        <f ca="1">IF(Accidents&lt;&gt;"N",SUM($V31:AB31),0)</f>
        <v>1479480.7251890707</v>
      </c>
      <c r="AD31" s="377"/>
      <c r="AE31" s="370">
        <f t="shared" ca="1" si="2"/>
        <v>1800014.5183461402</v>
      </c>
      <c r="AG31" s="378">
        <f ca="1">SUM($V65:AB65)</f>
        <v>9.5244416189999903E-2</v>
      </c>
      <c r="AH31" s="378">
        <f ca="1">SUM($V99:AB99)</f>
        <v>4.9408829980200526</v>
      </c>
      <c r="AI31" s="378">
        <f ca="1">SUM($V133:AB133)</f>
        <v>32.518171821303092</v>
      </c>
    </row>
    <row r="32" spans="1:35" x14ac:dyDescent="0.25">
      <c r="B32" s="385"/>
      <c r="C32" s="388"/>
      <c r="D32" s="388"/>
      <c r="E32" s="388"/>
      <c r="F32" s="388"/>
      <c r="G32" s="434"/>
      <c r="H32" s="434"/>
      <c r="I32" s="434"/>
      <c r="J32" s="434"/>
      <c r="K32" s="388"/>
      <c r="L32" s="388"/>
      <c r="M32" s="388"/>
      <c r="N32" s="388"/>
      <c r="O32" s="389"/>
      <c r="Q32" s="391"/>
      <c r="R32" s="391"/>
      <c r="S32" s="391"/>
      <c r="U32" s="375">
        <f t="shared" ref="U32:U49" si="3">U31+1</f>
        <v>2028</v>
      </c>
      <c r="V32" s="376">
        <f t="shared" ca="1" si="1"/>
        <v>80105.033744035623</v>
      </c>
      <c r="W32" s="376">
        <f t="shared" ca="1" si="1"/>
        <v>27216.924838967363</v>
      </c>
      <c r="X32" s="376">
        <f t="shared" ca="1" si="1"/>
        <v>9141.1501625833407</v>
      </c>
      <c r="Y32" s="376">
        <f t="shared" ca="1" si="1"/>
        <v>1342.5037136578565</v>
      </c>
      <c r="Z32" s="376">
        <f t="shared" ca="1" si="1"/>
        <v>195439.73615306758</v>
      </c>
      <c r="AA32" s="376">
        <f t="shared" ca="1" si="1"/>
        <v>1133985.4573058423</v>
      </c>
      <c r="AC32" s="370">
        <f ca="1">IF(Accidents&lt;&gt;"N",SUM($V32:AB32),0)</f>
        <v>1447230.8059181541</v>
      </c>
      <c r="AD32" s="377"/>
      <c r="AE32" s="370">
        <f t="shared" ca="1" si="2"/>
        <v>1831208.6628815343</v>
      </c>
      <c r="AG32" s="378">
        <f ca="1">SUM($V66:AB66)</f>
        <v>9.6896499630000577E-2</v>
      </c>
      <c r="AH32" s="378">
        <f ca="1">SUM($V100:AB100)</f>
        <v>5.0263272525400113</v>
      </c>
      <c r="AI32" s="378">
        <f ca="1">SUM($V134:AB134)</f>
        <v>33.082784243395871</v>
      </c>
    </row>
    <row r="33" spans="2:35" x14ac:dyDescent="0.25">
      <c r="B33" s="375">
        <f>YearOpen</f>
        <v>2026</v>
      </c>
      <c r="C33" s="401">
        <f>MAX(TREND(C30:C31,B30:B31,B33),0)</f>
        <v>751535</v>
      </c>
      <c r="D33" s="402">
        <f>MAX(TREND(D30:D31,B30:B31,B33),0)</f>
        <v>723430</v>
      </c>
      <c r="E33" s="725">
        <f>MAX(TREND(E30:E31,B30:B31,B33),0)</f>
        <v>0</v>
      </c>
      <c r="F33" s="726">
        <f>MAX(TREND(F30:F31,B30:B31,B33),0)</f>
        <v>0</v>
      </c>
      <c r="G33" s="725">
        <f>MAX(TREND(G30:G31,B30:B31,B33),0)</f>
        <v>1.0371182999999995</v>
      </c>
      <c r="H33" s="726">
        <f>MAX(TREND(H30:H31,B30:B31,B33),0)</f>
        <v>0.23960001599999892</v>
      </c>
      <c r="I33" s="725">
        <f>MAX(TREND(I30:I31,B30:B31,B33),0)</f>
        <v>5.4728281770000251</v>
      </c>
      <c r="J33" s="726">
        <f>MAX(TREND(J30:J31,B30:B31,B33),0)</f>
        <v>3.3272238526199942</v>
      </c>
      <c r="K33" s="729">
        <f>IFERROR(IF(INDEX(SafetyGroup,A24,1)=Hwy,FatValue,INDEX(PARAMETERS!$BH$26:$BK$28,1,MATCH(INDEX(SafetyGroup,A24,1),PARAMETERS!$BH$25:$BK$25,0)))*(E33-F33),0)</f>
        <v>0</v>
      </c>
      <c r="L33" s="728">
        <f>IFERROR(IF(INDEX(SafetyGroup,A24,1)=Hwy,SUMPRODUCT(PARAMETERS!$E$64:$E$66,PARAMETERS!$BC$12:$BC$14),INDEX(PARAMETERS!$BH$26:$BK$28,2,MATCH(INDEX(SafetyGroup,A24,1),PARAMETERS!$BH$25:$BK$25,0)))*(G33-H33),0)</f>
        <v>92864.265142300254</v>
      </c>
      <c r="M33" s="802">
        <f>IFERROR(IF(INDEX(SafetyGroup,A24,1)=Hwy,NoInjValue,INDEX(PARAMETERS!$BH$26:$BK$28,3,MATCH(INDEX(SafetyGroup,A24,1),PARAMETERS!$BH$25:$BK$25,0)))*(I33-J33),0)</f>
        <v>6651.373405578096</v>
      </c>
      <c r="N33" s="369">
        <f>SUM(K33:M33)</f>
        <v>99515.638547878349</v>
      </c>
      <c r="O33" s="370">
        <f t="shared" ref="O33:O52" si="4">N33/(1+DiscRate)^(B33-YearCurrent)</f>
        <v>85066.384903725731</v>
      </c>
      <c r="Q33" s="811">
        <f>E33-F33</f>
        <v>0</v>
      </c>
      <c r="R33" s="786">
        <f>G33-H33</f>
        <v>0.79751828400000058</v>
      </c>
      <c r="S33" s="787">
        <f>I33-J33</f>
        <v>2.1456043243800309</v>
      </c>
      <c r="U33" s="375">
        <f t="shared" si="3"/>
        <v>2029</v>
      </c>
      <c r="V33" s="376">
        <f t="shared" ca="1" si="1"/>
        <v>77724.253149234268</v>
      </c>
      <c r="W33" s="376">
        <f t="shared" ca="1" si="1"/>
        <v>26653.53382006703</v>
      </c>
      <c r="X33" s="376">
        <f t="shared" ca="1" si="1"/>
        <v>8951.5965278142758</v>
      </c>
      <c r="Y33" s="376">
        <f t="shared" ca="1" si="1"/>
        <v>1307.1346207126662</v>
      </c>
      <c r="Z33" s="376">
        <f t="shared" ca="1" si="1"/>
        <v>191675.12043576007</v>
      </c>
      <c r="AA33" s="376">
        <f t="shared" ca="1" si="1"/>
        <v>1108961.4301600584</v>
      </c>
      <c r="AC33" s="370">
        <f ca="1">IF(Accidents&lt;&gt;"N",SUM($V33:AB33),0)</f>
        <v>1415273.0687136468</v>
      </c>
      <c r="AD33" s="377"/>
      <c r="AE33" s="370">
        <f t="shared" ca="1" si="2"/>
        <v>1862402.8074169168</v>
      </c>
      <c r="AG33" s="378">
        <f ca="1">SUM($V67:AB67)</f>
        <v>9.8548583069999474E-2</v>
      </c>
      <c r="AH33" s="378">
        <f ca="1">SUM($V101:AB101)</f>
        <v>5.1117715070600385</v>
      </c>
      <c r="AI33" s="378">
        <f ca="1">SUM($V135:AB135)</f>
        <v>33.647396665489154</v>
      </c>
    </row>
    <row r="34" spans="2:35" x14ac:dyDescent="0.25">
      <c r="B34" s="375">
        <f>B33+1</f>
        <v>2027</v>
      </c>
      <c r="C34" s="401">
        <f>MAX(TREND(C30:C31,B30:B31,B34),0)</f>
        <v>761207.5</v>
      </c>
      <c r="D34" s="402">
        <f>MAX(TREND(D30:D31,B30:B31,B34),0)</f>
        <v>739544.75</v>
      </c>
      <c r="E34" s="725">
        <f>MAX(TREND(E30:E31,B30:B31,B34),0)</f>
        <v>0</v>
      </c>
      <c r="F34" s="726">
        <f>MAX(TREND(F30:F31,B30:B31,B34),0)</f>
        <v>0</v>
      </c>
      <c r="G34" s="725">
        <f>MAX(TREND(G30:G31,B30:B31,B34),0)</f>
        <v>1.0504663500000007</v>
      </c>
      <c r="H34" s="726">
        <f>MAX(TREND(H30:H31,B30:B31,B34),0)</f>
        <v>0.24493722119999894</v>
      </c>
      <c r="I34" s="725">
        <f>MAX(TREND(I30:I31,B30:B31,B34),0)</f>
        <v>5.5432652565000353</v>
      </c>
      <c r="J34" s="726">
        <f>MAX(TREND(J30:J31,B30:B31,B34),0)</f>
        <v>3.4013393587214864</v>
      </c>
      <c r="K34" s="729">
        <f>IFERROR(IF(INDEX(SafetyGroup,A24,1)=Hwy,FatValue,INDEX(PARAMETERS!$BH$26:$BK$28,1,MATCH(INDEX(SafetyGroup,A24,1),PARAMETERS!$BH$25:$BK$25,0)))*(E34-F34),0)</f>
        <v>0</v>
      </c>
      <c r="L34" s="730">
        <f>IFERROR(IF(INDEX(SafetyGroup,A24,1)=Hwy,SUMPRODUCT(PARAMETERS!$E$64:$E$66,PARAMETERS!$BC$12:$BC$14),INDEX(PARAMETERS!$BH$26:$BK$28,2,MATCH(INDEX(SafetyGroup,A24,1),PARAMETERS!$BH$25:$BK$25,0)))*(G34-H34),0)</f>
        <v>93797.060327621832</v>
      </c>
      <c r="M34" s="802">
        <f>IFERROR(IF(INDEX(SafetyGroup,A24,1)=Hwy,NoInjValue,INDEX(PARAMETERS!$BH$26:$BK$28,3,MATCH(INDEX(SafetyGroup,A24,1),PARAMETERS!$BH$25:$BK$25,0)))*(I34-J34),0)</f>
        <v>6639.9702831135019</v>
      </c>
      <c r="N34" s="369">
        <f>SUM(K34:M34)</f>
        <v>100437.03061073534</v>
      </c>
      <c r="O34" s="370">
        <f t="shared" si="4"/>
        <v>82551.917981382125</v>
      </c>
      <c r="Q34" s="812">
        <f t="shared" ref="Q34:Q52" si="5">E34-F34</f>
        <v>0</v>
      </c>
      <c r="R34" s="785">
        <f t="shared" ref="R34:R52" si="6">G34-H34</f>
        <v>0.80552912880000171</v>
      </c>
      <c r="S34" s="788">
        <f t="shared" ref="S34:S52" si="7">I34-J34</f>
        <v>2.1419258977785489</v>
      </c>
      <c r="U34" s="375">
        <f t="shared" si="3"/>
        <v>2030</v>
      </c>
      <c r="V34" s="376">
        <f t="shared" ca="1" si="1"/>
        <v>75408.110952636722</v>
      </c>
      <c r="W34" s="376">
        <f t="shared" ca="1" si="1"/>
        <v>26093.218848716766</v>
      </c>
      <c r="X34" s="376">
        <f t="shared" ca="1" si="1"/>
        <v>8763.1015303904769</v>
      </c>
      <c r="Y34" s="376">
        <f t="shared" ca="1" si="1"/>
        <v>1272.5002749856671</v>
      </c>
      <c r="Z34" s="376">
        <f t="shared" ca="1" si="1"/>
        <v>187910.97850712898</v>
      </c>
      <c r="AA34" s="376">
        <f t="shared" ca="1" si="1"/>
        <v>1084184.83489931</v>
      </c>
      <c r="AC34" s="370">
        <f ca="1">IF(Accidents&lt;&gt;"N",SUM($V34:AB34),0)</f>
        <v>1383632.7450131685</v>
      </c>
      <c r="AD34" s="377"/>
      <c r="AE34" s="370">
        <f t="shared" ca="1" si="2"/>
        <v>1893596.9519523149</v>
      </c>
      <c r="AG34" s="378">
        <f ca="1">SUM($V68:AB68)</f>
        <v>0.10020066651000015</v>
      </c>
      <c r="AH34" s="378">
        <f ca="1">SUM($V102:AB102)</f>
        <v>5.1972157615800256</v>
      </c>
      <c r="AI34" s="378">
        <f ca="1">SUM($V136:AB136)</f>
        <v>34.212009087582189</v>
      </c>
    </row>
    <row r="35" spans="2:35" x14ac:dyDescent="0.25">
      <c r="B35" s="375">
        <f t="shared" ref="B35:B52" si="8">B34+1</f>
        <v>2028</v>
      </c>
      <c r="C35" s="401">
        <f>MAX(TREND(C30:C31,B30:B31,B35),0)</f>
        <v>770880</v>
      </c>
      <c r="D35" s="402">
        <f>MAX(TREND(D30:D31,B30:B31,B35),0)</f>
        <v>755659.5</v>
      </c>
      <c r="E35" s="725">
        <f>MAX(TREND(E30:E31,B30:B31,B35),0)</f>
        <v>0</v>
      </c>
      <c r="F35" s="726">
        <f>MAX(TREND(F30:F31,B30:B31,B35),0)</f>
        <v>0</v>
      </c>
      <c r="G35" s="725">
        <f>MAX(TREND(G30:G31,B30:B31,B35),0)</f>
        <v>1.0638144000000018</v>
      </c>
      <c r="H35" s="726">
        <f>MAX(TREND(H30:H31,B30:B31,B35),0)</f>
        <v>0.25027442639999897</v>
      </c>
      <c r="I35" s="725">
        <f>MAX(TREND(I30:I31,B30:B31,B35),0)</f>
        <v>5.6137023360000171</v>
      </c>
      <c r="J35" s="726">
        <f>MAX(TREND(J30:J31,B30:B31,B35),0)</f>
        <v>3.475454864823007</v>
      </c>
      <c r="K35" s="729">
        <f>IFERROR(IF(INDEX(SafetyGroup,A24,1)=Hwy,FatValue,INDEX(PARAMETERS!$BH$26:$BK$28,1,MATCH(INDEX(SafetyGroup,A24,1),PARAMETERS!$BH$25:$BK$25,0)))*(E35-F35),0)</f>
        <v>0</v>
      </c>
      <c r="L35" s="730">
        <f>IFERROR(IF(INDEX(SafetyGroup,A24,1)=Hwy,SUMPRODUCT(PARAMETERS!$E$64:$E$66,PARAMETERS!$BC$12:$BC$14),INDEX(PARAMETERS!$BH$26:$BK$28,2,MATCH(INDEX(SafetyGroup,A24,1),PARAMETERS!$BH$25:$BK$25,0)))*(G35-H35),0)</f>
        <v>94729.85551294341</v>
      </c>
      <c r="M35" s="802">
        <f>IFERROR(IF(INDEX(SafetyGroup,A24,1)=Hwy,NoInjValue,INDEX(PARAMETERS!$BH$26:$BK$28,3,MATCH(INDEX(SafetyGroup,A24,1),PARAMETERS!$BH$25:$BK$25,0)))*(I35-J35),0)</f>
        <v>6628.5671606487313</v>
      </c>
      <c r="N35" s="369">
        <f>SUM(K35:M35)</f>
        <v>101358.42267359214</v>
      </c>
      <c r="O35" s="370">
        <f t="shared" si="4"/>
        <v>80105.033744035623</v>
      </c>
      <c r="Q35" s="812">
        <f t="shared" si="5"/>
        <v>0</v>
      </c>
      <c r="R35" s="785">
        <f t="shared" si="6"/>
        <v>0.81353997360000285</v>
      </c>
      <c r="S35" s="788">
        <f t="shared" si="7"/>
        <v>2.1382474711770101</v>
      </c>
      <c r="U35" s="375">
        <f t="shared" si="3"/>
        <v>2031</v>
      </c>
      <c r="V35" s="376">
        <f t="shared" ca="1" si="1"/>
        <v>73155.156834550857</v>
      </c>
      <c r="W35" s="376">
        <f t="shared" ca="1" si="1"/>
        <v>25536.576724541421</v>
      </c>
      <c r="X35" s="376">
        <f t="shared" ca="1" si="1"/>
        <v>8575.8641414551767</v>
      </c>
      <c r="Y35" s="376">
        <f t="shared" ca="1" si="1"/>
        <v>1238.5964786034776</v>
      </c>
      <c r="Z35" s="376">
        <f t="shared" ca="1" si="1"/>
        <v>184152.84288005752</v>
      </c>
      <c r="AA35" s="376">
        <f t="shared" ca="1" si="1"/>
        <v>1059673.6560932864</v>
      </c>
      <c r="AC35" s="370">
        <f ca="1">IF(Accidents&lt;&gt;"N",SUM($V35:AB35),0)</f>
        <v>1352332.6931524947</v>
      </c>
      <c r="AD35" s="377"/>
      <c r="AE35" s="370">
        <f t="shared" ca="1" si="2"/>
        <v>1924791.0964877054</v>
      </c>
      <c r="AG35" s="378">
        <f ca="1">SUM($V69:AB69)</f>
        <v>0.10185274994999993</v>
      </c>
      <c r="AH35" s="378">
        <f ca="1">SUM($V103:AB103)</f>
        <v>5.2826600161000439</v>
      </c>
      <c r="AI35" s="378">
        <f ca="1">SUM($V137:AB137)</f>
        <v>34.776621509674904</v>
      </c>
    </row>
    <row r="36" spans="2:35" x14ac:dyDescent="0.25">
      <c r="B36" s="375">
        <f t="shared" si="8"/>
        <v>2029</v>
      </c>
      <c r="C36" s="401">
        <f>MAX(TREND(C30:C31,B30:B31,B36),0)</f>
        <v>780552.5</v>
      </c>
      <c r="D36" s="402">
        <f>MAX(TREND(D30:D31,B30:B31,B36),0)</f>
        <v>771774.25</v>
      </c>
      <c r="E36" s="725">
        <f>MAX(TREND(E30:E31,B30:B31,B36),0)</f>
        <v>0</v>
      </c>
      <c r="F36" s="726">
        <f>MAX(TREND(F30:F31,B30:B31,B36),0)</f>
        <v>0</v>
      </c>
      <c r="G36" s="725">
        <f>MAX(TREND(G30:G31,B30:B31,B36),0)</f>
        <v>1.0771624499999994</v>
      </c>
      <c r="H36" s="726">
        <f>MAX(TREND(H30:H31,B30:B31,B36),0)</f>
        <v>0.255611631599999</v>
      </c>
      <c r="I36" s="725">
        <f>MAX(TREND(I30:I31,B30:B31,B36),0)</f>
        <v>5.6841394155000273</v>
      </c>
      <c r="J36" s="726">
        <f>MAX(TREND(J30:J31,B30:B31,B36),0)</f>
        <v>3.5495703709244992</v>
      </c>
      <c r="K36" s="729">
        <f>IFERROR(IF(INDEX(SafetyGroup,A24,1)=Hwy,FatValue,INDEX(PARAMETERS!$BH$26:$BK$28,1,MATCH(INDEX(SafetyGroup,A24,1),PARAMETERS!$BH$25:$BK$25,0)))*(E36-F36),0)</f>
        <v>0</v>
      </c>
      <c r="L36" s="730">
        <f>IFERROR(IF(INDEX(SafetyGroup,A24,1)=Hwy,SUMPRODUCT(PARAMETERS!$E$64:$E$66,PARAMETERS!$BC$12:$BC$14),INDEX(PARAMETERS!$BH$26:$BK$28,2,MATCH(INDEX(SafetyGroup,A24,1),PARAMETERS!$BH$25:$BK$25,0)))*(G36-H36),0)</f>
        <v>95662.650698264566</v>
      </c>
      <c r="M36" s="802">
        <f>IFERROR(IF(INDEX(SafetyGroup,A24,1)=Hwy,NoInjValue,INDEX(PARAMETERS!$BH$26:$BK$28,3,MATCH(INDEX(SafetyGroup,A24,1),PARAMETERS!$BH$25:$BK$25,0)))*(I36-J36),0)</f>
        <v>6617.1640381841371</v>
      </c>
      <c r="N36" s="369">
        <f t="shared" ref="N36:N52" si="9">SUM(K36:M36)</f>
        <v>102279.81473644871</v>
      </c>
      <c r="O36" s="370">
        <f t="shared" si="4"/>
        <v>77724.253149234268</v>
      </c>
      <c r="Q36" s="812">
        <f t="shared" si="5"/>
        <v>0</v>
      </c>
      <c r="R36" s="785">
        <f t="shared" si="6"/>
        <v>0.82155081840000044</v>
      </c>
      <c r="S36" s="788">
        <f t="shared" si="7"/>
        <v>2.1345690445755281</v>
      </c>
      <c r="U36" s="375">
        <f t="shared" si="3"/>
        <v>2032</v>
      </c>
      <c r="V36" s="376">
        <f t="shared" ca="1" si="1"/>
        <v>70963.956419405207</v>
      </c>
      <c r="W36" s="376">
        <f t="shared" ca="1" si="1"/>
        <v>24984.153789135777</v>
      </c>
      <c r="X36" s="376">
        <f t="shared" ca="1" si="1"/>
        <v>8390.0664606474729</v>
      </c>
      <c r="Y36" s="376">
        <f t="shared" ca="1" si="1"/>
        <v>1205.4182697019071</v>
      </c>
      <c r="Z36" s="376">
        <f t="shared" ca="1" si="1"/>
        <v>180405.819788636</v>
      </c>
      <c r="AA36" s="376">
        <f t="shared" ca="1" si="1"/>
        <v>1035444.1288597697</v>
      </c>
      <c r="AC36" s="370">
        <f ca="1">IF(Accidents&lt;&gt;"N",SUM($V36:AB36),0)</f>
        <v>1321393.543587296</v>
      </c>
      <c r="AD36" s="377"/>
      <c r="AE36" s="370">
        <f t="shared" ca="1" si="2"/>
        <v>1955985.2410230944</v>
      </c>
      <c r="AG36" s="378">
        <f ca="1">SUM($V70:AB70)</f>
        <v>0.10350483338999972</v>
      </c>
      <c r="AH36" s="378">
        <f ca="1">SUM($V104:AB104)</f>
        <v>5.3681042706200426</v>
      </c>
      <c r="AI36" s="378">
        <f ca="1">SUM($V138:AB138)</f>
        <v>35.341233931767945</v>
      </c>
    </row>
    <row r="37" spans="2:35" x14ac:dyDescent="0.25">
      <c r="B37" s="375">
        <f t="shared" si="8"/>
        <v>2030</v>
      </c>
      <c r="C37" s="401">
        <f>MAX(TREND(C30:C31,B30:B31,B37),0)</f>
        <v>790225</v>
      </c>
      <c r="D37" s="402">
        <f>MAX(TREND(D30:D31,B30:B31,B37),0)</f>
        <v>787889</v>
      </c>
      <c r="E37" s="725">
        <f>MAX(TREND(E30:E31,B30:B31,B37),0)</f>
        <v>0</v>
      </c>
      <c r="F37" s="726">
        <f>MAX(TREND(F30:F31,B30:B31,B37),0)</f>
        <v>0</v>
      </c>
      <c r="G37" s="725">
        <f>MAX(TREND(G30:G31,B30:B31,B37),0)</f>
        <v>1.0905105000000006</v>
      </c>
      <c r="H37" s="726">
        <f>MAX(TREND(H30:H31,B30:B31,B37),0)</f>
        <v>0.26094883679999903</v>
      </c>
      <c r="I37" s="725">
        <f>MAX(TREND(I30:I31,B30:B31,B37),0)</f>
        <v>5.7545764950000091</v>
      </c>
      <c r="J37" s="726">
        <f>MAX(TREND(J30:J31,B30:B31,B37),0)</f>
        <v>3.6236858770259914</v>
      </c>
      <c r="K37" s="729">
        <f>IFERROR(IF(INDEX(SafetyGroup,A24,1)=Hwy,FatValue,INDEX(PARAMETERS!$BH$26:$BK$28,1,MATCH(INDEX(SafetyGroup,A24,1),PARAMETERS!$BH$25:$BK$25,0)))*(E37-F37),0)</f>
        <v>0</v>
      </c>
      <c r="L37" s="730">
        <f>IFERROR(IF(INDEX(SafetyGroup,A24,1)=Hwy,SUMPRODUCT(PARAMETERS!$E$64:$E$66,PARAMETERS!$BC$12:$BC$14),INDEX(PARAMETERS!$BH$26:$BK$28,2,MATCH(INDEX(SafetyGroup,A24,1),PARAMETERS!$BH$25:$BK$25,0)))*(G37-H37),0)</f>
        <v>96595.44588358613</v>
      </c>
      <c r="M37" s="802">
        <f>IFERROR(IF(INDEX(SafetyGroup,A24,1)=Hwy,NoInjValue,INDEX(PARAMETERS!$BH$26:$BK$28,3,MATCH(INDEX(SafetyGroup,A24,1),PARAMETERS!$BH$25:$BK$25,0)))*(I37-J37),0)</f>
        <v>6605.7609157194547</v>
      </c>
      <c r="N37" s="369">
        <f t="shared" si="9"/>
        <v>103201.20679930558</v>
      </c>
      <c r="O37" s="370">
        <f t="shared" si="4"/>
        <v>75408.110952636722</v>
      </c>
      <c r="Q37" s="812">
        <f t="shared" si="5"/>
        <v>0</v>
      </c>
      <c r="R37" s="785">
        <f t="shared" si="6"/>
        <v>0.82956166320000158</v>
      </c>
      <c r="S37" s="788">
        <f t="shared" si="7"/>
        <v>2.1308906179740177</v>
      </c>
      <c r="U37" s="375">
        <f t="shared" si="3"/>
        <v>2033</v>
      </c>
      <c r="V37" s="376">
        <f t="shared" ca="1" si="1"/>
        <v>68833.092194722907</v>
      </c>
      <c r="W37" s="376">
        <f t="shared" ca="1" si="1"/>
        <v>24436.448924612563</v>
      </c>
      <c r="X37" s="376">
        <f t="shared" ca="1" si="1"/>
        <v>8205.8747195742981</v>
      </c>
      <c r="Y37" s="376">
        <f t="shared" ca="1" si="1"/>
        <v>1172.9599874042769</v>
      </c>
      <c r="Z37" s="376">
        <f t="shared" ca="1" si="1"/>
        <v>176674.61379466325</v>
      </c>
      <c r="AA37" s="376">
        <f t="shared" ca="1" si="1"/>
        <v>1011510.8468334264</v>
      </c>
      <c r="AC37" s="370">
        <f ca="1">IF(Accidents&lt;&gt;"N",SUM($V37:AB37),0)</f>
        <v>1290833.8364544036</v>
      </c>
      <c r="AD37" s="377"/>
      <c r="AE37" s="370">
        <f t="shared" ca="1" si="2"/>
        <v>1987179.385558486</v>
      </c>
      <c r="AG37" s="378">
        <f ca="1">SUM($V71:AB71)</f>
        <v>0.1051569168299995</v>
      </c>
      <c r="AH37" s="378">
        <f ca="1">SUM($V105:AB105)</f>
        <v>5.4535485251400573</v>
      </c>
      <c r="AI37" s="378">
        <f ca="1">SUM($V139:AB139)</f>
        <v>35.9058463538612</v>
      </c>
    </row>
    <row r="38" spans="2:35" x14ac:dyDescent="0.25">
      <c r="B38" s="375">
        <f t="shared" si="8"/>
        <v>2031</v>
      </c>
      <c r="C38" s="401">
        <f>MAX(TREND(C30:C31,B30:B31,B38),0)</f>
        <v>799897.5</v>
      </c>
      <c r="D38" s="402">
        <f>MAX(TREND(D30:D31,B30:B31,B38),0)</f>
        <v>804003.75</v>
      </c>
      <c r="E38" s="725">
        <f>MAX(TREND(E30:E31,B30:B31,B38),0)</f>
        <v>0</v>
      </c>
      <c r="F38" s="726">
        <f>MAX(TREND(F30:F31,B30:B31,B38),0)</f>
        <v>0</v>
      </c>
      <c r="G38" s="725">
        <f>MAX(TREND(G30:G31,B30:B31,B38),0)</f>
        <v>1.1038585500000018</v>
      </c>
      <c r="H38" s="726">
        <f>MAX(TREND(H30:H31,B30:B31,B38),0)</f>
        <v>0.26628604199999906</v>
      </c>
      <c r="I38" s="725">
        <f>MAX(TREND(I30:I31,B30:B31,B38),0)</f>
        <v>5.8250135745000193</v>
      </c>
      <c r="J38" s="726">
        <f>MAX(TREND(J30:J31,B30:B31,B38),0)</f>
        <v>3.6978013831274836</v>
      </c>
      <c r="K38" s="729">
        <f>IFERROR(IF(INDEX(SafetyGroup,A24,1)=Hwy,FatValue,INDEX(PARAMETERS!$BH$26:$BK$28,1,MATCH(INDEX(SafetyGroup,A24,1),PARAMETERS!$BH$25:$BK$25,0)))*(E38-F38),0)</f>
        <v>0</v>
      </c>
      <c r="L38" s="730">
        <f>IFERROR(IF(INDEX(SafetyGroup,A24,1)=Hwy,SUMPRODUCT(PARAMETERS!$E$64:$E$66,PARAMETERS!$BC$12:$BC$14),INDEX(PARAMETERS!$BH$26:$BK$28,2,MATCH(INDEX(SafetyGroup,A24,1),PARAMETERS!$BH$25:$BK$25,0)))*(G38-H38),0)</f>
        <v>97528.241068907708</v>
      </c>
      <c r="M38" s="802">
        <f>IFERROR(IF(INDEX(SafetyGroup,A24,1)=Hwy,NoInjValue,INDEX(PARAMETERS!$BH$26:$BK$28,3,MATCH(INDEX(SafetyGroup,A24,1),PARAMETERS!$BH$25:$BK$25,0)))*(I38-J38),0)</f>
        <v>6594.3577932548606</v>
      </c>
      <c r="N38" s="369">
        <f t="shared" si="9"/>
        <v>104122.59886216257</v>
      </c>
      <c r="O38" s="370">
        <f t="shared" si="4"/>
        <v>73155.156834550857</v>
      </c>
      <c r="Q38" s="812">
        <f t="shared" si="5"/>
        <v>0</v>
      </c>
      <c r="R38" s="785">
        <f t="shared" si="6"/>
        <v>0.83757250800000271</v>
      </c>
      <c r="S38" s="788">
        <f t="shared" si="7"/>
        <v>2.1272121913725357</v>
      </c>
      <c r="U38" s="375">
        <f t="shared" si="3"/>
        <v>2034</v>
      </c>
      <c r="V38" s="376">
        <f t="shared" ca="1" si="1"/>
        <v>66761.164335815891</v>
      </c>
      <c r="W38" s="376">
        <f t="shared" ca="1" si="1"/>
        <v>23893.916396133871</v>
      </c>
      <c r="X38" s="376">
        <f t="shared" ca="1" si="1"/>
        <v>8023.4402330501607</v>
      </c>
      <c r="Y38" s="376">
        <f t="shared" ca="1" si="1"/>
        <v>1141.2153329317641</v>
      </c>
      <c r="Z38" s="376">
        <f t="shared" ca="1" si="1"/>
        <v>172963.5511318979</v>
      </c>
      <c r="AA38" s="376">
        <f t="shared" ca="1" si="1"/>
        <v>987886.86441730894</v>
      </c>
      <c r="AC38" s="370">
        <f ca="1">IF(Accidents&lt;&gt;"N",SUM($V38:AB38),0)</f>
        <v>1260670.1518471385</v>
      </c>
      <c r="AD38" s="377"/>
      <c r="AE38" s="370">
        <f t="shared" ca="1" si="2"/>
        <v>2018373.5300938804</v>
      </c>
      <c r="AG38" s="378">
        <f ca="1">SUM($V72:AB72)</f>
        <v>0.10680900027000018</v>
      </c>
      <c r="AH38" s="378">
        <f ca="1">SUM($V106:AB106)</f>
        <v>5.5389927796600169</v>
      </c>
      <c r="AI38" s="378">
        <f ca="1">SUM($V140:AB140)</f>
        <v>36.470458775954036</v>
      </c>
    </row>
    <row r="39" spans="2:35" x14ac:dyDescent="0.25">
      <c r="B39" s="375">
        <f t="shared" si="8"/>
        <v>2032</v>
      </c>
      <c r="C39" s="401">
        <f>MAX(TREND(C30:C31,B30:B31,B39),0)</f>
        <v>809570</v>
      </c>
      <c r="D39" s="402">
        <f>MAX(TREND(D30:D31,B30:B31,B39),0)</f>
        <v>820118.5</v>
      </c>
      <c r="E39" s="725">
        <f>MAX(TREND(E30:E31,B30:B31,B39),0)</f>
        <v>0</v>
      </c>
      <c r="F39" s="726">
        <f>MAX(TREND(F30:F31,B30:B31,B39),0)</f>
        <v>0</v>
      </c>
      <c r="G39" s="725">
        <f>MAX(TREND(G30:G31,B30:B31,B39),0)</f>
        <v>1.1172065999999994</v>
      </c>
      <c r="H39" s="726">
        <f>MAX(TREND(H30:H31,B30:B31,B39),0)</f>
        <v>0.27162324719999908</v>
      </c>
      <c r="I39" s="725">
        <f>MAX(TREND(I30:I31,B30:B31,B39),0)</f>
        <v>5.8954506540000295</v>
      </c>
      <c r="J39" s="726">
        <f>MAX(TREND(J30:J31,B30:B31,B39),0)</f>
        <v>3.7719168892290043</v>
      </c>
      <c r="K39" s="729">
        <f>IFERROR(IF(INDEX(SafetyGroup,A24,1)=Hwy,FatValue,INDEX(PARAMETERS!$BH$26:$BK$28,1,MATCH(INDEX(SafetyGroup,A24,1),PARAMETERS!$BH$25:$BK$25,0)))*(E39-F39),0)</f>
        <v>0</v>
      </c>
      <c r="L39" s="730">
        <f>IFERROR(IF(INDEX(SafetyGroup,A24,1)=Hwy,SUMPRODUCT(PARAMETERS!$E$64:$E$66,PARAMETERS!$BC$12:$BC$14),INDEX(PARAMETERS!$BH$26:$BK$28,2,MATCH(INDEX(SafetyGroup,A24,1),PARAMETERS!$BH$25:$BK$25,0)))*(G39-H39),0)</f>
        <v>98461.036254228864</v>
      </c>
      <c r="M39" s="802">
        <f>IFERROR(IF(INDEX(SafetyGroup,A24,1)=Hwy,NoInjValue,INDEX(PARAMETERS!$BH$26:$BK$28,3,MATCH(INDEX(SafetyGroup,A24,1),PARAMETERS!$BH$25:$BK$25,0)))*(I39-J39),0)</f>
        <v>6582.9546707901782</v>
      </c>
      <c r="N39" s="369">
        <f t="shared" si="9"/>
        <v>105043.99092501904</v>
      </c>
      <c r="O39" s="370">
        <f t="shared" si="4"/>
        <v>70963.956419405207</v>
      </c>
      <c r="Q39" s="812">
        <f t="shared" si="5"/>
        <v>0</v>
      </c>
      <c r="R39" s="785">
        <f t="shared" si="6"/>
        <v>0.8455833528000003</v>
      </c>
      <c r="S39" s="788">
        <f t="shared" si="7"/>
        <v>2.1235337647710253</v>
      </c>
      <c r="U39" s="375">
        <f t="shared" si="3"/>
        <v>2035</v>
      </c>
      <c r="V39" s="376">
        <f t="shared" ca="1" si="1"/>
        <v>64746.791442098642</v>
      </c>
      <c r="W39" s="376">
        <f t="shared" ca="1" si="1"/>
        <v>23356.968545992862</v>
      </c>
      <c r="X39" s="376">
        <f t="shared" ca="1" si="1"/>
        <v>7842.9003006379826</v>
      </c>
      <c r="Y39" s="376">
        <f t="shared" ca="1" si="1"/>
        <v>1110.1774270467758</v>
      </c>
      <c r="Z39" s="376">
        <f t="shared" ca="1" si="1"/>
        <v>169276.60184882308</v>
      </c>
      <c r="AA39" s="376">
        <f t="shared" ca="1" si="1"/>
        <v>964583.79359705315</v>
      </c>
      <c r="AC39" s="370">
        <f ca="1">IF(Accidents&lt;&gt;"N",SUM($V39:AB39),0)</f>
        <v>1230917.2331616525</v>
      </c>
      <c r="AD39" s="377"/>
      <c r="AE39" s="370">
        <f t="shared" ca="1" si="2"/>
        <v>2049567.6746292727</v>
      </c>
      <c r="AG39" s="378">
        <f ca="1">SUM($V73:AB73)</f>
        <v>0.10846108370999996</v>
      </c>
      <c r="AH39" s="378">
        <f ca="1">SUM($V107:AB107)</f>
        <v>5.624437034180044</v>
      </c>
      <c r="AI39" s="378">
        <f ca="1">SUM($V141:AB141)</f>
        <v>37.035071198046978</v>
      </c>
    </row>
    <row r="40" spans="2:35" x14ac:dyDescent="0.25">
      <c r="B40" s="375">
        <f t="shared" si="8"/>
        <v>2033</v>
      </c>
      <c r="C40" s="401">
        <f>MAX(TREND(C30:C31,B30:B31,B40),0)</f>
        <v>819242.5</v>
      </c>
      <c r="D40" s="402">
        <f>MAX(TREND(D30:D31,B30:B31,B40),0)</f>
        <v>836233.25</v>
      </c>
      <c r="E40" s="725">
        <f>MAX(TREND(E30:E31,B30:B31,B40),0)</f>
        <v>0</v>
      </c>
      <c r="F40" s="726">
        <f>MAX(TREND(F30:F31,B30:B31,B40),0)</f>
        <v>0</v>
      </c>
      <c r="G40" s="725">
        <f>MAX(TREND(G30:G31,B30:B31,B40),0)</f>
        <v>1.1305546500000005</v>
      </c>
      <c r="H40" s="726">
        <f>MAX(TREND(H30:H31,B30:B31,B40),0)</f>
        <v>0.27696045239999911</v>
      </c>
      <c r="I40" s="725">
        <f>MAX(TREND(I30:I31,B30:B31,B40),0)</f>
        <v>5.9658877335000113</v>
      </c>
      <c r="J40" s="726">
        <f>MAX(TREND(J30:J31,B30:B31,B40),0)</f>
        <v>3.8460323953304965</v>
      </c>
      <c r="K40" s="729">
        <f>IFERROR(IF(INDEX(SafetyGroup,A24,1)=Hwy,FatValue,INDEX(PARAMETERS!$BH$26:$BK$28,1,MATCH(INDEX(SafetyGroup,A24,1),PARAMETERS!$BH$25:$BK$25,0)))*(E40-F40),0)</f>
        <v>0</v>
      </c>
      <c r="L40" s="730">
        <f>IFERROR(IF(INDEX(SafetyGroup,A24,1)=Hwy,SUMPRODUCT(PARAMETERS!$E$64:$E$66,PARAMETERS!$BC$12:$BC$14),INDEX(PARAMETERS!$BH$26:$BK$28,2,MATCH(INDEX(SafetyGroup,A24,1),PARAMETERS!$BH$25:$BK$25,0)))*(G40-H40),0)</f>
        <v>99393.831439550442</v>
      </c>
      <c r="M40" s="802">
        <f>IFERROR(IF(INDEX(SafetyGroup,A24,1)=Hwy,NoInjValue,INDEX(PARAMETERS!$BH$26:$BK$28,3,MATCH(INDEX(SafetyGroup,A24,1),PARAMETERS!$BH$25:$BK$25,0)))*(I40-J40),0)</f>
        <v>6571.5515483254958</v>
      </c>
      <c r="N40" s="369">
        <f t="shared" si="9"/>
        <v>105965.38298787594</v>
      </c>
      <c r="O40" s="370">
        <f t="shared" si="4"/>
        <v>68833.092194722907</v>
      </c>
      <c r="Q40" s="812">
        <f t="shared" si="5"/>
        <v>0</v>
      </c>
      <c r="R40" s="785">
        <f t="shared" si="6"/>
        <v>0.85359419760000144</v>
      </c>
      <c r="S40" s="788">
        <f t="shared" si="7"/>
        <v>2.1198553381695149</v>
      </c>
      <c r="U40" s="375">
        <f t="shared" si="3"/>
        <v>2036</v>
      </c>
      <c r="V40" s="376">
        <f t="shared" ca="1" si="1"/>
        <v>62788.611190596741</v>
      </c>
      <c r="W40" s="376">
        <f t="shared" ca="1" si="1"/>
        <v>22825.97834646015</v>
      </c>
      <c r="X40" s="376">
        <f t="shared" ca="1" si="1"/>
        <v>7664.3790609068419</v>
      </c>
      <c r="Y40" s="376">
        <f t="shared" ca="1" si="1"/>
        <v>1079.8388640213846</v>
      </c>
      <c r="Z40" s="376">
        <f t="shared" ca="1" si="1"/>
        <v>165617.40080774043</v>
      </c>
      <c r="AA40" s="376">
        <f t="shared" ca="1" si="1"/>
        <v>941611.89558483812</v>
      </c>
      <c r="AC40" s="370">
        <f ca="1">IF(Accidents&lt;&gt;"N",SUM($V40:AB40),0)</f>
        <v>1201588.1038545636</v>
      </c>
      <c r="AD40" s="377"/>
      <c r="AE40" s="370">
        <f t="shared" ca="1" si="2"/>
        <v>2080761.8191646605</v>
      </c>
      <c r="AG40" s="378">
        <f ca="1">SUM($V74:AB74)</f>
        <v>0.11011316714999975</v>
      </c>
      <c r="AH40" s="378">
        <f ca="1">SUM($V108:AB108)</f>
        <v>5.7098812887000312</v>
      </c>
      <c r="AI40" s="378">
        <f ca="1">SUM($V142:AB142)</f>
        <v>37.599683620140212</v>
      </c>
    </row>
    <row r="41" spans="2:35" x14ac:dyDescent="0.25">
      <c r="B41" s="375">
        <f t="shared" si="8"/>
        <v>2034</v>
      </c>
      <c r="C41" s="401">
        <f>MAX(TREND(C30:C31,B30:B31,B41),0)</f>
        <v>828915</v>
      </c>
      <c r="D41" s="402">
        <f>MAX(TREND(D30:D31,B30:B31,B41),0)</f>
        <v>852348</v>
      </c>
      <c r="E41" s="725">
        <f>MAX(TREND(E30:E31,B30:B31,B41),0)</f>
        <v>0</v>
      </c>
      <c r="F41" s="726">
        <f>MAX(TREND(F30:F31,B30:B31,B41),0)</f>
        <v>0</v>
      </c>
      <c r="G41" s="725">
        <f>MAX(TREND(G30:G31,B30:B31,B41),0)</f>
        <v>1.1439027000000017</v>
      </c>
      <c r="H41" s="726">
        <f>MAX(TREND(H30:H31,B30:B31,B41),0)</f>
        <v>0.28229765759999914</v>
      </c>
      <c r="I41" s="725">
        <f>MAX(TREND(I30:I31,B30:B31,B41),0)</f>
        <v>6.0363248130000215</v>
      </c>
      <c r="J41" s="726">
        <f>MAX(TREND(J30:J31,B30:B31,B41),0)</f>
        <v>3.9201479014319887</v>
      </c>
      <c r="K41" s="729">
        <f>IFERROR(IF(INDEX(SafetyGroup,A24,1)=Hwy,FatValue,INDEX(PARAMETERS!$BH$26:$BK$28,1,MATCH(INDEX(SafetyGroup,A24,1),PARAMETERS!$BH$25:$BK$25,0)))*(E41-F41),0)</f>
        <v>0</v>
      </c>
      <c r="L41" s="730">
        <f>IFERROR(IF(INDEX(SafetyGroup,A24,1)=Hwy,SUMPRODUCT(PARAMETERS!$E$64:$E$66,PARAMETERS!$BC$12:$BC$14),INDEX(PARAMETERS!$BH$26:$BK$28,2,MATCH(INDEX(SafetyGroup,A24,1),PARAMETERS!$BH$25:$BK$25,0)))*(G41-H41),0)</f>
        <v>100326.62662487201</v>
      </c>
      <c r="M41" s="802">
        <f>IFERROR(IF(INDEX(SafetyGroup,A24,1)=Hwy,NoInjValue,INDEX(PARAMETERS!$BH$26:$BK$28,3,MATCH(INDEX(SafetyGroup,A24,1),PARAMETERS!$BH$25:$BK$25,0)))*(I41-J41),0)</f>
        <v>6560.1484258609016</v>
      </c>
      <c r="N41" s="369">
        <f t="shared" si="9"/>
        <v>106886.7750507329</v>
      </c>
      <c r="O41" s="370">
        <f t="shared" si="4"/>
        <v>66761.164335815891</v>
      </c>
      <c r="Q41" s="812">
        <f t="shared" si="5"/>
        <v>0</v>
      </c>
      <c r="R41" s="785">
        <f t="shared" si="6"/>
        <v>0.86160504240000257</v>
      </c>
      <c r="S41" s="788">
        <f t="shared" si="7"/>
        <v>2.1161769115680329</v>
      </c>
      <c r="U41" s="375">
        <f t="shared" si="3"/>
        <v>2037</v>
      </c>
      <c r="V41" s="376">
        <f t="shared" ca="1" si="1"/>
        <v>60885.280911929272</v>
      </c>
      <c r="W41" s="376">
        <f t="shared" ca="1" si="1"/>
        <v>22301.281818273128</v>
      </c>
      <c r="X41" s="376">
        <f t="shared" ca="1" si="1"/>
        <v>7487.9883007102908</v>
      </c>
      <c r="Y41" s="376">
        <f t="shared" ca="1" si="1"/>
        <v>1050.1917623129659</v>
      </c>
      <c r="Z41" s="376">
        <f t="shared" ca="1" si="1"/>
        <v>161989.2675954868</v>
      </c>
      <c r="AA41" s="376">
        <f t="shared" ca="1" si="1"/>
        <v>918980.16754753725</v>
      </c>
      <c r="AC41" s="370">
        <f ca="1">IF(Accidents&lt;&gt;"N",SUM($V41:AB41),0)</f>
        <v>1172694.1779362496</v>
      </c>
      <c r="AD41" s="377"/>
      <c r="AE41" s="370">
        <f t="shared" ca="1" si="2"/>
        <v>2111955.9637000612</v>
      </c>
      <c r="AG41" s="378">
        <f ca="1">SUM($V75:AB75)</f>
        <v>0.11176525059000042</v>
      </c>
      <c r="AH41" s="378">
        <f ca="1">SUM($V109:AB109)</f>
        <v>5.7953255432200468</v>
      </c>
      <c r="AI41" s="378">
        <f ca="1">SUM($V143:AB143)</f>
        <v>38.164296042233033</v>
      </c>
    </row>
    <row r="42" spans="2:35" x14ac:dyDescent="0.25">
      <c r="B42" s="375">
        <f t="shared" si="8"/>
        <v>2035</v>
      </c>
      <c r="C42" s="401">
        <f>MAX(TREND(C30:C31,B30:B31,B42),0)</f>
        <v>838587.5</v>
      </c>
      <c r="D42" s="402">
        <f>MAX(TREND(D30:D31,B30:B31,B42),0)</f>
        <v>868462.75</v>
      </c>
      <c r="E42" s="725">
        <f>MAX(TREND(E30:E31,B30:B31,B42),0)</f>
        <v>0</v>
      </c>
      <c r="F42" s="726">
        <f>MAX(TREND(F30:F31,B30:B31,B42),0)</f>
        <v>0</v>
      </c>
      <c r="G42" s="725">
        <f>MAX(TREND(G30:G31,B30:B31,B42),0)</f>
        <v>1.1572507499999993</v>
      </c>
      <c r="H42" s="726">
        <f>MAX(TREND(H30:H31,B30:B31,B42),0)</f>
        <v>0.28763486279999917</v>
      </c>
      <c r="I42" s="725">
        <f>MAX(TREND(I30:I31,B30:B31,B42),0)</f>
        <v>6.1067618925000318</v>
      </c>
      <c r="J42" s="726">
        <f>MAX(TREND(J30:J31,B30:B31,B42),0)</f>
        <v>3.9942634075334809</v>
      </c>
      <c r="K42" s="729">
        <f>IFERROR(IF(INDEX(SafetyGroup,A24,1)=Hwy,FatValue,INDEX(PARAMETERS!$BH$26:$BK$28,1,MATCH(INDEX(SafetyGroup,A24,1),PARAMETERS!$BH$25:$BK$25,0)))*(E42-F42),0)</f>
        <v>0</v>
      </c>
      <c r="L42" s="730">
        <f>IFERROR(IF(INDEX(SafetyGroup,A24,1)=Hwy,SUMPRODUCT(PARAMETERS!$E$64:$E$66,PARAMETERS!$BC$12:$BC$14),INDEX(PARAMETERS!$BH$26:$BK$28,2,MATCH(INDEX(SafetyGroup,A24,1),PARAMETERS!$BH$25:$BK$25,0)))*(G42-H42),0)</f>
        <v>101259.42181019316</v>
      </c>
      <c r="M42" s="802">
        <f>IFERROR(IF(INDEX(SafetyGroup,A24,1)=Hwy,NoInjValue,INDEX(PARAMETERS!$BH$26:$BK$28,3,MATCH(INDEX(SafetyGroup,A24,1),PARAMETERS!$BH$25:$BK$25,0)))*(I42-J42),0)</f>
        <v>6548.7453033963075</v>
      </c>
      <c r="N42" s="369">
        <f t="shared" si="9"/>
        <v>107808.16711358947</v>
      </c>
      <c r="O42" s="370">
        <f t="shared" si="4"/>
        <v>64746.791442098642</v>
      </c>
      <c r="Q42" s="812">
        <f t="shared" si="5"/>
        <v>0</v>
      </c>
      <c r="R42" s="785">
        <f t="shared" si="6"/>
        <v>0.86961588720000016</v>
      </c>
      <c r="S42" s="788">
        <f t="shared" si="7"/>
        <v>2.1124984849665509</v>
      </c>
      <c r="U42" s="375">
        <f t="shared" si="3"/>
        <v>2038</v>
      </c>
      <c r="V42" s="376">
        <f t="shared" ca="1" si="1"/>
        <v>59035.478093764679</v>
      </c>
      <c r="W42" s="376">
        <f t="shared" ca="1" si="1"/>
        <v>21783.180321327651</v>
      </c>
      <c r="X42" s="376">
        <f t="shared" ca="1" si="1"/>
        <v>7313.8282216813686</v>
      </c>
      <c r="Y42" s="376">
        <f t="shared" ca="1" si="1"/>
        <v>1021.2278121205419</v>
      </c>
      <c r="Z42" s="376">
        <f t="shared" ca="1" si="1"/>
        <v>158395.2253983641</v>
      </c>
      <c r="AA42" s="376">
        <f t="shared" ca="1" si="1"/>
        <v>896696.42466163822</v>
      </c>
      <c r="AC42" s="370">
        <f ca="1">IF(Accidents&lt;&gt;"N",SUM($V42:AB42),0)</f>
        <v>1144245.3645088966</v>
      </c>
      <c r="AD42" s="377"/>
      <c r="AE42" s="370">
        <f t="shared" ca="1" si="2"/>
        <v>2143150.1082354402</v>
      </c>
      <c r="AG42" s="378">
        <f ca="1">SUM($V76:AB76)</f>
        <v>0.11341733402999932</v>
      </c>
      <c r="AH42" s="378">
        <f ca="1">SUM($V110:AB110)</f>
        <v>5.8807697977400455</v>
      </c>
      <c r="AI42" s="378">
        <f ca="1">SUM($V144:AB144)</f>
        <v>38.728908464326103</v>
      </c>
    </row>
    <row r="43" spans="2:35" x14ac:dyDescent="0.25">
      <c r="B43" s="375">
        <f t="shared" si="8"/>
        <v>2036</v>
      </c>
      <c r="C43" s="401">
        <f>MAX(TREND(C30:C31,B30:B31,B43),0)</f>
        <v>848260</v>
      </c>
      <c r="D43" s="402">
        <f>MAX(TREND(D30:D31,B30:B31,B43),0)</f>
        <v>884577.5</v>
      </c>
      <c r="E43" s="725">
        <f>MAX(TREND(E30:E31,B30:B31,B43),0)</f>
        <v>0</v>
      </c>
      <c r="F43" s="726">
        <f>MAX(TREND(F30:F31,B30:B31,B43),0)</f>
        <v>0</v>
      </c>
      <c r="G43" s="725">
        <f>MAX(TREND(G30:G31,B30:B31,B43),0)</f>
        <v>1.1705988000000005</v>
      </c>
      <c r="H43" s="726">
        <f>MAX(TREND(H30:H31,B30:B31,B43),0)</f>
        <v>0.2929720679999992</v>
      </c>
      <c r="I43" s="725">
        <f>MAX(TREND(I30:I31,B30:B31,B43),0)</f>
        <v>6.1771989720000136</v>
      </c>
      <c r="J43" s="726">
        <f>MAX(TREND(J30:J31,B30:B31,B43),0)</f>
        <v>4.0683789136350015</v>
      </c>
      <c r="K43" s="729">
        <f>IFERROR(IF(INDEX(SafetyGroup,A24,1)=Hwy,FatValue,INDEX(PARAMETERS!$BH$26:$BK$28,1,MATCH(INDEX(SafetyGroup,A24,1),PARAMETERS!$BH$25:$BK$25,0)))*(E43-F43),0)</f>
        <v>0</v>
      </c>
      <c r="L43" s="730">
        <f>IFERROR(IF(INDEX(SafetyGroup,A24,1)=Hwy,SUMPRODUCT(PARAMETERS!$E$64:$E$66,PARAMETERS!$BC$12:$BC$14),INDEX(PARAMETERS!$BH$26:$BK$28,2,MATCH(INDEX(SafetyGroup,A24,1),PARAMETERS!$BH$25:$BK$25,0)))*(G43-H43),0)</f>
        <v>102192.21699551474</v>
      </c>
      <c r="M43" s="802">
        <f>IFERROR(IF(INDEX(SafetyGroup,A24,1)=Hwy,NoInjValue,INDEX(PARAMETERS!$BH$26:$BK$28,3,MATCH(INDEX(SafetyGroup,A24,1),PARAMETERS!$BH$25:$BK$25,0)))*(I43-J43),0)</f>
        <v>6537.3421809315378</v>
      </c>
      <c r="N43" s="369">
        <f t="shared" si="9"/>
        <v>108729.55917644627</v>
      </c>
      <c r="O43" s="370">
        <f t="shared" si="4"/>
        <v>62788.611190596741</v>
      </c>
      <c r="Q43" s="812">
        <f t="shared" si="5"/>
        <v>0</v>
      </c>
      <c r="R43" s="785">
        <f t="shared" si="6"/>
        <v>0.8776267320000013</v>
      </c>
      <c r="S43" s="788">
        <f t="shared" si="7"/>
        <v>2.1088200583650121</v>
      </c>
      <c r="U43" s="375">
        <f t="shared" si="3"/>
        <v>2039</v>
      </c>
      <c r="V43" s="376">
        <f t="shared" ca="1" si="1"/>
        <v>57237.900816476889</v>
      </c>
      <c r="W43" s="376">
        <f t="shared" ca="1" si="1"/>
        <v>21271.942723824286</v>
      </c>
      <c r="X43" s="376">
        <f t="shared" ca="1" si="1"/>
        <v>7141.9881660382425</v>
      </c>
      <c r="Y43" s="376">
        <f t="shared" ca="1" si="1"/>
        <v>992.93831998684118</v>
      </c>
      <c r="Z43" s="376">
        <f t="shared" ca="1" si="1"/>
        <v>154838.01889156085</v>
      </c>
      <c r="AA43" s="376">
        <f t="shared" ca="1" si="1"/>
        <v>874767.37772622157</v>
      </c>
      <c r="AC43" s="370">
        <f ca="1">IF(Accidents&lt;&gt;"N",SUM($V43:AB43),0)</f>
        <v>1116250.1666441087</v>
      </c>
      <c r="AD43" s="377"/>
      <c r="AE43" s="370">
        <f t="shared" ca="1" si="2"/>
        <v>2174344.2527708411</v>
      </c>
      <c r="AG43" s="378">
        <f ca="1">SUM($V77:AB77)</f>
        <v>0.11506941746999999</v>
      </c>
      <c r="AH43" s="378">
        <f ca="1">SUM($V111:AB111)</f>
        <v>5.9662140522600611</v>
      </c>
      <c r="AI43" s="378">
        <f ca="1">SUM($V145:AB145)</f>
        <v>39.293520886418875</v>
      </c>
    </row>
    <row r="44" spans="2:35" x14ac:dyDescent="0.25">
      <c r="B44" s="375">
        <f t="shared" si="8"/>
        <v>2037</v>
      </c>
      <c r="C44" s="401">
        <f>MAX(TREND(C30:C31,B30:B31,B44),0)</f>
        <v>857932.5</v>
      </c>
      <c r="D44" s="402">
        <f>MAX(TREND(D30:D31,B30:B31,B44),0)</f>
        <v>900692.25</v>
      </c>
      <c r="E44" s="725">
        <f>MAX(TREND(E30:E31,B30:B31,B44),0)</f>
        <v>0</v>
      </c>
      <c r="F44" s="726">
        <f>MAX(TREND(F30:F31,B30:B31,B44),0)</f>
        <v>0</v>
      </c>
      <c r="G44" s="725">
        <f>MAX(TREND(G30:G31,B30:B31,B44),0)</f>
        <v>1.1839468500000017</v>
      </c>
      <c r="H44" s="726">
        <f>MAX(TREND(H30:H31,B30:B31,B44),0)</f>
        <v>0.29830927319999923</v>
      </c>
      <c r="I44" s="725">
        <f>MAX(TREND(I30:I31,B30:B31,B44),0)</f>
        <v>6.2476360515000238</v>
      </c>
      <c r="J44" s="726">
        <f>MAX(TREND(J30:J31,B30:B31,B44),0)</f>
        <v>4.1424944197364937</v>
      </c>
      <c r="K44" s="729">
        <f>IFERROR(IF(INDEX(SafetyGroup,A24,1)=Hwy,FatValue,INDEX(PARAMETERS!$BH$26:$BK$28,1,MATCH(INDEX(SafetyGroup,A24,1),PARAMETERS!$BH$25:$BK$25,0)))*(E44-F44),0)</f>
        <v>0</v>
      </c>
      <c r="L44" s="730">
        <f>IFERROR(IF(INDEX(SafetyGroup,A24,1)=Hwy,SUMPRODUCT(PARAMETERS!$E$64:$E$66,PARAMETERS!$BC$12:$BC$14),INDEX(PARAMETERS!$BH$26:$BK$28,2,MATCH(INDEX(SafetyGroup,A24,1),PARAMETERS!$BH$25:$BK$25,0)))*(G44-H44),0)</f>
        <v>103125.01218083632</v>
      </c>
      <c r="M44" s="802">
        <f>IFERROR(IF(INDEX(SafetyGroup,A24,1)=Hwy,NoInjValue,INDEX(PARAMETERS!$BH$26:$BK$28,3,MATCH(INDEX(SafetyGroup,A24,1),PARAMETERS!$BH$25:$BK$25,0)))*(I44-J44),0)</f>
        <v>6525.9390584669436</v>
      </c>
      <c r="N44" s="369">
        <f t="shared" si="9"/>
        <v>109650.95123930326</v>
      </c>
      <c r="O44" s="370">
        <f t="shared" si="4"/>
        <v>60885.280911929272</v>
      </c>
      <c r="Q44" s="812">
        <f t="shared" si="5"/>
        <v>0</v>
      </c>
      <c r="R44" s="785">
        <f t="shared" si="6"/>
        <v>0.88563757680000244</v>
      </c>
      <c r="S44" s="788">
        <f t="shared" si="7"/>
        <v>2.1051416317635301</v>
      </c>
      <c r="U44" s="375">
        <f t="shared" si="3"/>
        <v>2040</v>
      </c>
      <c r="V44" s="376">
        <f t="shared" ca="1" si="1"/>
        <v>55491.268125469061</v>
      </c>
      <c r="W44" s="376">
        <f t="shared" ca="1" si="1"/>
        <v>20767.80745583108</v>
      </c>
      <c r="X44" s="376">
        <f t="shared" ca="1" si="1"/>
        <v>6972.5473036965268</v>
      </c>
      <c r="Y44" s="376">
        <f t="shared" ca="1" si="1"/>
        <v>965.31425060289178</v>
      </c>
      <c r="Z44" s="376">
        <f t="shared" ca="1" si="1"/>
        <v>151320.13119090279</v>
      </c>
      <c r="AA44" s="376">
        <f t="shared" ca="1" si="1"/>
        <v>853198.70655408234</v>
      </c>
      <c r="AC44" s="370">
        <f ca="1">IF(Accidents&lt;&gt;"N",SUM($V44:AB44),0)</f>
        <v>1088715.7748805848</v>
      </c>
      <c r="AD44" s="377"/>
      <c r="AE44" s="370">
        <f t="shared" ca="1" si="2"/>
        <v>2205538.3973062257</v>
      </c>
      <c r="AG44" s="378">
        <f ca="1">SUM($V78:AB78)</f>
        <v>0.11672150090999978</v>
      </c>
      <c r="AH44" s="378">
        <f ca="1">SUM($V112:AB112)</f>
        <v>6.0516583067800207</v>
      </c>
      <c r="AI44" s="378">
        <f ca="1">SUM($V146:AB146)</f>
        <v>39.858133308511938</v>
      </c>
    </row>
    <row r="45" spans="2:35" x14ac:dyDescent="0.25">
      <c r="B45" s="375">
        <f t="shared" si="8"/>
        <v>2038</v>
      </c>
      <c r="C45" s="401">
        <f>MAX(TREND(C30:C31,B30:B31,B45),0)</f>
        <v>867605</v>
      </c>
      <c r="D45" s="402">
        <f>MAX(TREND(D30:D31,B30:B31,B45),0)</f>
        <v>916807</v>
      </c>
      <c r="E45" s="725">
        <f>MAX(TREND(E30:E31,B30:B31,B45),0)</f>
        <v>0</v>
      </c>
      <c r="F45" s="726">
        <f>MAX(TREND(F30:F31,B30:B31,B45),0)</f>
        <v>0</v>
      </c>
      <c r="G45" s="725">
        <f>MAX(TREND(G30:G31,B30:B31,B45),0)</f>
        <v>1.1972948999999993</v>
      </c>
      <c r="H45" s="726">
        <f>MAX(TREND(H30:H31,B30:B31,B45),0)</f>
        <v>0.30364647839999925</v>
      </c>
      <c r="I45" s="725">
        <f>MAX(TREND(I30:I31,B30:B31,B45),0)</f>
        <v>6.318073131000034</v>
      </c>
      <c r="J45" s="726">
        <f>MAX(TREND(J30:J31,B30:B31,B45),0)</f>
        <v>4.2166099258379859</v>
      </c>
      <c r="K45" s="729">
        <f>IFERROR(IF(INDEX(SafetyGroup,A24,1)=Hwy,FatValue,INDEX(PARAMETERS!$BH$26:$BK$28,1,MATCH(INDEX(SafetyGroup,A24,1),PARAMETERS!$BH$25:$BK$25,0)))*(E45-F45),0)</f>
        <v>0</v>
      </c>
      <c r="L45" s="730">
        <f>IFERROR(IF(INDEX(SafetyGroup,A24,1)=Hwy,SUMPRODUCT(PARAMETERS!$E$64:$E$66,PARAMETERS!$BC$12:$BC$14),INDEX(PARAMETERS!$BH$26:$BK$28,2,MATCH(INDEX(SafetyGroup,A24,1),PARAMETERS!$BH$25:$BK$25,0)))*(G45-H45),0)</f>
        <v>104057.80736615747</v>
      </c>
      <c r="M45" s="802">
        <f>IFERROR(IF(INDEX(SafetyGroup,A24,1)=Hwy,NoInjValue,INDEX(PARAMETERS!$BH$26:$BK$28,3,MATCH(INDEX(SafetyGroup,A24,1),PARAMETERS!$BH$25:$BK$25,0)))*(I45-J45),0)</f>
        <v>6514.5359360023494</v>
      </c>
      <c r="N45" s="369">
        <f t="shared" si="9"/>
        <v>110572.34330215982</v>
      </c>
      <c r="O45" s="370">
        <f t="shared" si="4"/>
        <v>59035.478093764679</v>
      </c>
      <c r="Q45" s="812">
        <f t="shared" si="5"/>
        <v>0</v>
      </c>
      <c r="R45" s="785">
        <f t="shared" si="6"/>
        <v>0.89364842160000002</v>
      </c>
      <c r="S45" s="788">
        <f t="shared" si="7"/>
        <v>2.1014632051620481</v>
      </c>
      <c r="U45" s="375">
        <f t="shared" si="3"/>
        <v>2041</v>
      </c>
      <c r="V45" s="376">
        <f t="shared" ca="1" si="1"/>
        <v>53794.320344395855</v>
      </c>
      <c r="W45" s="376">
        <f t="shared" ca="1" si="1"/>
        <v>20270.984452944111</v>
      </c>
      <c r="X45" s="376">
        <f t="shared" ca="1" si="1"/>
        <v>6805.5752825910977</v>
      </c>
      <c r="Y45" s="376">
        <f t="shared" ca="1" si="1"/>
        <v>938.34626596447288</v>
      </c>
      <c r="Z45" s="376">
        <f t="shared" ca="1" si="1"/>
        <v>147843.79991264708</v>
      </c>
      <c r="AA45" s="376">
        <f t="shared" ca="1" si="1"/>
        <v>831995.12935121299</v>
      </c>
      <c r="AC45" s="370">
        <f ca="1">IF(Accidents&lt;&gt;"N",SUM($V45:AB45),0)</f>
        <v>1061648.1556097555</v>
      </c>
      <c r="AD45" s="377"/>
      <c r="AE45" s="370">
        <f t="shared" ca="1" si="2"/>
        <v>2236732.5418416173</v>
      </c>
      <c r="AG45" s="378">
        <f ca="1">SUM($V79:AB79)</f>
        <v>0.11837358434999956</v>
      </c>
      <c r="AH45" s="378">
        <f ca="1">SUM($V113:AB113)</f>
        <v>6.1371025613000469</v>
      </c>
      <c r="AI45" s="378">
        <f ca="1">SUM($V147:AB147)</f>
        <v>40.422745730604994</v>
      </c>
    </row>
    <row r="46" spans="2:35" x14ac:dyDescent="0.25">
      <c r="B46" s="375">
        <f t="shared" si="8"/>
        <v>2039</v>
      </c>
      <c r="C46" s="401">
        <f>MAX(TREND(C30:C31,B30:B31,B46),0)</f>
        <v>877277.5</v>
      </c>
      <c r="D46" s="402">
        <f>MAX(TREND(D30:D31,B30:B31,B46),0)</f>
        <v>932921.75</v>
      </c>
      <c r="E46" s="725">
        <f>MAX(TREND(E30:E31,B30:B31,B46),0)</f>
        <v>0</v>
      </c>
      <c r="F46" s="726">
        <f>MAX(TREND(F30:F31,B30:B31,B46),0)</f>
        <v>0</v>
      </c>
      <c r="G46" s="725">
        <f>MAX(TREND(G30:G31,B30:B31,B46),0)</f>
        <v>1.2106429500000004</v>
      </c>
      <c r="H46" s="726">
        <f>MAX(TREND(H30:H31,B30:B31,B46),0)</f>
        <v>0.30898368359999928</v>
      </c>
      <c r="I46" s="725">
        <f>MAX(TREND(I30:I31,B30:B31,B46),0)</f>
        <v>6.3885102105000158</v>
      </c>
      <c r="J46" s="726">
        <f>MAX(TREND(J30:J31,B30:B31,B46),0)</f>
        <v>4.2907254319395065</v>
      </c>
      <c r="K46" s="729">
        <f>IFERROR(IF(INDEX(SafetyGroup,A24,1)=Hwy,FatValue,INDEX(PARAMETERS!$BH$26:$BK$28,1,MATCH(INDEX(SafetyGroup,A24,1),PARAMETERS!$BH$25:$BK$25,0)))*(E46-F46),0)</f>
        <v>0</v>
      </c>
      <c r="L46" s="730">
        <f>IFERROR(IF(INDEX(SafetyGroup,A24,1)=Hwy,SUMPRODUCT(PARAMETERS!$E$64:$E$66,PARAMETERS!$BC$12:$BC$14),INDEX(PARAMETERS!$BH$26:$BK$28,2,MATCH(INDEX(SafetyGroup,A24,1),PARAMETERS!$BH$25:$BK$25,0)))*(G46-H46),0)</f>
        <v>104990.60255147904</v>
      </c>
      <c r="M46" s="802">
        <f>IFERROR(IF(INDEX(SafetyGroup,A24,1)=Hwy,NoInjValue,INDEX(PARAMETERS!$BH$26:$BK$28,3,MATCH(INDEX(SafetyGroup,A24,1),PARAMETERS!$BH$25:$BK$25,0)))*(I46-J46),0)</f>
        <v>6503.1328135375788</v>
      </c>
      <c r="N46" s="369">
        <f t="shared" si="9"/>
        <v>111493.73536501662</v>
      </c>
      <c r="O46" s="370">
        <f t="shared" si="4"/>
        <v>57237.900816476889</v>
      </c>
      <c r="Q46" s="812">
        <f t="shared" si="5"/>
        <v>0</v>
      </c>
      <c r="R46" s="785">
        <f t="shared" si="6"/>
        <v>0.90165926640000116</v>
      </c>
      <c r="S46" s="788">
        <f t="shared" si="7"/>
        <v>2.0977847785605093</v>
      </c>
      <c r="U46" s="375">
        <f t="shared" si="3"/>
        <v>2042</v>
      </c>
      <c r="V46" s="376">
        <f t="shared" ca="1" si="1"/>
        <v>52145.819333278931</v>
      </c>
      <c r="W46" s="376">
        <f t="shared" ca="1" si="1"/>
        <v>19781.656995462912</v>
      </c>
      <c r="X46" s="376">
        <f t="shared" ca="1" si="1"/>
        <v>6641.1328440208626</v>
      </c>
      <c r="Y46" s="376">
        <f t="shared" ca="1" si="1"/>
        <v>912.0247620221952</v>
      </c>
      <c r="Z46" s="376">
        <f t="shared" ca="1" si="1"/>
        <v>144411.03238480163</v>
      </c>
      <c r="AA46" s="376">
        <f t="shared" ca="1" si="1"/>
        <v>811160.46828443522</v>
      </c>
      <c r="AC46" s="370">
        <f ca="1">IF(Accidents&lt;&gt;"N",SUM($V46:AB46),0)</f>
        <v>1035052.1346040217</v>
      </c>
      <c r="AD46" s="377"/>
      <c r="AE46" s="370">
        <f t="shared" ca="1" si="2"/>
        <v>2267926.6863770159</v>
      </c>
      <c r="AG46" s="378">
        <f ca="1">SUM($V80:AB80)</f>
        <v>0.12002566779000023</v>
      </c>
      <c r="AH46" s="378">
        <f ca="1">SUM($V114:AB114)</f>
        <v>6.222546815820035</v>
      </c>
      <c r="AI46" s="378">
        <f ca="1">SUM($V148:AB148)</f>
        <v>40.987358152698029</v>
      </c>
    </row>
    <row r="47" spans="2:35" x14ac:dyDescent="0.25">
      <c r="B47" s="375">
        <f t="shared" si="8"/>
        <v>2040</v>
      </c>
      <c r="C47" s="401">
        <f>MAX(TREND(C30:C31,B30:B31,B47),0)</f>
        <v>886950</v>
      </c>
      <c r="D47" s="402">
        <f>MAX(TREND(D30:D31,B30:B31,B47),0)</f>
        <v>949036.5</v>
      </c>
      <c r="E47" s="725">
        <f>MAX(TREND(E30:E31,B30:B31,B47),0)</f>
        <v>0</v>
      </c>
      <c r="F47" s="726">
        <f>MAX(TREND(F30:F31,B30:B31,B47),0)</f>
        <v>0</v>
      </c>
      <c r="G47" s="725">
        <f>MAX(TREND(G30:G31,B30:B31,B47),0)</f>
        <v>1.2239910000000016</v>
      </c>
      <c r="H47" s="726">
        <f>MAX(TREND(H30:H31,B30:B31,B47),0)</f>
        <v>0.31432088879999931</v>
      </c>
      <c r="I47" s="725">
        <f>MAX(TREND(I30:I31,B30:B31,B47),0)</f>
        <v>6.458947290000026</v>
      </c>
      <c r="J47" s="726">
        <f>MAX(TREND(J30:J31,B30:B31,B47),0)</f>
        <v>4.3648409380409987</v>
      </c>
      <c r="K47" s="729">
        <f>IFERROR(IF(INDEX(SafetyGroup,A24,1)=Hwy,FatValue,INDEX(PARAMETERS!$BH$26:$BK$28,1,MATCH(INDEX(SafetyGroup,A24,1),PARAMETERS!$BH$25:$BK$25,0)))*(E47-F47),0)</f>
        <v>0</v>
      </c>
      <c r="L47" s="730">
        <f>IFERROR(IF(INDEX(SafetyGroup,A24,1)=Hwy,SUMPRODUCT(PARAMETERS!$E$64:$E$66,PARAMETERS!$BC$12:$BC$14),INDEX(PARAMETERS!$BH$26:$BK$28,2,MATCH(INDEX(SafetyGroup,A24,1),PARAMETERS!$BH$25:$BK$25,0)))*(G47-H47),0)</f>
        <v>105923.39773680062</v>
      </c>
      <c r="M47" s="802">
        <f>IFERROR(IF(INDEX(SafetyGroup,A24,1)=Hwy,NoInjValue,INDEX(PARAMETERS!$BH$26:$BK$28,3,MATCH(INDEX(SafetyGroup,A24,1),PARAMETERS!$BH$25:$BK$25,0)))*(I47-J47),0)</f>
        <v>6491.7296910729847</v>
      </c>
      <c r="N47" s="369">
        <f t="shared" si="9"/>
        <v>112415.12742787359</v>
      </c>
      <c r="O47" s="370">
        <f t="shared" si="4"/>
        <v>55491.268125469061</v>
      </c>
      <c r="Q47" s="812">
        <f t="shared" si="5"/>
        <v>0</v>
      </c>
      <c r="R47" s="785">
        <f t="shared" si="6"/>
        <v>0.9096701112000023</v>
      </c>
      <c r="S47" s="788">
        <f t="shared" si="7"/>
        <v>2.0941063519590273</v>
      </c>
      <c r="U47" s="375">
        <f t="shared" si="3"/>
        <v>2043</v>
      </c>
      <c r="V47" s="376">
        <f t="shared" ca="1" si="1"/>
        <v>50544.548695288722</v>
      </c>
      <c r="W47" s="376">
        <f t="shared" ca="1" si="1"/>
        <v>19299.983448242172</v>
      </c>
      <c r="X47" s="376">
        <f t="shared" ca="1" si="1"/>
        <v>6479.2724047450865</v>
      </c>
      <c r="Y47" s="376">
        <f t="shared" ca="1" si="1"/>
        <v>886.33990296015952</v>
      </c>
      <c r="Z47" s="376">
        <f t="shared" ca="1" si="1"/>
        <v>141023.62005153651</v>
      </c>
      <c r="AA47" s="376">
        <f t="shared" ca="1" si="1"/>
        <v>790697.71142789128</v>
      </c>
      <c r="AC47" s="370">
        <f ca="1">IF(Accidents&lt;&gt;"N",SUM($V47:AB47),0)</f>
        <v>1008931.475930664</v>
      </c>
      <c r="AD47" s="377"/>
      <c r="AE47" s="370">
        <f t="shared" ca="1" si="2"/>
        <v>2299120.8309124075</v>
      </c>
      <c r="AG47" s="378">
        <f ca="1">SUM($V81:AB81)</f>
        <v>0.12167775123000002</v>
      </c>
      <c r="AH47" s="378">
        <f ca="1">SUM($V115:AB115)</f>
        <v>6.3079910703400506</v>
      </c>
      <c r="AI47" s="378">
        <f ca="1">SUM($V149:AB149)</f>
        <v>41.551970574791177</v>
      </c>
    </row>
    <row r="48" spans="2:35" x14ac:dyDescent="0.25">
      <c r="B48" s="375">
        <f t="shared" si="8"/>
        <v>2041</v>
      </c>
      <c r="C48" s="401">
        <f>MAX(TREND(C30:C31,B30:B31,B48),0)</f>
        <v>896622.5</v>
      </c>
      <c r="D48" s="402">
        <f>MAX(TREND(D30:D31,B30:B31,B48),0)</f>
        <v>965151.25</v>
      </c>
      <c r="E48" s="725">
        <f>MAX(TREND(E30:E31,B30:B31,B48),0)</f>
        <v>0</v>
      </c>
      <c r="F48" s="726">
        <f>MAX(TREND(F30:F31,B30:B31,B48),0)</f>
        <v>0</v>
      </c>
      <c r="G48" s="725">
        <f>MAX(TREND(G30:G31,B30:B31,B48),0)</f>
        <v>1.2373390499999992</v>
      </c>
      <c r="H48" s="726">
        <f>MAX(TREND(H30:H31,B30:B31,B48),0)</f>
        <v>0.31965809399999934</v>
      </c>
      <c r="I48" s="725">
        <f>MAX(TREND(I30:I31,B30:B31,B48),0)</f>
        <v>6.5293843695000362</v>
      </c>
      <c r="J48" s="726">
        <f>MAX(TREND(J30:J31,B30:B31,B48),0)</f>
        <v>4.4389564441424909</v>
      </c>
      <c r="K48" s="729">
        <f>IFERROR(IF(INDEX(SafetyGroup,A24,1)=Hwy,FatValue,INDEX(PARAMETERS!$BH$26:$BK$28,1,MATCH(INDEX(SafetyGroup,A24,1),PARAMETERS!$BH$25:$BK$25,0)))*(E48-F48),0)</f>
        <v>0</v>
      </c>
      <c r="L48" s="730">
        <f>IFERROR(IF(INDEX(SafetyGroup,A24,1)=Hwy,SUMPRODUCT(PARAMETERS!$E$64:$E$66,PARAMETERS!$BC$12:$BC$14),INDEX(PARAMETERS!$BH$26:$BK$28,2,MATCH(INDEX(SafetyGroup,A24,1),PARAMETERS!$BH$25:$BK$25,0)))*(G48-H48),0)</f>
        <v>106856.19292212177</v>
      </c>
      <c r="M48" s="802">
        <f>IFERROR(IF(INDEX(SafetyGroup,A24,1)=Hwy,NoInjValue,INDEX(PARAMETERS!$BH$26:$BK$28,3,MATCH(INDEX(SafetyGroup,A24,1),PARAMETERS!$BH$25:$BK$25,0)))*(I48-J48),0)</f>
        <v>6480.3265686083905</v>
      </c>
      <c r="N48" s="369">
        <f t="shared" si="9"/>
        <v>113336.51949073016</v>
      </c>
      <c r="O48" s="370">
        <f t="shared" si="4"/>
        <v>53794.320344395855</v>
      </c>
      <c r="Q48" s="812">
        <f t="shared" si="5"/>
        <v>0</v>
      </c>
      <c r="R48" s="785">
        <f t="shared" si="6"/>
        <v>0.91768095599999988</v>
      </c>
      <c r="S48" s="788">
        <f t="shared" si="7"/>
        <v>2.0904279253575453</v>
      </c>
      <c r="U48" s="375">
        <f t="shared" si="3"/>
        <v>2044</v>
      </c>
      <c r="V48" s="376">
        <f t="shared" ca="1" si="1"/>
        <v>48989.313935763181</v>
      </c>
      <c r="W48" s="376">
        <f t="shared" ca="1" si="1"/>
        <v>18826.09890613981</v>
      </c>
      <c r="X48" s="376">
        <f t="shared" ca="1" si="1"/>
        <v>6320.0386074786647</v>
      </c>
      <c r="Y48" s="376">
        <f t="shared" ca="1" si="1"/>
        <v>861.28165323125643</v>
      </c>
      <c r="Z48" s="376">
        <f t="shared" ca="1" si="1"/>
        <v>137683.15211020017</v>
      </c>
      <c r="AA48" s="376">
        <f t="shared" ca="1" si="1"/>
        <v>770609.07126995153</v>
      </c>
      <c r="AC48" s="370">
        <f ca="1">IF(Accidents&lt;&gt;"N",SUM($V48:AB48),0)</f>
        <v>983288.95648276457</v>
      </c>
      <c r="AD48" s="377"/>
      <c r="AE48" s="370">
        <f t="shared" ca="1" si="2"/>
        <v>2330314.9754477958</v>
      </c>
      <c r="AG48" s="378">
        <f ca="1">SUM($V82:AB82)</f>
        <v>0.1233298346699998</v>
      </c>
      <c r="AH48" s="378">
        <f ca="1">SUM($V116:AB116)</f>
        <v>6.3934353248600493</v>
      </c>
      <c r="AI48" s="378">
        <f ca="1">SUM($V150:AB150)</f>
        <v>42.116582996883992</v>
      </c>
    </row>
    <row r="49" spans="1:35" x14ac:dyDescent="0.25">
      <c r="B49" s="375">
        <f t="shared" si="8"/>
        <v>2042</v>
      </c>
      <c r="C49" s="401">
        <f>MAX(TREND(C30:C31,B30:B31,B49),0)</f>
        <v>906295</v>
      </c>
      <c r="D49" s="402">
        <f>MAX(TREND(D30:D31,B30:B31,B49),0)</f>
        <v>981266</v>
      </c>
      <c r="E49" s="725">
        <f>MAX(TREND(E30:E31,B30:B31,B49),0)</f>
        <v>0</v>
      </c>
      <c r="F49" s="726">
        <f>MAX(TREND(F30:F31,B30:B31,B49),0)</f>
        <v>0</v>
      </c>
      <c r="G49" s="725">
        <f>MAX(TREND(G30:G31,B30:B31,B49),0)</f>
        <v>1.2506871000000004</v>
      </c>
      <c r="H49" s="726">
        <f>MAX(TREND(H30:H31,B30:B31,B49),0)</f>
        <v>0.32499529919999937</v>
      </c>
      <c r="I49" s="725">
        <f>MAX(TREND(I30:I31,B30:B31,B49),0)</f>
        <v>6.599821449000018</v>
      </c>
      <c r="J49" s="726">
        <f>MAX(TREND(J30:J31,B30:B31,B49),0)</f>
        <v>4.5130719502439831</v>
      </c>
      <c r="K49" s="729">
        <f>IFERROR(IF(INDEX(SafetyGroup,A24,1)=Hwy,FatValue,INDEX(PARAMETERS!$BH$26:$BK$28,1,MATCH(INDEX(SafetyGroup,A24,1),PARAMETERS!$BH$25:$BK$25,0)))*(E49-F49),0)</f>
        <v>0</v>
      </c>
      <c r="L49" s="730">
        <f>IFERROR(IF(INDEX(SafetyGroup,A24,1)=Hwy,SUMPRODUCT(PARAMETERS!$E$64:$E$66,PARAMETERS!$BC$12:$BC$14),INDEX(PARAMETERS!$BH$26:$BK$28,2,MATCH(INDEX(SafetyGroup,A24,1),PARAMETERS!$BH$25:$BK$25,0)))*(G49-H49),0)</f>
        <v>107788.98810744335</v>
      </c>
      <c r="M49" s="802">
        <f>IFERROR(IF(INDEX(SafetyGroup,A24,1)=Hwy,NoInjValue,INDEX(PARAMETERS!$BH$26:$BK$28,3,MATCH(INDEX(SafetyGroup,A24,1),PARAMETERS!$BH$25:$BK$25,0)))*(I49-J49),0)</f>
        <v>6468.9234461437081</v>
      </c>
      <c r="N49" s="369">
        <f t="shared" si="9"/>
        <v>114257.91155358707</v>
      </c>
      <c r="O49" s="370">
        <f t="shared" si="4"/>
        <v>52145.819333278931</v>
      </c>
      <c r="Q49" s="812">
        <f t="shared" si="5"/>
        <v>0</v>
      </c>
      <c r="R49" s="785">
        <f t="shared" si="6"/>
        <v>0.92569180080000102</v>
      </c>
      <c r="S49" s="788">
        <f t="shared" si="7"/>
        <v>2.0867494987560349</v>
      </c>
      <c r="U49" s="375">
        <f t="shared" si="3"/>
        <v>2045</v>
      </c>
      <c r="V49" s="376">
        <f t="shared" ca="1" si="1"/>
        <v>47478.942576829606</v>
      </c>
      <c r="W49" s="376">
        <f t="shared" ca="1" si="1"/>
        <v>18360.116749749064</v>
      </c>
      <c r="X49" s="376">
        <f t="shared" ca="1" si="1"/>
        <v>6163.4688413559024</v>
      </c>
      <c r="Y49" s="376">
        <f t="shared" ca="1" si="1"/>
        <v>836.83980747120359</v>
      </c>
      <c r="Z49" s="376">
        <f t="shared" ca="1" si="1"/>
        <v>134391.02841871453</v>
      </c>
      <c r="AA49" s="376">
        <f t="shared" ca="1" si="1"/>
        <v>750896.03995340888</v>
      </c>
      <c r="AC49" s="370">
        <f ca="1">IF(Accidents&lt;&gt;"N",SUM($V49:AB49),0)</f>
        <v>958126.43634752918</v>
      </c>
      <c r="AD49" s="377"/>
      <c r="AE49" s="370">
        <f t="shared" ca="1" si="2"/>
        <v>2361509.1199831865</v>
      </c>
      <c r="AG49" s="378">
        <f ca="1">SUM($V83:AB83)</f>
        <v>0.12498191810999959</v>
      </c>
      <c r="AH49" s="378">
        <f ca="1">SUM($V117:AB117)</f>
        <v>6.4788795793800649</v>
      </c>
      <c r="AI49" s="378">
        <f ca="1">SUM($V151:AB151)</f>
        <v>42.68119541897704</v>
      </c>
    </row>
    <row r="50" spans="1:35" x14ac:dyDescent="0.25">
      <c r="B50" s="375">
        <f t="shared" si="8"/>
        <v>2043</v>
      </c>
      <c r="C50" s="401">
        <f>MAX(TREND(C30:C31,B30:B31,B50),0)</f>
        <v>915967.5</v>
      </c>
      <c r="D50" s="402">
        <f>MAX(TREND(D30:D31,B30:B31,B50),0)</f>
        <v>997380.75</v>
      </c>
      <c r="E50" s="725">
        <f>MAX(TREND(E30:E31,B30:B31,B50),0)</f>
        <v>0</v>
      </c>
      <c r="F50" s="726">
        <f>MAX(TREND(F30:F31,B30:B31,B50),0)</f>
        <v>0</v>
      </c>
      <c r="G50" s="725">
        <f>MAX(TREND(G30:G31,B30:B31,B50),0)</f>
        <v>1.2640351500000016</v>
      </c>
      <c r="H50" s="726">
        <f>MAX(TREND(H30:H31,B30:B31,B50),0)</f>
        <v>0.33033250439999939</v>
      </c>
      <c r="I50" s="725">
        <f>MAX(TREND(I30:I31,B30:B31,B50),0)</f>
        <v>6.6702585285000282</v>
      </c>
      <c r="J50" s="726">
        <f>MAX(TREND(J30:J31,B30:B31,B50),0)</f>
        <v>4.5871874563455037</v>
      </c>
      <c r="K50" s="729">
        <f>IFERROR(IF(INDEX(SafetyGroup,A24,1)=Hwy,FatValue,INDEX(PARAMETERS!$BH$26:$BK$28,1,MATCH(INDEX(SafetyGroup,A24,1),PARAMETERS!$BH$25:$BK$25,0)))*(E50-F50),0)</f>
        <v>0</v>
      </c>
      <c r="L50" s="730">
        <f>IFERROR(IF(INDEX(SafetyGroup,A24,1)=Hwy,SUMPRODUCT(PARAMETERS!$E$64:$E$66,PARAMETERS!$BC$12:$BC$14),INDEX(PARAMETERS!$BH$26:$BK$28,2,MATCH(INDEX(SafetyGroup,A24,1),PARAMETERS!$BH$25:$BK$25,0)))*(G50-H50),0)</f>
        <v>108721.78329276491</v>
      </c>
      <c r="M50" s="802">
        <f>IFERROR(IF(INDEX(SafetyGroup,A24,1)=Hwy,NoInjValue,INDEX(PARAMETERS!$BH$26:$BK$28,3,MATCH(INDEX(SafetyGroup,A24,1),PARAMETERS!$BH$25:$BK$25,0)))*(I50-J50),0)</f>
        <v>6457.5203236790258</v>
      </c>
      <c r="N50" s="369">
        <f t="shared" si="9"/>
        <v>115179.30361644394</v>
      </c>
      <c r="O50" s="370">
        <f t="shared" si="4"/>
        <v>50544.548695288722</v>
      </c>
      <c r="Q50" s="812">
        <f t="shared" si="5"/>
        <v>0</v>
      </c>
      <c r="R50" s="785">
        <f t="shared" si="6"/>
        <v>0.93370264560000216</v>
      </c>
      <c r="S50" s="788">
        <f t="shared" si="7"/>
        <v>2.0830710721545245</v>
      </c>
      <c r="U50" s="385"/>
      <c r="V50" s="389"/>
      <c r="W50" s="389"/>
      <c r="X50" s="389"/>
      <c r="Y50" s="389"/>
      <c r="Z50" s="389"/>
      <c r="AA50" s="389"/>
      <c r="AC50" s="389"/>
      <c r="AD50" s="390"/>
      <c r="AE50" s="389"/>
      <c r="AG50" s="389"/>
      <c r="AH50" s="389"/>
      <c r="AI50" s="389"/>
    </row>
    <row r="51" spans="1:35" x14ac:dyDescent="0.25">
      <c r="B51" s="375">
        <f t="shared" si="8"/>
        <v>2044</v>
      </c>
      <c r="C51" s="401">
        <f>MAX(TREND(C30:C31,B30:B31,B51),0)</f>
        <v>925640</v>
      </c>
      <c r="D51" s="402">
        <f>MAX(TREND(D30:D31,B30:B31,B51),0)</f>
        <v>1013495.5</v>
      </c>
      <c r="E51" s="725">
        <f>MAX(TREND(E30:E31,B30:B31,B51),0)</f>
        <v>0</v>
      </c>
      <c r="F51" s="726">
        <f>MAX(TREND(F30:F31,B30:B31,B51),0)</f>
        <v>0</v>
      </c>
      <c r="G51" s="725">
        <f>MAX(TREND(G30:G31,B30:B31,B51),0)</f>
        <v>1.2773831999999992</v>
      </c>
      <c r="H51" s="726">
        <f>MAX(TREND(H30:H31,B30:B31,B51),0)</f>
        <v>0.33566970959999942</v>
      </c>
      <c r="I51" s="725">
        <f>MAX(TREND(I30:I31,B30:B31,B51),0)</f>
        <v>6.74069560800001</v>
      </c>
      <c r="J51" s="726">
        <f>MAX(TREND(J30:J31,B30:B31,B51),0)</f>
        <v>4.6613029624469959</v>
      </c>
      <c r="K51" s="729">
        <f>IFERROR(IF(INDEX(SafetyGroup,A24,1)=Hwy,FatValue,INDEX(PARAMETERS!$BH$26:$BK$28,1,MATCH(INDEX(SafetyGroup,A24,1),PARAMETERS!$BH$25:$BK$25,0)))*(E51-F51),0)</f>
        <v>0</v>
      </c>
      <c r="L51" s="730">
        <f>IFERROR(IF(INDEX(SafetyGroup,A24,1)=Hwy,SUMPRODUCT(PARAMETERS!$E$64:$E$66,PARAMETERS!$BC$12:$BC$14),INDEX(PARAMETERS!$BH$26:$BK$28,2,MATCH(INDEX(SafetyGroup,A24,1),PARAMETERS!$BH$25:$BK$25,0)))*(G51-H51),0)</f>
        <v>109654.57847808608</v>
      </c>
      <c r="M51" s="802">
        <f>IFERROR(IF(INDEX(SafetyGroup,A24,1)=Hwy,NoInjValue,INDEX(PARAMETERS!$BH$26:$BK$28,3,MATCH(INDEX(SafetyGroup,A24,1),PARAMETERS!$BH$25:$BK$25,0)))*(I51-J51),0)</f>
        <v>6446.1172012143434</v>
      </c>
      <c r="N51" s="369">
        <f t="shared" si="9"/>
        <v>116100.69567930044</v>
      </c>
      <c r="O51" s="370">
        <f t="shared" si="4"/>
        <v>48989.313935763181</v>
      </c>
      <c r="Q51" s="812">
        <f t="shared" si="5"/>
        <v>0</v>
      </c>
      <c r="R51" s="785">
        <f t="shared" si="6"/>
        <v>0.94171349039999974</v>
      </c>
      <c r="S51" s="788">
        <f t="shared" si="7"/>
        <v>2.0793926455530141</v>
      </c>
      <c r="U51" s="407" t="s">
        <v>56</v>
      </c>
      <c r="V51" s="408">
        <f t="shared" ref="V51:AA51" ca="1" si="10">SUM(V30:V49)</f>
        <v>1293707.3459814014</v>
      </c>
      <c r="W51" s="408">
        <f t="shared" ca="1" si="10"/>
        <v>463793.79097521922</v>
      </c>
      <c r="X51" s="408">
        <f t="shared" ca="1" si="10"/>
        <v>155738.3053372913</v>
      </c>
      <c r="Y51" s="408">
        <f t="shared" ca="1" si="10"/>
        <v>22128.91911847415</v>
      </c>
      <c r="Z51" s="408">
        <f t="shared" ca="1" si="10"/>
        <v>3358156.7527588308</v>
      </c>
      <c r="AA51" s="408">
        <f t="shared" ca="1" si="10"/>
        <v>19170775.504377134</v>
      </c>
      <c r="AC51" s="409">
        <f ca="1">SUM(AC30:AC49)</f>
        <v>24464300.618548349</v>
      </c>
      <c r="AD51" s="410"/>
      <c r="AE51" s="409">
        <f ca="1">SUM(AE30:AE49)</f>
        <v>41303294.937939346</v>
      </c>
      <c r="AG51" s="411">
        <f ca="1">SUM(V85:AB85)</f>
        <v>2.1857425085999971</v>
      </c>
      <c r="AH51" s="411">
        <f ca="1">SUM(V119:AB119)</f>
        <v>113.34318322880083</v>
      </c>
      <c r="AI51" s="411">
        <f ca="1">SUM(V153:AB153)</f>
        <v>746.34754818187093</v>
      </c>
    </row>
    <row r="52" spans="1:35" ht="14.25" customHeight="1" x14ac:dyDescent="0.25">
      <c r="B52" s="375">
        <f t="shared" si="8"/>
        <v>2045</v>
      </c>
      <c r="C52" s="401">
        <f>MAX(TREND(C30:C31,B30:B31,B52),0)</f>
        <v>935312.5</v>
      </c>
      <c r="D52" s="402">
        <f>MAX(TREND(D30:D31,B30:B31,B52),0)</f>
        <v>1029610.25</v>
      </c>
      <c r="E52" s="725">
        <f>MAX(TREND(E30:E31,B30:B31,B52),0)</f>
        <v>0</v>
      </c>
      <c r="F52" s="726">
        <f>MAX(TREND(F30:F31,B30:B31,B52),0)</f>
        <v>0</v>
      </c>
      <c r="G52" s="725">
        <f>MAX(TREND(G30:G31,B30:B31,B52),0)</f>
        <v>1.2907312500000003</v>
      </c>
      <c r="H52" s="726">
        <f>MAX(TREND(H30:H31,B30:B31,B52),0)</f>
        <v>0.34100691479999945</v>
      </c>
      <c r="I52" s="725">
        <f>MAX(TREND(I30:I31,B30:B31,B52),0)</f>
        <v>6.8111326875000202</v>
      </c>
      <c r="J52" s="726">
        <f>MAX(TREND(J30:J31,B30:B31,B52),0)</f>
        <v>4.7354184685484881</v>
      </c>
      <c r="K52" s="729">
        <f>IFERROR(IF(INDEX(SafetyGroup,A24,1)=Hwy,FatValue,INDEX(PARAMETERS!$BH$26:$BK$28,1,MATCH(INDEX(SafetyGroup,A24,1),PARAMETERS!$BH$25:$BK$25,0)))*(E52-F52),0)</f>
        <v>0</v>
      </c>
      <c r="L52" s="730">
        <f>IFERROR(IF(INDEX(SafetyGroup,A24,1)=Hwy,SUMPRODUCT(PARAMETERS!$E$64:$E$66,PARAMETERS!$BC$12:$BC$14),INDEX(PARAMETERS!$BH$26:$BK$28,2,MATCH(INDEX(SafetyGroup,A24,1),PARAMETERS!$BH$25:$BK$25,0)))*(G52-H52),0)</f>
        <v>110587.37366340765</v>
      </c>
      <c r="M52" s="802">
        <f>IFERROR(IF(INDEX(SafetyGroup,A24,1)=Hwy,NoInjValue,INDEX(PARAMETERS!$BH$26:$BK$28,3,MATCH(INDEX(SafetyGroup,A24,1),PARAMETERS!$BH$25:$BK$25,0)))*(I52-J52),0)</f>
        <v>6434.7140787497492</v>
      </c>
      <c r="N52" s="369">
        <f t="shared" si="9"/>
        <v>117022.0877421574</v>
      </c>
      <c r="O52" s="370">
        <f t="shared" si="4"/>
        <v>47478.942576829606</v>
      </c>
      <c r="Q52" s="812">
        <f t="shared" si="5"/>
        <v>0</v>
      </c>
      <c r="R52" s="785">
        <f t="shared" si="6"/>
        <v>0.94972433520000088</v>
      </c>
      <c r="S52" s="788">
        <f t="shared" si="7"/>
        <v>2.0757142189515321</v>
      </c>
    </row>
    <row r="53" spans="1:35" ht="15.75" x14ac:dyDescent="0.25">
      <c r="B53" s="385"/>
      <c r="C53" s="386"/>
      <c r="D53" s="386"/>
      <c r="E53" s="386"/>
      <c r="F53" s="386"/>
      <c r="G53" s="388"/>
      <c r="H53" s="388"/>
      <c r="I53" s="388"/>
      <c r="J53" s="388"/>
      <c r="K53" s="388"/>
      <c r="L53" s="388"/>
      <c r="M53" s="388"/>
      <c r="N53" s="388"/>
      <c r="O53" s="389"/>
      <c r="Q53" s="390"/>
      <c r="R53" s="390"/>
      <c r="U53" s="412" t="str">
        <f>IF(VehOp&lt;&gt;"N","","* Vehicle Operating Cost Savings Not Counted")</f>
        <v/>
      </c>
      <c r="AE53" s="437"/>
    </row>
    <row r="54" spans="1:35" x14ac:dyDescent="0.25">
      <c r="B54" s="407" t="s">
        <v>56</v>
      </c>
      <c r="C54" s="413"/>
      <c r="D54" s="414"/>
      <c r="E54" s="414"/>
      <c r="F54" s="414"/>
      <c r="G54" s="414"/>
      <c r="H54" s="414"/>
      <c r="I54" s="414"/>
      <c r="J54" s="414"/>
      <c r="K54" s="414"/>
      <c r="L54" s="414"/>
      <c r="M54" s="415"/>
      <c r="N54" s="414"/>
      <c r="O54" s="409">
        <f>SUM(O33:O52)</f>
        <v>1293707.3459814014</v>
      </c>
      <c r="Q54" s="411">
        <f>SUM(Q33:Q52)</f>
        <v>0</v>
      </c>
      <c r="R54" s="411">
        <f>SUM(R33:R52)</f>
        <v>17.472426192000029</v>
      </c>
      <c r="S54" s="411">
        <f>SUM(S33:S52)</f>
        <v>42.213185433315573</v>
      </c>
    </row>
    <row r="55" spans="1:35" ht="18" x14ac:dyDescent="0.25">
      <c r="B55" s="2"/>
      <c r="C55" s="418"/>
      <c r="D55" s="2"/>
      <c r="E55" s="2"/>
      <c r="F55" s="2"/>
      <c r="G55" s="2"/>
      <c r="H55" s="2"/>
      <c r="I55" s="2"/>
      <c r="J55" s="2"/>
      <c r="K55" s="2"/>
      <c r="L55" s="2"/>
      <c r="M55" s="2"/>
      <c r="N55" s="2"/>
      <c r="O55" s="2"/>
      <c r="U55" s="316" t="s">
        <v>317</v>
      </c>
      <c r="V55"/>
      <c r="W55"/>
      <c r="X55"/>
      <c r="Y55"/>
      <c r="Z55"/>
      <c r="AA55"/>
      <c r="AC55"/>
      <c r="AD55"/>
      <c r="AE55"/>
    </row>
    <row r="56" spans="1:35" x14ac:dyDescent="0.25">
      <c r="A56" s="1">
        <f>MAX($A$1:A55)+1</f>
        <v>2</v>
      </c>
      <c r="B56" s="319" t="str">
        <f>IF(ISBLANK(INDEX(SafetyModelGroup,A56,1)),"Not Used",INDEX(SafetyModelGroup,A56,1))</f>
        <v>SB On-ramp from Ave 280</v>
      </c>
      <c r="C56" s="2"/>
      <c r="D56" s="2"/>
      <c r="E56" s="2"/>
      <c r="F56" s="2"/>
      <c r="G56" s="2"/>
      <c r="H56" s="2"/>
      <c r="I56" s="2"/>
      <c r="J56" s="2"/>
      <c r="K56" s="320"/>
      <c r="L56" s="320"/>
      <c r="M56" s="2"/>
      <c r="N56" s="2"/>
      <c r="O56" s="2"/>
      <c r="U56"/>
      <c r="V56"/>
      <c r="W56"/>
      <c r="X56"/>
      <c r="Y56"/>
      <c r="Z56"/>
      <c r="AA56"/>
      <c r="AC56"/>
      <c r="AD56"/>
      <c r="AE56"/>
    </row>
    <row r="57" spans="1:35" x14ac:dyDescent="0.25">
      <c r="B57" s="2"/>
      <c r="C57" s="1787"/>
      <c r="D57" s="1787"/>
      <c r="E57" s="831"/>
      <c r="F57" s="831"/>
      <c r="G57" s="831"/>
      <c r="H57" s="831"/>
      <c r="I57" s="831"/>
      <c r="J57" s="831"/>
      <c r="K57" s="831"/>
      <c r="L57" s="831"/>
      <c r="M57" s="831"/>
      <c r="N57" s="2"/>
      <c r="O57" s="149"/>
      <c r="U57"/>
      <c r="V57"/>
      <c r="W57"/>
      <c r="X57"/>
      <c r="Y57"/>
      <c r="Z57"/>
      <c r="AA57"/>
      <c r="AC57"/>
      <c r="AD57"/>
      <c r="AE57"/>
    </row>
    <row r="58" spans="1:35" ht="15.75" x14ac:dyDescent="0.25">
      <c r="B58" s="322"/>
      <c r="C58" s="325" t="s">
        <v>271</v>
      </c>
      <c r="D58" s="326"/>
      <c r="E58" s="325" t="s">
        <v>304</v>
      </c>
      <c r="F58" s="326"/>
      <c r="G58" s="325" t="s">
        <v>305</v>
      </c>
      <c r="H58" s="324"/>
      <c r="I58" s="323" t="s">
        <v>306</v>
      </c>
      <c r="J58" s="326"/>
      <c r="K58" s="327" t="s">
        <v>307</v>
      </c>
      <c r="L58" s="323"/>
      <c r="M58" s="328"/>
      <c r="N58" s="329"/>
      <c r="O58" s="330"/>
      <c r="Q58" s="331" t="s">
        <v>308</v>
      </c>
      <c r="R58" s="791"/>
      <c r="S58" s="792"/>
      <c r="U58"/>
      <c r="V58"/>
      <c r="W58"/>
      <c r="X58"/>
      <c r="Y58"/>
      <c r="Z58"/>
      <c r="AA58"/>
      <c r="AC58"/>
      <c r="AD58"/>
      <c r="AE58"/>
    </row>
    <row r="59" spans="1:35" x14ac:dyDescent="0.25">
      <c r="B59" s="335"/>
      <c r="C59" s="338" t="s">
        <v>274</v>
      </c>
      <c r="D59" s="339"/>
      <c r="E59" s="338" t="s">
        <v>309</v>
      </c>
      <c r="F59" s="339"/>
      <c r="G59" s="338" t="s">
        <v>309</v>
      </c>
      <c r="H59" s="337"/>
      <c r="I59" s="336" t="s">
        <v>309</v>
      </c>
      <c r="J59" s="339"/>
      <c r="K59" s="340" t="s">
        <v>203</v>
      </c>
      <c r="L59" s="336"/>
      <c r="M59" s="341"/>
      <c r="N59" s="342"/>
      <c r="O59" s="343"/>
      <c r="Q59" s="784" t="s">
        <v>309</v>
      </c>
      <c r="R59" s="450"/>
      <c r="S59" s="451"/>
      <c r="U59"/>
      <c r="V59"/>
      <c r="W59"/>
      <c r="X59"/>
      <c r="Y59"/>
      <c r="Z59"/>
      <c r="AA59"/>
      <c r="AC59"/>
      <c r="AD59"/>
      <c r="AE59"/>
    </row>
    <row r="60" spans="1:35" x14ac:dyDescent="0.25">
      <c r="B60" s="77" t="s">
        <v>34</v>
      </c>
      <c r="C60" s="348"/>
      <c r="D60" s="349"/>
      <c r="E60" s="348"/>
      <c r="F60" s="349"/>
      <c r="G60" s="723"/>
      <c r="H60" s="349"/>
      <c r="I60" s="348"/>
      <c r="J60" s="349"/>
      <c r="K60" s="350" t="s">
        <v>312</v>
      </c>
      <c r="L60" s="348" t="s">
        <v>313</v>
      </c>
      <c r="M60" s="349" t="s">
        <v>314</v>
      </c>
      <c r="N60" s="351" t="s">
        <v>208</v>
      </c>
      <c r="O60" s="347" t="s">
        <v>39</v>
      </c>
      <c r="Q60" s="793"/>
      <c r="R60" s="797"/>
      <c r="S60" s="795"/>
      <c r="U60" s="322"/>
      <c r="V60" s="52">
        <v>1</v>
      </c>
      <c r="W60" s="52">
        <v>2</v>
      </c>
      <c r="X60" s="52">
        <v>3</v>
      </c>
      <c r="Y60" s="52">
        <v>4</v>
      </c>
      <c r="Z60" s="52">
        <v>5</v>
      </c>
      <c r="AA60" s="52">
        <v>6</v>
      </c>
      <c r="AC60"/>
      <c r="AD60"/>
      <c r="AE60"/>
    </row>
    <row r="61" spans="1:35" x14ac:dyDescent="0.25">
      <c r="B61" s="355"/>
      <c r="C61" s="356" t="s">
        <v>74</v>
      </c>
      <c r="D61" s="357" t="s">
        <v>125</v>
      </c>
      <c r="E61" s="356" t="s">
        <v>74</v>
      </c>
      <c r="F61" s="357" t="s">
        <v>125</v>
      </c>
      <c r="G61" s="724" t="s">
        <v>74</v>
      </c>
      <c r="H61" s="357" t="s">
        <v>125</v>
      </c>
      <c r="I61" s="356" t="s">
        <v>74</v>
      </c>
      <c r="J61" s="357" t="s">
        <v>125</v>
      </c>
      <c r="K61" s="358" t="s">
        <v>47</v>
      </c>
      <c r="L61" s="356" t="s">
        <v>47</v>
      </c>
      <c r="M61" s="357" t="s">
        <v>47</v>
      </c>
      <c r="N61" s="359" t="s">
        <v>48</v>
      </c>
      <c r="O61" s="360" t="s">
        <v>49</v>
      </c>
      <c r="Q61" s="794" t="s">
        <v>310</v>
      </c>
      <c r="R61" s="798" t="s">
        <v>311</v>
      </c>
      <c r="S61" s="796" t="s">
        <v>97</v>
      </c>
      <c r="U61" s="335"/>
      <c r="V61" s="1777" t="str">
        <f t="shared" ref="V61:AA61" si="11">IF(ISBLANK(INDEX(SafetyModelGroup,V60,1)),"Not Used",INDEX(SafetyModelGroup,V60,1))</f>
        <v>SB Off-ramp to Ave 280</v>
      </c>
      <c r="W61" s="1777" t="str">
        <f t="shared" si="11"/>
        <v>SB On-ramp from Ave 280</v>
      </c>
      <c r="X61" s="1777" t="str">
        <f t="shared" si="11"/>
        <v>NB Off-ramp to Ave 280</v>
      </c>
      <c r="Y61" s="1777" t="str">
        <f t="shared" si="11"/>
        <v>NB On-ramp from Ave 280</v>
      </c>
      <c r="Z61" s="1777" t="str">
        <f t="shared" si="11"/>
        <v>NB Mainline</v>
      </c>
      <c r="AA61" s="1777" t="str">
        <f t="shared" si="11"/>
        <v>SB Mainline</v>
      </c>
      <c r="AC61"/>
      <c r="AD61"/>
      <c r="AE61"/>
    </row>
    <row r="62" spans="1:35" x14ac:dyDescent="0.25">
      <c r="B62" s="363">
        <f>SafetyYearFirst</f>
        <v>2026</v>
      </c>
      <c r="C62" s="364">
        <f>INDEX(SafetyData1NB,A56,1)*AnnualFactor</f>
        <v>542390</v>
      </c>
      <c r="D62" s="365">
        <f>INDEX(SafetyData1B,A56,1)*AnnualFactor</f>
        <v>552975</v>
      </c>
      <c r="E62" s="1019" cm="1">
        <f t="array" ref="E62">IFERROR(IF(_xlfn.SINGLE(INDEX(SafetyGroup,A56,1))=Hwy,_xlfn.SINGLE(INDEX(SafetyData1NB,A56,5))*IF(ProjLoc=3,PARAMETERS!$BB$26,PARAMETERS!$AZ$26),_xlfn.SINGLE(INDEX(SafetyData1NB,A56,1))*INDEX(PARAMETERS!$BH$12:$BK$14/10^6,1,MATCH(_xlfn.SINGLE(INDEX(SafetyGroup,A56,1)),PARAMETERS!$BH$11:$BK$11,0)))*AnnualFactor,0)</f>
        <v>0</v>
      </c>
      <c r="F62" s="1020" cm="1">
        <f t="array" ref="F62">IFERROR(IF(_xlfn.SINGLE(INDEX(SafetyGroup,A56,1))=Hwy,_xlfn.SINGLE(INDEX(SafetyData1B,A56,5))*IF(ProjLoc=3,PARAMETERS!$BB$26,PARAMETERS!$AZ$26),_xlfn.SINGLE(INDEX(SafetyData1B,A56,1))*INDEX(PARAMETERS!$BH$12:$BK$14/10^6,1,MATCH(_xlfn.SINGLE(INDEX(SafetyGroup,A56,1)),PARAMETERS!$BH$11:$BK$11,0))*(1-_xlfn.SINGLE(INDEX(SafetyGroup,A56,6))))*AnnualFactor,0)</f>
        <v>0</v>
      </c>
      <c r="G62" s="1019" cm="1">
        <f t="array" ref="G62">IFERROR(IF(_xlfn.SINGLE(INDEX(SafetyGroup,A56,1))=Hwy,(_xlfn.SINGLE(INDEX(SafetyData1NB,A56,5))*IF(ProjLoc=3,PARAMETERS!$BB$33,PARAMETERS!$AZ$33)+_xlfn.SINGLE(INDEX(SafetyData1NB,A56,6))*IF(ProjLoc=3,PARAMETERS!$BB$34,PARAMETERS!$AZ$34)),_xlfn.SINGLE(INDEX(SafetyData1NB,A56,1))*INDEX(PARAMETERS!$BH$12:$BK$14/10^6,2,MATCH(_xlfn.SINGLE(INDEX(SafetyGroup,A56,1)),PARAMETERS!$BH$11:$BK$11,0)))*AnnualFactor,0)</f>
        <v>0.3579774</v>
      </c>
      <c r="H62" s="1020" cm="1">
        <f t="array" ref="H62">IFERROR(IF(_xlfn.SINGLE(INDEX(SafetyGroup,A56,1))=Hwy,(_xlfn.SINGLE(INDEX(SafetyData1B,A56,5))*IF(ProjLoc=3,PARAMETERS!$BB$33,PARAMETERS!$AZ$33)+_xlfn.SINGLE(INDEX(SafetyData1B,A56,6))*IF(ProjLoc=3,PARAMETERS!$BB$34,PARAMETERS!$AZ$34)),_xlfn.SINGLE(INDEX(SafetyData1B,A56,1))*INDEX(PARAMETERS!$BH$12:$BK$14/10^6,2,MATCH(_xlfn.SINGLE(INDEX(SafetyGroup,A56,1)),PARAMETERS!$BH$11:$BK$11,0))*(1-_xlfn.SINGLE(INDEX(SafetyGroup,A56,7))))*AnnualFactor,0)</f>
        <v>8.7591240000000001E-2</v>
      </c>
      <c r="I62" s="1019" cm="1">
        <f t="array" ref="I62">IFERROR(IF(_xlfn.SINGLE(INDEX(SafetyGroup,A56,1))=Hwy,(_xlfn.SINGLE(INDEX(SafetyData1NB,A56,5))*IF(ProjLoc=3,PARAMETERS!$BB$41,PARAMETERS!$AZ$41)+_xlfn.SINGLE(INDEX(SafetyData1NB,A56,6))*IF(ProjLoc=3,PARAMETERS!$BB$42,PARAMETERS!$AZ$42)+_xlfn.SINGLE(INDEX(SafetyData1NB,A56,7))*IF(ProjLoc=3,PARAMETERS!$BB$43,PARAMETERS!$AZ$43)*2),_xlfn.SINGLE(INDEX(SafetyData1NB,A56,1))*INDEX(PARAMETERS!$BH$12:$BK$14/10^6,3,MATCH(_xlfn.SINGLE(INDEX(SafetyGroup,A56,1)),PARAMETERS!$BH$11:$BK$11,0)))*AnnualFactor,0)</f>
        <v>1.3798401600000001</v>
      </c>
      <c r="J62" s="1020" cm="1">
        <f t="array" ref="J62">IFERROR(IF(_xlfn.SINGLE(INDEX(SafetyGroup,A56,1))=Hwy,(_xlfn.SINGLE(INDEX(SafetyData1B,A56,5))*IF(ProjLoc=3,PARAMETERS!$BB$41,PARAMETERS!$AZ$41)+_xlfn.SINGLE(INDEX(SafetyData1B,A56,6))*IF(ProjLoc=3,PARAMETERS!$BB$42,PARAMETERS!$AZ$42)+_xlfn.SINGLE(INDEX(SafetyData1B,A56,7))*IF(ProjLoc=3,PARAMETERS!$BB$43,PARAMETERS!$AZ$43)*2),_xlfn.SINGLE(INDEX(SafetyData1B,A56,1))*INDEX(PARAMETERS!$BH$12:$BK$14/10^6,3,MATCH(_xlfn.SINGLE(INDEX(SafetyGroup,A56,1)),PARAMETERS!$BH$11:$BK$11,0))*(1-_xlfn.SINGLE(INDEX(SafetyGroup,A56,8))))*AnnualFactor,0)</f>
        <v>0.83737889009999988</v>
      </c>
      <c r="K62" s="367">
        <f>IFERROR(IF(INDEX(SafetyGroup,A56,1)=Hwy,FatValue,INDEX(PARAMETERS!$BH$26:$BK$28,1,MATCH(INDEX(SafetyGroup,A56,1),PARAMETERS!$BH$25:$BK$25,0)))*(E62-F62),0)</f>
        <v>0</v>
      </c>
      <c r="L62" s="701">
        <f>IFERROR(IF(INDEX(SafetyGroup,A56,1)=Hwy,SUMPRODUCT(PARAMETERS!$E$64:$E$66,PARAMETERS!$BC$12:$BC$14),INDEX(PARAMETERS!$BH$26:$BK$28,2,MATCH(INDEX(SafetyGroup,A56,1),PARAMETERS!$BH$25:$BK$25,0)))*(G62-H62),0)</f>
        <v>31484.183568947996</v>
      </c>
      <c r="M62" s="832">
        <f>IFERROR(IF(INDEX(SafetyGroup,A56,1)=Hwy,NoInjValue,INDEX(PARAMETERS!$BH$26:$BK$28,3,MATCH(INDEX(SafetyGroup,A56,1),PARAMETERS!$BH$25:$BK$25,0)))*(I62-J62),0)</f>
        <v>1681.6299366900007</v>
      </c>
      <c r="N62" s="369">
        <f>SUM(K62:M62)</f>
        <v>33165.813505637998</v>
      </c>
      <c r="O62" s="370">
        <f>N62/(1+DiscRate)^(B62-YearCurrent)</f>
        <v>28350.276383529639</v>
      </c>
      <c r="Q62" s="809">
        <f>E62-F62</f>
        <v>0</v>
      </c>
      <c r="R62" s="786">
        <f>G62-H62</f>
        <v>0.27038615999999999</v>
      </c>
      <c r="S62" s="787">
        <f>I62-J62</f>
        <v>0.54246126990000021</v>
      </c>
      <c r="U62" s="77" t="s">
        <v>34</v>
      </c>
      <c r="V62" s="1778"/>
      <c r="W62" s="1778"/>
      <c r="X62" s="1778"/>
      <c r="Y62" s="1778"/>
      <c r="Z62" s="1778"/>
      <c r="AA62" s="1778"/>
      <c r="AC62"/>
      <c r="AD62"/>
      <c r="AE62"/>
    </row>
    <row r="63" spans="1:35" x14ac:dyDescent="0.25">
      <c r="B63" s="379">
        <f>SafetyYearLast</f>
        <v>2046</v>
      </c>
      <c r="C63" s="380">
        <f>INDEX(SafetyData20NB,A56,1)*AnnualFactor</f>
        <v>750440</v>
      </c>
      <c r="D63" s="381">
        <f>INDEX(SafetyData20B,A56,1)*AnnualFactor</f>
        <v>765040</v>
      </c>
      <c r="E63" s="1021" cm="1">
        <f t="array" ref="E63">IFERROR(IF(_xlfn.SINGLE(INDEX(SafetyGroup,A56,1))=Hwy,_xlfn.SINGLE(INDEX(SafetyData20NB,A56,5))*IF(ProjLoc=3,PARAMETERS!$BB$26,PARAMETERS!$AZ$26),_xlfn.SINGLE(INDEX(SafetyData20NB,A56,1))*INDEX(PARAMETERS!$BH$12:$BK$14/10^6,1,MATCH(_xlfn.SINGLE(INDEX(SafetyGroup,A56,1)),PARAMETERS!$BH$11:$BK$11,0)))*AnnualFactor,0)</f>
        <v>0</v>
      </c>
      <c r="F63" s="1022" cm="1">
        <f t="array" ref="F63">IFERROR(IF(_xlfn.SINGLE(INDEX(SafetyGroup,A56,1))=Hwy,_xlfn.SINGLE(INDEX(SafetyData20B,A56,5))*IF(ProjLoc=3,PARAMETERS!$BB$26,PARAMETERS!$AZ$26),_xlfn.SINGLE(INDEX(SafetyData20B,A56,1))*INDEX(PARAMETERS!$BH$12:$BK$14/10^6,1,MATCH(_xlfn.SINGLE(INDEX(SafetyGroup,A56,1)),PARAMETERS!$BH$11:$BK$11,0))*(1-_xlfn.SINGLE(INDEX(SafetyGroup,A56,6))))*AnnualFactor,0)</f>
        <v>0</v>
      </c>
      <c r="G63" s="1021" cm="1">
        <f t="array" ref="G63">IFERROR(IF(_xlfn.SINGLE(INDEX(SafetyGroup,A56,1))=Hwy,(_xlfn.SINGLE(INDEX(SafetyData20NB,A56,5))*IF(ProjLoc=3,PARAMETERS!$BB$33,PARAMETERS!$AZ$33)+_xlfn.SINGLE(INDEX(SafetyData20NB,A56,6))*IF(ProjLoc=3,PARAMETERS!$BB$34,PARAMETERS!$AZ$34)),_xlfn.SINGLE(INDEX(SafetyData20NB,A56,1))*INDEX(PARAMETERS!$BH$12:$BK$14/10^6,2,MATCH(_xlfn.SINGLE(INDEX(SafetyGroup,A56,1)),PARAMETERS!$BH$11:$BK$11,0)))*AnnualFactor,0)</f>
        <v>0.49529039999999996</v>
      </c>
      <c r="H63" s="1022" cm="1">
        <f t="array" ref="H63">IFERROR(IF(_xlfn.SINGLE(INDEX(SafetyGroup,A56,1))=Hwy,(_xlfn.SINGLE(INDEX(SafetyData20B,A56,5))*IF(ProjLoc=3,PARAMETERS!$BB$33,PARAMETERS!$AZ$33)+_xlfn.SINGLE(INDEX(SafetyData20B,A56,6))*IF(ProjLoc=3,PARAMETERS!$BB$34,PARAMETERS!$AZ$34)),_xlfn.SINGLE(INDEX(SafetyData20B,A56,1))*INDEX(PARAMETERS!$BH$12:$BK$14/10^6,2,MATCH(_xlfn.SINGLE(INDEX(SafetyGroup,A56,1)),PARAMETERS!$BH$11:$BK$11,0))*(1-_xlfn.SINGLE(INDEX(SafetyGroup,A56,7))))*AnnualFactor,0)</f>
        <v>0.121182336</v>
      </c>
      <c r="I63" s="1021" cm="1">
        <f t="array" ref="I63">IFERROR(IF(_xlfn.SINGLE(INDEX(SafetyGroup,A56,1))=Hwy,(_xlfn.SINGLE(INDEX(SafetyData20NB,A56,5))*IF(ProjLoc=3,PARAMETERS!$BB$41,PARAMETERS!$AZ$41)+_xlfn.SINGLE(INDEX(SafetyData20NB,A56,6))*IF(ProjLoc=3,PARAMETERS!$BB$42,PARAMETERS!$AZ$42)+_xlfn.SINGLE(INDEX(SafetyData20NB,A56,7))*IF(ProjLoc=3,PARAMETERS!$BB$43,PARAMETERS!$AZ$43)*2),_xlfn.SINGLE(INDEX(SafetyData20NB,A56,1))*INDEX(PARAMETERS!$BH$12:$BK$14/10^6,3,MATCH(_xlfn.SINGLE(INDEX(SafetyGroup,A56,1)),PARAMETERS!$BH$11:$BK$11,0)))*AnnualFactor,0)</f>
        <v>1.9091193600000003</v>
      </c>
      <c r="J63" s="1022" cm="1">
        <f t="array" ref="J63">IFERROR(IF(_xlfn.SINGLE(INDEX(SafetyGroup,A56,1))=Hwy,(_xlfn.SINGLE(INDEX(SafetyData20B,A56,5))*IF(ProjLoc=3,PARAMETERS!$BB$41,PARAMETERS!$AZ$41)+_xlfn.SINGLE(INDEX(SafetyData20B,A56,6))*IF(ProjLoc=3,PARAMETERS!$BB$42,PARAMETERS!$AZ$42)+_xlfn.SINGLE(INDEX(SafetyData20B,A56,7))*IF(ProjLoc=3,PARAMETERS!$BB$43,PARAMETERS!$AZ$43)*2),_xlfn.SINGLE(INDEX(SafetyData20B,A56,1))*INDEX(PARAMETERS!$BH$12:$BK$14/10^6,3,MATCH(_xlfn.SINGLE(INDEX(SafetyGroup,A56,1)),PARAMETERS!$BH$11:$BK$11,0))*(1-_xlfn.SINGLE(INDEX(SafetyGroup,A56,8))))*AnnualFactor,0)</f>
        <v>1.1585123126400001</v>
      </c>
      <c r="K63" s="782">
        <f>IFERROR(IF(INDEX(SafetyGroup,A56,1)=Hwy,FatValue,INDEX(PARAMETERS!$BH$26:$BK$28,1,MATCH(INDEX(SafetyGroup,A56,1),PARAMETERS!$BH$25:$BK$25,0)))*(E63-F63),0)</f>
        <v>0</v>
      </c>
      <c r="L63" s="833">
        <f>IFERROR(IF(INDEX(SafetyGroup,A56,1)=Hwy,SUMPRODUCT(PARAMETERS!$E$64:$E$66,PARAMETERS!$BC$12:$BC$14),INDEX(PARAMETERS!$BH$26:$BK$28,2,MATCH(INDEX(SafetyGroup,A56,1),PARAMETERS!$BH$25:$BK$25,0)))*(G63-H63),0)</f>
        <v>43561.722839659189</v>
      </c>
      <c r="M63" s="830">
        <f>IFERROR(IF(INDEX(SafetyGroup,A56,1)=Hwy,NoInjValue,INDEX(PARAMETERS!$BH$26:$BK$28,3,MATCH(INDEX(SafetyGroup,A56,1),PARAMETERS!$BH$25:$BK$25,0)))*(I63-J63),0)</f>
        <v>2326.8818468160007</v>
      </c>
      <c r="N63" s="369">
        <f>SUM(K63:M63)</f>
        <v>45888.604686475192</v>
      </c>
      <c r="O63" s="370">
        <f>N63/(1+DiscRate)^(B63-YearCurrent)</f>
        <v>17902.130115882308</v>
      </c>
      <c r="Q63" s="810">
        <f>E63-F63</f>
        <v>0</v>
      </c>
      <c r="R63" s="789">
        <f>G63-H63</f>
        <v>0.37410806399999996</v>
      </c>
      <c r="S63" s="790">
        <f>I63-J63</f>
        <v>0.75060704736000017</v>
      </c>
      <c r="U63" s="355"/>
      <c r="V63" s="1779"/>
      <c r="W63" s="1779"/>
      <c r="X63" s="1779"/>
      <c r="Y63" s="1779"/>
      <c r="Z63" s="1779"/>
      <c r="AA63" s="1779"/>
      <c r="AC63"/>
      <c r="AD63"/>
      <c r="AE63"/>
    </row>
    <row r="64" spans="1:35" x14ac:dyDescent="0.25">
      <c r="B64" s="385"/>
      <c r="C64" s="388"/>
      <c r="D64" s="388"/>
      <c r="E64" s="388"/>
      <c r="F64" s="388"/>
      <c r="G64" s="434"/>
      <c r="H64" s="434"/>
      <c r="I64" s="434"/>
      <c r="J64" s="434"/>
      <c r="K64" s="388"/>
      <c r="L64" s="388"/>
      <c r="M64" s="388"/>
      <c r="N64" s="388"/>
      <c r="O64" s="389"/>
      <c r="Q64" s="391"/>
      <c r="R64" s="391"/>
      <c r="S64" s="391"/>
      <c r="U64" s="375">
        <f>YearOpen</f>
        <v>2026</v>
      </c>
      <c r="V64" s="378">
        <f t="shared" ref="V64:V83" ca="1" si="12">OFFSET($Q9,MATCH(V$60,$A:$A),0)</f>
        <v>0</v>
      </c>
      <c r="W64" s="378">
        <f t="shared" ref="W64:AA73" ca="1" si="13">OFFSET($Q9,MATCH(W$60,$A:$A),0)</f>
        <v>0</v>
      </c>
      <c r="X64" s="378">
        <f t="shared" ca="1" si="13"/>
        <v>0</v>
      </c>
      <c r="Y64" s="378">
        <f t="shared" ca="1" si="13"/>
        <v>0</v>
      </c>
      <c r="Z64" s="378">
        <f t="shared" ca="1" si="13"/>
        <v>0</v>
      </c>
      <c r="AA64" s="378">
        <f t="shared" ca="1" si="13"/>
        <v>9.359233274999923E-2</v>
      </c>
      <c r="AC64"/>
      <c r="AD64"/>
      <c r="AE64"/>
    </row>
    <row r="65" spans="2:31" x14ac:dyDescent="0.25">
      <c r="B65" s="375">
        <f>YearOpen</f>
        <v>2026</v>
      </c>
      <c r="C65" s="401">
        <f>MAX(TREND(C62:C63,B62:B63,B65),0)</f>
        <v>542390</v>
      </c>
      <c r="D65" s="402">
        <f>MAX(TREND(D62:D63,B62:B63,B65),0)</f>
        <v>552975</v>
      </c>
      <c r="E65" s="725">
        <f>MAX(TREND(E62:E63,B62:B63,B65),0)</f>
        <v>0</v>
      </c>
      <c r="F65" s="726">
        <f>MAX(TREND(F62:F63,B62:B63,B65),0)</f>
        <v>0</v>
      </c>
      <c r="G65" s="725">
        <f>MAX(TREND(G62:G63,B62:B63,B65),0)</f>
        <v>0.35797739999999934</v>
      </c>
      <c r="H65" s="726">
        <f>MAX(TREND(H62:H63,B62:B63,B65),0)</f>
        <v>8.759124000000007E-2</v>
      </c>
      <c r="I65" s="725">
        <f>MAX(TREND(I62:I63,B62:B63,B65),0)</f>
        <v>1.3798401600000005</v>
      </c>
      <c r="J65" s="726">
        <f>MAX(TREND(J62:J63,B62:B63,B65),0)</f>
        <v>0.83737889009999833</v>
      </c>
      <c r="K65" s="729">
        <f>IFERROR(IF(INDEX(SafetyGroup,A56,1)=Hwy,FatValue,INDEX(PARAMETERS!$BH$26:$BK$28,1,MATCH(INDEX(SafetyGroup,A56,1),PARAMETERS!$BH$25:$BK$25,0)))*(E65-F65),0)</f>
        <v>0</v>
      </c>
      <c r="L65" s="728">
        <f>IFERROR(IF(INDEX(SafetyGroup,A56,1)=Hwy,SUMPRODUCT(PARAMETERS!$E$64:$E$66,PARAMETERS!$BC$12:$BC$14),INDEX(PARAMETERS!$BH$26:$BK$28,2,MATCH(INDEX(SafetyGroup,A56,1),PARAMETERS!$BH$25:$BK$25,0)))*(G65-H65),0)</f>
        <v>31484.183568947912</v>
      </c>
      <c r="M65" s="802">
        <f>IFERROR(IF(INDEX(SafetyGroup,A56,1)=Hwy,NoInjValue,INDEX(PARAMETERS!$BH$26:$BK$28,3,MATCH(INDEX(SafetyGroup,A56,1),PARAMETERS!$BH$25:$BK$25,0)))*(I65-J65),0)</f>
        <v>1681.6299366900068</v>
      </c>
      <c r="N65" s="369">
        <f>SUM(K65:M65)</f>
        <v>33165.813505637918</v>
      </c>
      <c r="O65" s="370">
        <f t="shared" ref="O65:O84" si="14">N65/(1+DiscRate)^(B65-YearCurrent)</f>
        <v>28350.27638352957</v>
      </c>
      <c r="Q65" s="811">
        <f>E65-F65</f>
        <v>0</v>
      </c>
      <c r="R65" s="786">
        <f>G65-H65</f>
        <v>0.27038615999999926</v>
      </c>
      <c r="S65" s="787">
        <f>I65-J65</f>
        <v>0.54246126990000221</v>
      </c>
      <c r="U65" s="375">
        <f>U64+1</f>
        <v>2027</v>
      </c>
      <c r="V65" s="378">
        <f t="shared" ca="1" si="12"/>
        <v>0</v>
      </c>
      <c r="W65" s="378">
        <f t="shared" ca="1" si="13"/>
        <v>0</v>
      </c>
      <c r="X65" s="378">
        <f t="shared" ca="1" si="13"/>
        <v>0</v>
      </c>
      <c r="Y65" s="378">
        <f t="shared" ca="1" si="13"/>
        <v>0</v>
      </c>
      <c r="Z65" s="378">
        <f t="shared" ca="1" si="13"/>
        <v>0</v>
      </c>
      <c r="AA65" s="378">
        <f t="shared" ca="1" si="13"/>
        <v>9.5244416189999903E-2</v>
      </c>
      <c r="AC65"/>
      <c r="AD65"/>
      <c r="AE65"/>
    </row>
    <row r="66" spans="2:31" x14ac:dyDescent="0.25">
      <c r="B66" s="375">
        <f>B65+1</f>
        <v>2027</v>
      </c>
      <c r="C66" s="401">
        <f>MAX(TREND(C62:C63,B62:B63,B66),0)</f>
        <v>552792.5</v>
      </c>
      <c r="D66" s="402">
        <f>MAX(TREND(D62:D63,B62:B63,B66),0)</f>
        <v>563578.25</v>
      </c>
      <c r="E66" s="725">
        <f>MAX(TREND(E62:E63,B62:B63,B66),0)</f>
        <v>0</v>
      </c>
      <c r="F66" s="726">
        <f>MAX(TREND(F62:F63,B62:B63,B66),0)</f>
        <v>0</v>
      </c>
      <c r="G66" s="725">
        <f>MAX(TREND(G62:G63,B62:B63,B66),0)</f>
        <v>0.36484304999999928</v>
      </c>
      <c r="H66" s="726">
        <f>MAX(TREND(H62:H63,B62:B63,B66),0)</f>
        <v>8.9270794800000441E-2</v>
      </c>
      <c r="I66" s="725">
        <f>MAX(TREND(I62:I63,B62:B63,B66),0)</f>
        <v>1.4063041200000015</v>
      </c>
      <c r="J66" s="726">
        <f>MAX(TREND(J62:J63,B62:B63,B66),0)</f>
        <v>0.85343556122700193</v>
      </c>
      <c r="K66" s="729">
        <f>IFERROR(IF(INDEX(SafetyGroup,A56,1)=Hwy,FatValue,INDEX(PARAMETERS!$BH$26:$BK$28,1,MATCH(INDEX(SafetyGroup,A56,1),PARAMETERS!$BH$25:$BK$25,0)))*(E66-F66),0)</f>
        <v>0</v>
      </c>
      <c r="L66" s="730">
        <f>IFERROR(IF(INDEX(SafetyGroup,A56,1)=Hwy,SUMPRODUCT(PARAMETERS!$E$64:$E$66,PARAMETERS!$BC$12:$BC$14),INDEX(PARAMETERS!$BH$26:$BK$28,2,MATCH(INDEX(SafetyGroup,A56,1),PARAMETERS!$BH$25:$BK$25,0)))*(G66-H66),0)</f>
        <v>32088.060532483421</v>
      </c>
      <c r="M66" s="802">
        <f>IFERROR(IF(INDEX(SafetyGroup,A56,1)=Hwy,NoInjValue,INDEX(PARAMETERS!$BH$26:$BK$28,3,MATCH(INDEX(SafetyGroup,A56,1),PARAMETERS!$BH$25:$BK$25,0)))*(I66-J66),0)</f>
        <v>1713.8925321962986</v>
      </c>
      <c r="N66" s="369">
        <f>SUM(K66:M66)</f>
        <v>33801.953064679721</v>
      </c>
      <c r="O66" s="370">
        <f t="shared" si="14"/>
        <v>27782.741485267601</v>
      </c>
      <c r="Q66" s="812">
        <f t="shared" ref="Q66:Q84" si="15">E66-F66</f>
        <v>0</v>
      </c>
      <c r="R66" s="785">
        <f t="shared" ref="R66:R84" si="16">G66-H66</f>
        <v>0.27557225519999884</v>
      </c>
      <c r="S66" s="788">
        <f t="shared" ref="S66:S84" si="17">I66-J66</f>
        <v>0.55286855877299956</v>
      </c>
      <c r="U66" s="375">
        <f t="shared" ref="U66:U83" si="18">U65+1</f>
        <v>2028</v>
      </c>
      <c r="V66" s="378">
        <f t="shared" ca="1" si="12"/>
        <v>0</v>
      </c>
      <c r="W66" s="378">
        <f t="shared" ca="1" si="13"/>
        <v>0</v>
      </c>
      <c r="X66" s="378">
        <f t="shared" ca="1" si="13"/>
        <v>0</v>
      </c>
      <c r="Y66" s="378">
        <f t="shared" ca="1" si="13"/>
        <v>0</v>
      </c>
      <c r="Z66" s="378">
        <f t="shared" ca="1" si="13"/>
        <v>0</v>
      </c>
      <c r="AA66" s="378">
        <f t="shared" ca="1" si="13"/>
        <v>9.6896499630000577E-2</v>
      </c>
      <c r="AC66"/>
      <c r="AD66"/>
      <c r="AE66"/>
    </row>
    <row r="67" spans="2:31" x14ac:dyDescent="0.25">
      <c r="B67" s="375">
        <f t="shared" ref="B67:B84" si="19">B66+1</f>
        <v>2028</v>
      </c>
      <c r="C67" s="401">
        <f>MAX(TREND(C62:C63,B62:B63,B67),0)</f>
        <v>563195</v>
      </c>
      <c r="D67" s="402">
        <f>MAX(TREND(D62:D63,B62:B63,B67),0)</f>
        <v>574181.5</v>
      </c>
      <c r="E67" s="725">
        <f>MAX(TREND(E62:E63,B62:B63,B67),0)</f>
        <v>0</v>
      </c>
      <c r="F67" s="726">
        <f>MAX(TREND(F62:F63,B62:B63,B67),0)</f>
        <v>0</v>
      </c>
      <c r="G67" s="725">
        <f>MAX(TREND(G62:G63,B62:B63,B67),0)</f>
        <v>0.37170869999999923</v>
      </c>
      <c r="H67" s="726">
        <f>MAX(TREND(H62:H63,B62:B63,B67),0)</f>
        <v>9.0950349600000369E-2</v>
      </c>
      <c r="I67" s="725">
        <f>MAX(TREND(I62:I63,B62:B63,B67),0)</f>
        <v>1.4327680800000024</v>
      </c>
      <c r="J67" s="726">
        <f>MAX(TREND(J62:J63,B62:B63,B67),0)</f>
        <v>0.86949223235399842</v>
      </c>
      <c r="K67" s="729">
        <f>IFERROR(IF(INDEX(SafetyGroup,A56,1)=Hwy,FatValue,INDEX(PARAMETERS!$BH$26:$BK$28,1,MATCH(INDEX(SafetyGroup,A56,1),PARAMETERS!$BH$25:$BK$25,0)))*(E67-F67),0)</f>
        <v>0</v>
      </c>
      <c r="L67" s="730">
        <f>IFERROR(IF(INDEX(SafetyGroup,A56,1)=Hwy,SUMPRODUCT(PARAMETERS!$E$64:$E$66,PARAMETERS!$BC$12:$BC$14),INDEX(PARAMETERS!$BH$26:$BK$28,2,MATCH(INDEX(SafetyGroup,A56,1),PARAMETERS!$BH$25:$BK$25,0)))*(G67-H67),0)</f>
        <v>32691.937496018985</v>
      </c>
      <c r="M67" s="802">
        <f>IFERROR(IF(INDEX(SafetyGroup,A56,1)=Hwy,NoInjValue,INDEX(PARAMETERS!$BH$26:$BK$28,3,MATCH(INDEX(SafetyGroup,A56,1),PARAMETERS!$BH$25:$BK$25,0)))*(I67-J67),0)</f>
        <v>1746.1551277026124</v>
      </c>
      <c r="N67" s="369">
        <f>SUM(K67:M67)</f>
        <v>34438.092623721597</v>
      </c>
      <c r="O67" s="370">
        <f t="shared" si="14"/>
        <v>27216.924838967363</v>
      </c>
      <c r="Q67" s="812">
        <f t="shared" si="15"/>
        <v>0</v>
      </c>
      <c r="R67" s="785">
        <f t="shared" si="16"/>
        <v>0.28075835039999886</v>
      </c>
      <c r="S67" s="788">
        <f t="shared" si="17"/>
        <v>0.56327584764600402</v>
      </c>
      <c r="U67" s="375">
        <f t="shared" si="18"/>
        <v>2029</v>
      </c>
      <c r="V67" s="378">
        <f t="shared" ca="1" si="12"/>
        <v>0</v>
      </c>
      <c r="W67" s="378">
        <f t="shared" ca="1" si="13"/>
        <v>0</v>
      </c>
      <c r="X67" s="378">
        <f t="shared" ca="1" si="13"/>
        <v>0</v>
      </c>
      <c r="Y67" s="378">
        <f t="shared" ca="1" si="13"/>
        <v>0</v>
      </c>
      <c r="Z67" s="378">
        <f t="shared" ca="1" si="13"/>
        <v>0</v>
      </c>
      <c r="AA67" s="378">
        <f t="shared" ca="1" si="13"/>
        <v>9.8548583069999474E-2</v>
      </c>
      <c r="AC67"/>
      <c r="AD67"/>
      <c r="AE67"/>
    </row>
    <row r="68" spans="2:31" x14ac:dyDescent="0.25">
      <c r="B68" s="375">
        <f t="shared" si="19"/>
        <v>2029</v>
      </c>
      <c r="C68" s="401">
        <f>MAX(TREND(C62:C63,B62:B63,B68),0)</f>
        <v>573597.5</v>
      </c>
      <c r="D68" s="402">
        <f>MAX(TREND(D62:D63,B62:B63,B68),0)</f>
        <v>584784.75</v>
      </c>
      <c r="E68" s="725">
        <f>MAX(TREND(E62:E63,B62:B63,B68),0)</f>
        <v>0</v>
      </c>
      <c r="F68" s="726">
        <f>MAX(TREND(F62:F63,B62:B63,B68),0)</f>
        <v>0</v>
      </c>
      <c r="G68" s="725">
        <f>MAX(TREND(G62:G63,B62:B63,B68),0)</f>
        <v>0.37857434999999917</v>
      </c>
      <c r="H68" s="726">
        <f>MAX(TREND(H62:H63,B62:B63,B68),0)</f>
        <v>9.2629904400000296E-2</v>
      </c>
      <c r="I68" s="725">
        <f>MAX(TREND(I62:I63,B62:B63,B68),0)</f>
        <v>1.4592320400000034</v>
      </c>
      <c r="J68" s="726">
        <f>MAX(TREND(J62:J63,B62:B63,B68),0)</f>
        <v>0.88554890348100201</v>
      </c>
      <c r="K68" s="729">
        <f>IFERROR(IF(INDEX(SafetyGroup,A56,1)=Hwy,FatValue,INDEX(PARAMETERS!$BH$26:$BK$28,1,MATCH(INDEX(SafetyGroup,A56,1),PARAMETERS!$BH$25:$BK$25,0)))*(E68-F68),0)</f>
        <v>0</v>
      </c>
      <c r="L68" s="730">
        <f>IFERROR(IF(INDEX(SafetyGroup,A56,1)=Hwy,SUMPRODUCT(PARAMETERS!$E$64:$E$66,PARAMETERS!$BC$12:$BC$14),INDEX(PARAMETERS!$BH$26:$BK$28,2,MATCH(INDEX(SafetyGroup,A56,1),PARAMETERS!$BH$25:$BK$25,0)))*(G68-H68),0)</f>
        <v>33295.814459554545</v>
      </c>
      <c r="M68" s="802">
        <f>IFERROR(IF(INDEX(SafetyGroup,A56,1)=Hwy,NoInjValue,INDEX(PARAMETERS!$BH$26:$BK$28,3,MATCH(INDEX(SafetyGroup,A56,1),PARAMETERS!$BH$25:$BK$25,0)))*(I68-J68),0)</f>
        <v>1778.4177232089044</v>
      </c>
      <c r="N68" s="369">
        <f t="shared" ref="N68:N84" si="20">SUM(K68:M68)</f>
        <v>35074.232182763451</v>
      </c>
      <c r="O68" s="370">
        <f t="shared" si="14"/>
        <v>26653.53382006703</v>
      </c>
      <c r="Q68" s="812">
        <f t="shared" si="15"/>
        <v>0</v>
      </c>
      <c r="R68" s="785">
        <f t="shared" si="16"/>
        <v>0.28594444559999888</v>
      </c>
      <c r="S68" s="788">
        <f t="shared" si="17"/>
        <v>0.57368313651900138</v>
      </c>
      <c r="U68" s="375">
        <f t="shared" si="18"/>
        <v>2030</v>
      </c>
      <c r="V68" s="378">
        <f t="shared" ca="1" si="12"/>
        <v>0</v>
      </c>
      <c r="W68" s="378">
        <f t="shared" ca="1" si="13"/>
        <v>0</v>
      </c>
      <c r="X68" s="378">
        <f t="shared" ca="1" si="13"/>
        <v>0</v>
      </c>
      <c r="Y68" s="378">
        <f t="shared" ca="1" si="13"/>
        <v>0</v>
      </c>
      <c r="Z68" s="378">
        <f t="shared" ca="1" si="13"/>
        <v>0</v>
      </c>
      <c r="AA68" s="378">
        <f t="shared" ca="1" si="13"/>
        <v>0.10020066651000015</v>
      </c>
      <c r="AC68"/>
      <c r="AD68"/>
      <c r="AE68"/>
    </row>
    <row r="69" spans="2:31" x14ac:dyDescent="0.25">
      <c r="B69" s="375">
        <f t="shared" si="19"/>
        <v>2030</v>
      </c>
      <c r="C69" s="401">
        <f>MAX(TREND(C62:C63,B62:B63,B69),0)</f>
        <v>584000</v>
      </c>
      <c r="D69" s="402">
        <f>MAX(TREND(D62:D63,B62:B63,B69),0)</f>
        <v>595388</v>
      </c>
      <c r="E69" s="725">
        <f>MAX(TREND(E62:E63,B62:B63,B69),0)</f>
        <v>0</v>
      </c>
      <c r="F69" s="726">
        <f>MAX(TREND(F62:F63,B62:B63,B69),0)</f>
        <v>0</v>
      </c>
      <c r="G69" s="725">
        <f>MAX(TREND(G62:G63,B62:B63,B69),0)</f>
        <v>0.38543999999999912</v>
      </c>
      <c r="H69" s="726">
        <f>MAX(TREND(H62:H63,B62:B63,B69),0)</f>
        <v>9.4309459200000223E-2</v>
      </c>
      <c r="I69" s="725">
        <f>MAX(TREND(I62:I63,B62:B63,B69),0)</f>
        <v>1.4856959999999972</v>
      </c>
      <c r="J69" s="726">
        <f>MAX(TREND(J62:J63,B62:B63,B69),0)</f>
        <v>0.90160557460799851</v>
      </c>
      <c r="K69" s="729">
        <f>IFERROR(IF(INDEX(SafetyGroup,A56,1)=Hwy,FatValue,INDEX(PARAMETERS!$BH$26:$BK$28,1,MATCH(INDEX(SafetyGroup,A56,1),PARAMETERS!$BH$25:$BK$25,0)))*(E69-F69),0)</f>
        <v>0</v>
      </c>
      <c r="L69" s="730">
        <f>IFERROR(IF(INDEX(SafetyGroup,A56,1)=Hwy,SUMPRODUCT(PARAMETERS!$E$64:$E$66,PARAMETERS!$BC$12:$BC$14),INDEX(PARAMETERS!$BH$26:$BK$28,2,MATCH(INDEX(SafetyGroup,A56,1),PARAMETERS!$BH$25:$BK$25,0)))*(G69-H69),0)</f>
        <v>33899.691423090109</v>
      </c>
      <c r="M69" s="802">
        <f>IFERROR(IF(INDEX(SafetyGroup,A56,1)=Hwy,NoInjValue,INDEX(PARAMETERS!$BH$26:$BK$28,3,MATCH(INDEX(SafetyGroup,A56,1),PARAMETERS!$BH$25:$BK$25,0)))*(I69-J69),0)</f>
        <v>1810.6803187151961</v>
      </c>
      <c r="N69" s="369">
        <f t="shared" si="20"/>
        <v>35710.371741805306</v>
      </c>
      <c r="O69" s="370">
        <f t="shared" si="14"/>
        <v>26093.218848716766</v>
      </c>
      <c r="Q69" s="812">
        <f t="shared" si="15"/>
        <v>0</v>
      </c>
      <c r="R69" s="785">
        <f t="shared" si="16"/>
        <v>0.29113054079999889</v>
      </c>
      <c r="S69" s="788">
        <f t="shared" si="17"/>
        <v>0.58409042539199874</v>
      </c>
      <c r="U69" s="375">
        <f t="shared" si="18"/>
        <v>2031</v>
      </c>
      <c r="V69" s="378">
        <f t="shared" ca="1" si="12"/>
        <v>0</v>
      </c>
      <c r="W69" s="378">
        <f t="shared" ca="1" si="13"/>
        <v>0</v>
      </c>
      <c r="X69" s="378">
        <f t="shared" ca="1" si="13"/>
        <v>0</v>
      </c>
      <c r="Y69" s="378">
        <f t="shared" ca="1" si="13"/>
        <v>0</v>
      </c>
      <c r="Z69" s="378">
        <f t="shared" ca="1" si="13"/>
        <v>0</v>
      </c>
      <c r="AA69" s="378">
        <f t="shared" ca="1" si="13"/>
        <v>0.10185274994999993</v>
      </c>
      <c r="AC69"/>
      <c r="AD69"/>
      <c r="AE69"/>
    </row>
    <row r="70" spans="2:31" x14ac:dyDescent="0.25">
      <c r="B70" s="375">
        <f t="shared" si="19"/>
        <v>2031</v>
      </c>
      <c r="C70" s="401">
        <f>MAX(TREND(C62:C63,B62:B63,B70),0)</f>
        <v>594402.5</v>
      </c>
      <c r="D70" s="402">
        <f>MAX(TREND(D62:D63,B62:B63,B70),0)</f>
        <v>605991.25</v>
      </c>
      <c r="E70" s="725">
        <f>MAX(TREND(E62:E63,B62:B63,B70),0)</f>
        <v>0</v>
      </c>
      <c r="F70" s="726">
        <f>MAX(TREND(F62:F63,B62:B63,B70),0)</f>
        <v>0</v>
      </c>
      <c r="G70" s="725">
        <f>MAX(TREND(G62:G63,B62:B63,B70),0)</f>
        <v>0.39230565000000084</v>
      </c>
      <c r="H70" s="726">
        <f>MAX(TREND(H62:H63,B62:B63,B70),0)</f>
        <v>9.598901400000015E-2</v>
      </c>
      <c r="I70" s="725">
        <f>MAX(TREND(I62:I63,B62:B63,B70),0)</f>
        <v>1.5121599599999982</v>
      </c>
      <c r="J70" s="726">
        <f>MAX(TREND(J62:J63,B62:B63,B70),0)</f>
        <v>0.9176622457350021</v>
      </c>
      <c r="K70" s="729">
        <f>IFERROR(IF(INDEX(SafetyGroup,A56,1)=Hwy,FatValue,INDEX(PARAMETERS!$BH$26:$BK$28,1,MATCH(INDEX(SafetyGroup,A56,1),PARAMETERS!$BH$25:$BK$25,0)))*(E70-F70),0)</f>
        <v>0</v>
      </c>
      <c r="L70" s="730">
        <f>IFERROR(IF(INDEX(SafetyGroup,A56,1)=Hwy,SUMPRODUCT(PARAMETERS!$E$64:$E$66,PARAMETERS!$BC$12:$BC$14),INDEX(PARAMETERS!$BH$26:$BK$28,2,MATCH(INDEX(SafetyGroup,A56,1),PARAMETERS!$BH$25:$BK$25,0)))*(G70-H70),0)</f>
        <v>34503.568386625877</v>
      </c>
      <c r="M70" s="802">
        <f>IFERROR(IF(INDEX(SafetyGroup,A56,1)=Hwy,NoInjValue,INDEX(PARAMETERS!$BH$26:$BK$28,3,MATCH(INDEX(SafetyGroup,A56,1),PARAMETERS!$BH$25:$BK$25,0)))*(I70-J70),0)</f>
        <v>1842.9429142214879</v>
      </c>
      <c r="N70" s="369">
        <f t="shared" si="20"/>
        <v>36346.511300847364</v>
      </c>
      <c r="O70" s="370">
        <f t="shared" si="14"/>
        <v>25536.576724541421</v>
      </c>
      <c r="Q70" s="812">
        <f t="shared" si="15"/>
        <v>0</v>
      </c>
      <c r="R70" s="785">
        <f t="shared" si="16"/>
        <v>0.29631663600000069</v>
      </c>
      <c r="S70" s="788">
        <f t="shared" si="17"/>
        <v>0.59449771426499609</v>
      </c>
      <c r="U70" s="375">
        <f t="shared" si="18"/>
        <v>2032</v>
      </c>
      <c r="V70" s="378">
        <f t="shared" ca="1" si="12"/>
        <v>0</v>
      </c>
      <c r="W70" s="378">
        <f t="shared" ca="1" si="13"/>
        <v>0</v>
      </c>
      <c r="X70" s="378">
        <f t="shared" ca="1" si="13"/>
        <v>0</v>
      </c>
      <c r="Y70" s="378">
        <f t="shared" ca="1" si="13"/>
        <v>0</v>
      </c>
      <c r="Z70" s="378">
        <f t="shared" ca="1" si="13"/>
        <v>0</v>
      </c>
      <c r="AA70" s="378">
        <f t="shared" ca="1" si="13"/>
        <v>0.10350483338999972</v>
      </c>
      <c r="AC70"/>
      <c r="AD70"/>
      <c r="AE70"/>
    </row>
    <row r="71" spans="2:31" x14ac:dyDescent="0.25">
      <c r="B71" s="375">
        <f t="shared" si="19"/>
        <v>2032</v>
      </c>
      <c r="C71" s="401">
        <f>MAX(TREND(C62:C63,B62:B63,B71),0)</f>
        <v>604805</v>
      </c>
      <c r="D71" s="402">
        <f>MAX(TREND(D62:D63,B62:B63,B71),0)</f>
        <v>616594.5</v>
      </c>
      <c r="E71" s="725">
        <f>MAX(TREND(E62:E63,B62:B63,B71),0)</f>
        <v>0</v>
      </c>
      <c r="F71" s="726">
        <f>MAX(TREND(F62:F63,B62:B63,B71),0)</f>
        <v>0</v>
      </c>
      <c r="G71" s="725">
        <f>MAX(TREND(G62:G63,B62:B63,B71),0)</f>
        <v>0.39917130000000078</v>
      </c>
      <c r="H71" s="726">
        <f>MAX(TREND(H62:H63,B62:B63,B71),0)</f>
        <v>9.7668568800000077E-2</v>
      </c>
      <c r="I71" s="725">
        <f>MAX(TREND(I62:I63,B62:B63,B71),0)</f>
        <v>1.5386239199999991</v>
      </c>
      <c r="J71" s="726">
        <f>MAX(TREND(J62:J63,B62:B63,B71),0)</f>
        <v>0.93371891686199859</v>
      </c>
      <c r="K71" s="729">
        <f>IFERROR(IF(INDEX(SafetyGroup,A56,1)=Hwy,FatValue,INDEX(PARAMETERS!$BH$26:$BK$28,1,MATCH(INDEX(SafetyGroup,A56,1),PARAMETERS!$BH$25:$BK$25,0)))*(E71-F71),0)</f>
        <v>0</v>
      </c>
      <c r="L71" s="730">
        <f>IFERROR(IF(INDEX(SafetyGroup,A56,1)=Hwy,SUMPRODUCT(PARAMETERS!$E$64:$E$66,PARAMETERS!$BC$12:$BC$14),INDEX(PARAMETERS!$BH$26:$BK$28,2,MATCH(INDEX(SafetyGroup,A56,1),PARAMETERS!$BH$25:$BK$25,0)))*(G71-H71),0)</f>
        <v>35107.445350161441</v>
      </c>
      <c r="M71" s="802">
        <f>IFERROR(IF(INDEX(SafetyGroup,A56,1)=Hwy,NoInjValue,INDEX(PARAMETERS!$BH$26:$BK$28,3,MATCH(INDEX(SafetyGroup,A56,1),PARAMETERS!$BH$25:$BK$25,0)))*(I71-J71),0)</f>
        <v>1875.2055097278017</v>
      </c>
      <c r="N71" s="369">
        <f t="shared" si="20"/>
        <v>36982.65085988924</v>
      </c>
      <c r="O71" s="370">
        <f t="shared" si="14"/>
        <v>24984.153789135777</v>
      </c>
      <c r="Q71" s="812">
        <f t="shared" si="15"/>
        <v>0</v>
      </c>
      <c r="R71" s="785">
        <f t="shared" si="16"/>
        <v>0.30150273120000071</v>
      </c>
      <c r="S71" s="788">
        <f t="shared" si="17"/>
        <v>0.60490500313800055</v>
      </c>
      <c r="U71" s="375">
        <f t="shared" si="18"/>
        <v>2033</v>
      </c>
      <c r="V71" s="378">
        <f t="shared" ca="1" si="12"/>
        <v>0</v>
      </c>
      <c r="W71" s="378">
        <f t="shared" ca="1" si="13"/>
        <v>0</v>
      </c>
      <c r="X71" s="378">
        <f t="shared" ca="1" si="13"/>
        <v>0</v>
      </c>
      <c r="Y71" s="378">
        <f t="shared" ca="1" si="13"/>
        <v>0</v>
      </c>
      <c r="Z71" s="378">
        <f t="shared" ca="1" si="13"/>
        <v>0</v>
      </c>
      <c r="AA71" s="378">
        <f t="shared" ca="1" si="13"/>
        <v>0.1051569168299995</v>
      </c>
      <c r="AC71"/>
      <c r="AD71"/>
      <c r="AE71"/>
    </row>
    <row r="72" spans="2:31" x14ac:dyDescent="0.25">
      <c r="B72" s="375">
        <f t="shared" si="19"/>
        <v>2033</v>
      </c>
      <c r="C72" s="401">
        <f>MAX(TREND(C62:C63,B62:B63,B72),0)</f>
        <v>615207.5</v>
      </c>
      <c r="D72" s="402">
        <f>MAX(TREND(D62:D63,B62:B63,B72),0)</f>
        <v>627197.75</v>
      </c>
      <c r="E72" s="725">
        <f>MAX(TREND(E62:E63,B62:B63,B72),0)</f>
        <v>0</v>
      </c>
      <c r="F72" s="726">
        <f>MAX(TREND(F62:F63,B62:B63,B72),0)</f>
        <v>0</v>
      </c>
      <c r="G72" s="725">
        <f>MAX(TREND(G62:G63,B62:B63,B72),0)</f>
        <v>0.40603695000000073</v>
      </c>
      <c r="H72" s="726">
        <f>MAX(TREND(H62:H63,B62:B63,B72),0)</f>
        <v>9.9348123600000449E-2</v>
      </c>
      <c r="I72" s="725">
        <f>MAX(TREND(I62:I63,B62:B63,B72),0)</f>
        <v>1.5650878800000001</v>
      </c>
      <c r="J72" s="726">
        <f>MAX(TREND(J62:J63,B62:B63,B72),0)</f>
        <v>0.94977558798900219</v>
      </c>
      <c r="K72" s="729">
        <f>IFERROR(IF(INDEX(SafetyGroup,A56,1)=Hwy,FatValue,INDEX(PARAMETERS!$BH$26:$BK$28,1,MATCH(INDEX(SafetyGroup,A56,1),PARAMETERS!$BH$25:$BK$25,0)))*(E72-F72),0)</f>
        <v>0</v>
      </c>
      <c r="L72" s="730">
        <f>IFERROR(IF(INDEX(SafetyGroup,A56,1)=Hwy,SUMPRODUCT(PARAMETERS!$E$64:$E$66,PARAMETERS!$BC$12:$BC$14),INDEX(PARAMETERS!$BH$26:$BK$28,2,MATCH(INDEX(SafetyGroup,A56,1),PARAMETERS!$BH$25:$BK$25,0)))*(G72-H72),0)</f>
        <v>35711.322313696946</v>
      </c>
      <c r="M72" s="802">
        <f>IFERROR(IF(INDEX(SafetyGroup,A56,1)=Hwy,NoInjValue,INDEX(PARAMETERS!$BH$26:$BK$28,3,MATCH(INDEX(SafetyGroup,A56,1),PARAMETERS!$BH$25:$BK$25,0)))*(I72-J72),0)</f>
        <v>1907.4681052340934</v>
      </c>
      <c r="N72" s="369">
        <f t="shared" si="20"/>
        <v>37618.790418931043</v>
      </c>
      <c r="O72" s="370">
        <f t="shared" si="14"/>
        <v>24436.448924612563</v>
      </c>
      <c r="Q72" s="812">
        <f t="shared" si="15"/>
        <v>0</v>
      </c>
      <c r="R72" s="785">
        <f t="shared" si="16"/>
        <v>0.30668882640000028</v>
      </c>
      <c r="S72" s="788">
        <f t="shared" si="17"/>
        <v>0.61531229201099791</v>
      </c>
      <c r="U72" s="375">
        <f t="shared" si="18"/>
        <v>2034</v>
      </c>
      <c r="V72" s="378">
        <f t="shared" ca="1" si="12"/>
        <v>0</v>
      </c>
      <c r="W72" s="378">
        <f t="shared" ca="1" si="13"/>
        <v>0</v>
      </c>
      <c r="X72" s="378">
        <f t="shared" ca="1" si="13"/>
        <v>0</v>
      </c>
      <c r="Y72" s="378">
        <f t="shared" ca="1" si="13"/>
        <v>0</v>
      </c>
      <c r="Z72" s="378">
        <f t="shared" ca="1" si="13"/>
        <v>0</v>
      </c>
      <c r="AA72" s="378">
        <f t="shared" ca="1" si="13"/>
        <v>0.10680900027000018</v>
      </c>
      <c r="AC72"/>
      <c r="AD72"/>
      <c r="AE72"/>
    </row>
    <row r="73" spans="2:31" x14ac:dyDescent="0.25">
      <c r="B73" s="375">
        <f t="shared" si="19"/>
        <v>2034</v>
      </c>
      <c r="C73" s="401">
        <f>MAX(TREND(C62:C63,B62:B63,B73),0)</f>
        <v>625610</v>
      </c>
      <c r="D73" s="402">
        <f>MAX(TREND(D62:D63,B62:B63,B73),0)</f>
        <v>637801</v>
      </c>
      <c r="E73" s="725">
        <f>MAX(TREND(E62:E63,B62:B63,B73),0)</f>
        <v>0</v>
      </c>
      <c r="F73" s="726">
        <f>MAX(TREND(F62:F63,B62:B63,B73),0)</f>
        <v>0</v>
      </c>
      <c r="G73" s="725">
        <f>MAX(TREND(G62:G63,B62:B63,B73),0)</f>
        <v>0.41290260000000067</v>
      </c>
      <c r="H73" s="726">
        <f>MAX(TREND(H62:H63,B62:B63,B73),0)</f>
        <v>0.10102767840000038</v>
      </c>
      <c r="I73" s="725">
        <f>MAX(TREND(I62:I63,B62:B63,B73),0)</f>
        <v>1.5915518400000011</v>
      </c>
      <c r="J73" s="726">
        <f>MAX(TREND(J62:J63,B62:B63,B73),0)</f>
        <v>0.96583225911599868</v>
      </c>
      <c r="K73" s="729">
        <f>IFERROR(IF(INDEX(SafetyGroup,A56,1)=Hwy,FatValue,INDEX(PARAMETERS!$BH$26:$BK$28,1,MATCH(INDEX(SafetyGroup,A56,1),PARAMETERS!$BH$25:$BK$25,0)))*(E73-F73),0)</f>
        <v>0</v>
      </c>
      <c r="L73" s="730">
        <f>IFERROR(IF(INDEX(SafetyGroup,A56,1)=Hwy,SUMPRODUCT(PARAMETERS!$E$64:$E$66,PARAMETERS!$BC$12:$BC$14),INDEX(PARAMETERS!$BH$26:$BK$28,2,MATCH(INDEX(SafetyGroup,A56,1),PARAMETERS!$BH$25:$BK$25,0)))*(G73-H73),0)</f>
        <v>36315.19927723251</v>
      </c>
      <c r="M73" s="802">
        <f>IFERROR(IF(INDEX(SafetyGroup,A56,1)=Hwy,NoInjValue,INDEX(PARAMETERS!$BH$26:$BK$28,3,MATCH(INDEX(SafetyGroup,A56,1),PARAMETERS!$BH$25:$BK$25,0)))*(I73-J73),0)</f>
        <v>1939.7307007404074</v>
      </c>
      <c r="N73" s="369">
        <f t="shared" si="20"/>
        <v>38254.929977972919</v>
      </c>
      <c r="O73" s="370">
        <f t="shared" si="14"/>
        <v>23893.916396133871</v>
      </c>
      <c r="Q73" s="812">
        <f t="shared" si="15"/>
        <v>0</v>
      </c>
      <c r="R73" s="785">
        <f t="shared" si="16"/>
        <v>0.3118749216000003</v>
      </c>
      <c r="S73" s="788">
        <f t="shared" si="17"/>
        <v>0.62571958088400237</v>
      </c>
      <c r="U73" s="375">
        <f t="shared" si="18"/>
        <v>2035</v>
      </c>
      <c r="V73" s="378">
        <f t="shared" ca="1" si="12"/>
        <v>0</v>
      </c>
      <c r="W73" s="378">
        <f t="shared" ca="1" si="13"/>
        <v>0</v>
      </c>
      <c r="X73" s="378">
        <f t="shared" ca="1" si="13"/>
        <v>0</v>
      </c>
      <c r="Y73" s="378">
        <f t="shared" ca="1" si="13"/>
        <v>0</v>
      </c>
      <c r="Z73" s="378">
        <f t="shared" ca="1" si="13"/>
        <v>0</v>
      </c>
      <c r="AA73" s="378">
        <f t="shared" ca="1" si="13"/>
        <v>0.10846108370999996</v>
      </c>
      <c r="AC73"/>
      <c r="AD73"/>
      <c r="AE73"/>
    </row>
    <row r="74" spans="2:31" x14ac:dyDescent="0.25">
      <c r="B74" s="375">
        <f t="shared" si="19"/>
        <v>2035</v>
      </c>
      <c r="C74" s="401">
        <f>MAX(TREND(C62:C63,B62:B63,B74),0)</f>
        <v>636012.5</v>
      </c>
      <c r="D74" s="402">
        <f>MAX(TREND(D62:D63,B62:B63,B74),0)</f>
        <v>648404.25</v>
      </c>
      <c r="E74" s="725">
        <f>MAX(TREND(E62:E63,B62:B63,B74),0)</f>
        <v>0</v>
      </c>
      <c r="F74" s="726">
        <f>MAX(TREND(F62:F63,B62:B63,B74),0)</f>
        <v>0</v>
      </c>
      <c r="G74" s="725">
        <f>MAX(TREND(G62:G63,B62:B63,B74),0)</f>
        <v>0.41976825000000062</v>
      </c>
      <c r="H74" s="726">
        <f>MAX(TREND(H62:H63,B62:B63,B74),0)</f>
        <v>0.1027072332000003</v>
      </c>
      <c r="I74" s="725">
        <f>MAX(TREND(I62:I63,B62:B63,B74),0)</f>
        <v>1.618015800000002</v>
      </c>
      <c r="J74" s="726">
        <f>MAX(TREND(J62:J63,B62:B63,B74),0)</f>
        <v>0.98188893024300228</v>
      </c>
      <c r="K74" s="729">
        <f>IFERROR(IF(INDEX(SafetyGroup,A56,1)=Hwy,FatValue,INDEX(PARAMETERS!$BH$26:$BK$28,1,MATCH(INDEX(SafetyGroup,A56,1),PARAMETERS!$BH$25:$BK$25,0)))*(E74-F74),0)</f>
        <v>0</v>
      </c>
      <c r="L74" s="730">
        <f>IFERROR(IF(INDEX(SafetyGroup,A56,1)=Hwy,SUMPRODUCT(PARAMETERS!$E$64:$E$66,PARAMETERS!$BC$12:$BC$14),INDEX(PARAMETERS!$BH$26:$BK$28,2,MATCH(INDEX(SafetyGroup,A56,1),PARAMETERS!$BH$25:$BK$25,0)))*(G74-H74),0)</f>
        <v>36919.076240768074</v>
      </c>
      <c r="M74" s="802">
        <f>IFERROR(IF(INDEX(SafetyGroup,A56,1)=Hwy,NoInjValue,INDEX(PARAMETERS!$BH$26:$BK$28,3,MATCH(INDEX(SafetyGroup,A56,1),PARAMETERS!$BH$25:$BK$25,0)))*(I74-J74),0)</f>
        <v>1971.9932962466992</v>
      </c>
      <c r="N74" s="369">
        <f t="shared" si="20"/>
        <v>38891.069537014773</v>
      </c>
      <c r="O74" s="370">
        <f t="shared" si="14"/>
        <v>23356.968545992862</v>
      </c>
      <c r="Q74" s="812">
        <f t="shared" si="15"/>
        <v>0</v>
      </c>
      <c r="R74" s="785">
        <f t="shared" si="16"/>
        <v>0.31706101680000032</v>
      </c>
      <c r="S74" s="788">
        <f t="shared" si="17"/>
        <v>0.63612686975699972</v>
      </c>
      <c r="U74" s="375">
        <f t="shared" si="18"/>
        <v>2036</v>
      </c>
      <c r="V74" s="378">
        <f t="shared" ca="1" si="12"/>
        <v>0</v>
      </c>
      <c r="W74" s="378">
        <f t="shared" ref="W74:AA83" ca="1" si="21">OFFSET($Q19,MATCH(W$60,$A:$A),0)</f>
        <v>0</v>
      </c>
      <c r="X74" s="378">
        <f t="shared" ca="1" si="21"/>
        <v>0</v>
      </c>
      <c r="Y74" s="378">
        <f t="shared" ca="1" si="21"/>
        <v>0</v>
      </c>
      <c r="Z74" s="378">
        <f t="shared" ca="1" si="21"/>
        <v>0</v>
      </c>
      <c r="AA74" s="378">
        <f t="shared" ca="1" si="21"/>
        <v>0.11011316714999975</v>
      </c>
      <c r="AC74"/>
      <c r="AD74"/>
      <c r="AE74"/>
    </row>
    <row r="75" spans="2:31" x14ac:dyDescent="0.25">
      <c r="B75" s="375">
        <f t="shared" si="19"/>
        <v>2036</v>
      </c>
      <c r="C75" s="401">
        <f>MAX(TREND(C62:C63,B62:B63,B75),0)</f>
        <v>646415</v>
      </c>
      <c r="D75" s="402">
        <f>MAX(TREND(D62:D63,B62:B63,B75),0)</f>
        <v>659007.5</v>
      </c>
      <c r="E75" s="725">
        <f>MAX(TREND(E62:E63,B62:B63,B75),0)</f>
        <v>0</v>
      </c>
      <c r="F75" s="726">
        <f>MAX(TREND(F62:F63,B62:B63,B75),0)</f>
        <v>0</v>
      </c>
      <c r="G75" s="725">
        <f>MAX(TREND(G62:G63,B62:B63,B75),0)</f>
        <v>0.42663390000000057</v>
      </c>
      <c r="H75" s="726">
        <f>MAX(TREND(H62:H63,B62:B63,B75),0)</f>
        <v>0.10438678800000023</v>
      </c>
      <c r="I75" s="725">
        <f>MAX(TREND(I62:I63,B62:B63,B75),0)</f>
        <v>1.644479760000003</v>
      </c>
      <c r="J75" s="726">
        <f>MAX(TREND(J62:J63,B62:B63,B75),0)</f>
        <v>0.99794560136999877</v>
      </c>
      <c r="K75" s="729">
        <f>IFERROR(IF(INDEX(SafetyGroup,A56,1)=Hwy,FatValue,INDEX(PARAMETERS!$BH$26:$BK$28,1,MATCH(INDEX(SafetyGroup,A56,1),PARAMETERS!$BH$25:$BK$25,0)))*(E75-F75),0)</f>
        <v>0</v>
      </c>
      <c r="L75" s="730">
        <f>IFERROR(IF(INDEX(SafetyGroup,A56,1)=Hwy,SUMPRODUCT(PARAMETERS!$E$64:$E$66,PARAMETERS!$BC$12:$BC$14),INDEX(PARAMETERS!$BH$26:$BK$28,2,MATCH(INDEX(SafetyGroup,A56,1),PARAMETERS!$BH$25:$BK$25,0)))*(G75-H75),0)</f>
        <v>37522.953204303638</v>
      </c>
      <c r="M75" s="802">
        <f>IFERROR(IF(INDEX(SafetyGroup,A56,1)=Hwy,NoInjValue,INDEX(PARAMETERS!$BH$26:$BK$28,3,MATCH(INDEX(SafetyGroup,A56,1),PARAMETERS!$BH$25:$BK$25,0)))*(I75-J75),0)</f>
        <v>2004.255891753013</v>
      </c>
      <c r="N75" s="369">
        <f t="shared" si="20"/>
        <v>39527.209096056649</v>
      </c>
      <c r="O75" s="370">
        <f t="shared" si="14"/>
        <v>22825.97834646015</v>
      </c>
      <c r="Q75" s="812">
        <f t="shared" si="15"/>
        <v>0</v>
      </c>
      <c r="R75" s="785">
        <f t="shared" si="16"/>
        <v>0.32224711200000034</v>
      </c>
      <c r="S75" s="788">
        <f t="shared" si="17"/>
        <v>0.64653415863000419</v>
      </c>
      <c r="U75" s="375">
        <f t="shared" si="18"/>
        <v>2037</v>
      </c>
      <c r="V75" s="378">
        <f t="shared" ca="1" si="12"/>
        <v>0</v>
      </c>
      <c r="W75" s="378">
        <f t="shared" ca="1" si="21"/>
        <v>0</v>
      </c>
      <c r="X75" s="378">
        <f t="shared" ca="1" si="21"/>
        <v>0</v>
      </c>
      <c r="Y75" s="378">
        <f t="shared" ca="1" si="21"/>
        <v>0</v>
      </c>
      <c r="Z75" s="378">
        <f t="shared" ca="1" si="21"/>
        <v>0</v>
      </c>
      <c r="AA75" s="378">
        <f t="shared" ca="1" si="21"/>
        <v>0.11176525059000042</v>
      </c>
      <c r="AC75"/>
      <c r="AD75"/>
      <c r="AE75"/>
    </row>
    <row r="76" spans="2:31" x14ac:dyDescent="0.25">
      <c r="B76" s="375">
        <f t="shared" si="19"/>
        <v>2037</v>
      </c>
      <c r="C76" s="401">
        <f>MAX(TREND(C62:C63,B62:B63,B76),0)</f>
        <v>656817.5</v>
      </c>
      <c r="D76" s="402">
        <f>MAX(TREND(D62:D63,B62:B63,B76),0)</f>
        <v>669610.75</v>
      </c>
      <c r="E76" s="725">
        <f>MAX(TREND(E62:E63,B62:B63,B76),0)</f>
        <v>0</v>
      </c>
      <c r="F76" s="726">
        <f>MAX(TREND(F62:F63,B62:B63,B76),0)</f>
        <v>0</v>
      </c>
      <c r="G76" s="725">
        <f>MAX(TREND(G62:G63,B62:B63,B76),0)</f>
        <v>0.43349955000000051</v>
      </c>
      <c r="H76" s="726">
        <f>MAX(TREND(H62:H63,B62:B63,B76),0)</f>
        <v>0.10606634280000016</v>
      </c>
      <c r="I76" s="725">
        <f>MAX(TREND(I62:I63,B62:B63,B76),0)</f>
        <v>1.6709437199999968</v>
      </c>
      <c r="J76" s="726">
        <f>MAX(TREND(J62:J63,B62:B63,B76),0)</f>
        <v>1.0140022724970024</v>
      </c>
      <c r="K76" s="729">
        <f>IFERROR(IF(INDEX(SafetyGroup,A56,1)=Hwy,FatValue,INDEX(PARAMETERS!$BH$26:$BK$28,1,MATCH(INDEX(SafetyGroup,A56,1),PARAMETERS!$BH$25:$BK$25,0)))*(E76-F76),0)</f>
        <v>0</v>
      </c>
      <c r="L76" s="730">
        <f>IFERROR(IF(INDEX(SafetyGroup,A56,1)=Hwy,SUMPRODUCT(PARAMETERS!$E$64:$E$66,PARAMETERS!$BC$12:$BC$14),INDEX(PARAMETERS!$BH$26:$BK$28,2,MATCH(INDEX(SafetyGroup,A56,1),PARAMETERS!$BH$25:$BK$25,0)))*(G76-H76),0)</f>
        <v>38126.830167839194</v>
      </c>
      <c r="M76" s="802">
        <f>IFERROR(IF(INDEX(SafetyGroup,A56,1)=Hwy,NoInjValue,INDEX(PARAMETERS!$BH$26:$BK$28,3,MATCH(INDEX(SafetyGroup,A56,1),PARAMETERS!$BH$25:$BK$25,0)))*(I76-J76),0)</f>
        <v>2036.5184872592827</v>
      </c>
      <c r="N76" s="369">
        <f t="shared" si="20"/>
        <v>40163.348655098474</v>
      </c>
      <c r="O76" s="370">
        <f t="shared" si="14"/>
        <v>22301.281818273128</v>
      </c>
      <c r="Q76" s="812">
        <f t="shared" si="15"/>
        <v>0</v>
      </c>
      <c r="R76" s="785">
        <f t="shared" si="16"/>
        <v>0.32743320720000035</v>
      </c>
      <c r="S76" s="788">
        <f t="shared" si="17"/>
        <v>0.65694144750299444</v>
      </c>
      <c r="U76" s="375">
        <f t="shared" si="18"/>
        <v>2038</v>
      </c>
      <c r="V76" s="378">
        <f t="shared" ca="1" si="12"/>
        <v>0</v>
      </c>
      <c r="W76" s="378">
        <f t="shared" ca="1" si="21"/>
        <v>0</v>
      </c>
      <c r="X76" s="378">
        <f t="shared" ca="1" si="21"/>
        <v>0</v>
      </c>
      <c r="Y76" s="378">
        <f t="shared" ca="1" si="21"/>
        <v>0</v>
      </c>
      <c r="Z76" s="378">
        <f t="shared" ca="1" si="21"/>
        <v>0</v>
      </c>
      <c r="AA76" s="378">
        <f t="shared" ca="1" si="21"/>
        <v>0.11341733402999932</v>
      </c>
      <c r="AC76"/>
      <c r="AD76"/>
      <c r="AE76"/>
    </row>
    <row r="77" spans="2:31" x14ac:dyDescent="0.25">
      <c r="B77" s="375">
        <f t="shared" si="19"/>
        <v>2038</v>
      </c>
      <c r="C77" s="401">
        <f>MAX(TREND(C62:C63,B62:B63,B77),0)</f>
        <v>667220</v>
      </c>
      <c r="D77" s="402">
        <f>MAX(TREND(D62:D63,B62:B63,B77),0)</f>
        <v>680214</v>
      </c>
      <c r="E77" s="725">
        <f>MAX(TREND(E62:E63,B62:B63,B77),0)</f>
        <v>0</v>
      </c>
      <c r="F77" s="726">
        <f>MAX(TREND(F62:F63,B62:B63,B77),0)</f>
        <v>0</v>
      </c>
      <c r="G77" s="725">
        <f>MAX(TREND(G62:G63,B62:B63,B77),0)</f>
        <v>0.44036520000000046</v>
      </c>
      <c r="H77" s="726">
        <f>MAX(TREND(H62:H63,B62:B63,B77),0)</f>
        <v>0.10774589760000008</v>
      </c>
      <c r="I77" s="725">
        <f>MAX(TREND(I62:I63,B62:B63,B77),0)</f>
        <v>1.6974076799999978</v>
      </c>
      <c r="J77" s="726">
        <f>MAX(TREND(J62:J63,B62:B63,B77),0)</f>
        <v>1.0300589436239989</v>
      </c>
      <c r="K77" s="729">
        <f>IFERROR(IF(INDEX(SafetyGroup,A56,1)=Hwy,FatValue,INDEX(PARAMETERS!$BH$26:$BK$28,1,MATCH(INDEX(SafetyGroup,A56,1),PARAMETERS!$BH$25:$BK$25,0)))*(E77-F77),0)</f>
        <v>0</v>
      </c>
      <c r="L77" s="730">
        <f>IFERROR(IF(INDEX(SafetyGroup,A56,1)=Hwy,SUMPRODUCT(PARAMETERS!$E$64:$E$66,PARAMETERS!$BC$12:$BC$14),INDEX(PARAMETERS!$BH$26:$BK$28,2,MATCH(INDEX(SafetyGroup,A56,1),PARAMETERS!$BH$25:$BK$25,0)))*(G77-H77),0)</f>
        <v>38730.707131374758</v>
      </c>
      <c r="M77" s="802">
        <f>IFERROR(IF(INDEX(SafetyGroup,A56,1)=Hwy,NoInjValue,INDEX(PARAMETERS!$BH$26:$BK$28,3,MATCH(INDEX(SafetyGroup,A56,1),PARAMETERS!$BH$25:$BK$25,0)))*(I77-J77),0)</f>
        <v>2068.7810827655967</v>
      </c>
      <c r="N77" s="369">
        <f t="shared" si="20"/>
        <v>40799.488214140358</v>
      </c>
      <c r="O77" s="370">
        <f t="shared" si="14"/>
        <v>21783.180321327651</v>
      </c>
      <c r="Q77" s="812">
        <f t="shared" si="15"/>
        <v>0</v>
      </c>
      <c r="R77" s="785">
        <f t="shared" si="16"/>
        <v>0.33261930240000037</v>
      </c>
      <c r="S77" s="788">
        <f t="shared" si="17"/>
        <v>0.6673487363759989</v>
      </c>
      <c r="U77" s="375">
        <f t="shared" si="18"/>
        <v>2039</v>
      </c>
      <c r="V77" s="378">
        <f t="shared" ca="1" si="12"/>
        <v>0</v>
      </c>
      <c r="W77" s="378">
        <f t="shared" ca="1" si="21"/>
        <v>0</v>
      </c>
      <c r="X77" s="378">
        <f t="shared" ca="1" si="21"/>
        <v>0</v>
      </c>
      <c r="Y77" s="378">
        <f t="shared" ca="1" si="21"/>
        <v>0</v>
      </c>
      <c r="Z77" s="378">
        <f t="shared" ca="1" si="21"/>
        <v>0</v>
      </c>
      <c r="AA77" s="378">
        <f t="shared" ca="1" si="21"/>
        <v>0.11506941746999999</v>
      </c>
      <c r="AC77"/>
      <c r="AD77"/>
      <c r="AE77"/>
    </row>
    <row r="78" spans="2:31" x14ac:dyDescent="0.25">
      <c r="B78" s="375">
        <f t="shared" si="19"/>
        <v>2039</v>
      </c>
      <c r="C78" s="401">
        <f>MAX(TREND(C62:C63,B62:B63,B78),0)</f>
        <v>677622.5</v>
      </c>
      <c r="D78" s="402">
        <f>MAX(TREND(D62:D63,B62:B63,B78),0)</f>
        <v>690817.25</v>
      </c>
      <c r="E78" s="725">
        <f>MAX(TREND(E62:E63,B62:B63,B78),0)</f>
        <v>0</v>
      </c>
      <c r="F78" s="726">
        <f>MAX(TREND(F62:F63,B62:B63,B78),0)</f>
        <v>0</v>
      </c>
      <c r="G78" s="725">
        <f>MAX(TREND(G62:G63,B62:B63,B78),0)</f>
        <v>0.4472308500000004</v>
      </c>
      <c r="H78" s="726">
        <f>MAX(TREND(H62:H63,B62:B63,B78),0)</f>
        <v>0.10942545240000046</v>
      </c>
      <c r="I78" s="725">
        <f>MAX(TREND(I62:I63,B62:B63,B78),0)</f>
        <v>1.7238716399999987</v>
      </c>
      <c r="J78" s="726">
        <f>MAX(TREND(J62:J63,B62:B63,B78),0)</f>
        <v>1.0461156147510025</v>
      </c>
      <c r="K78" s="729">
        <f>IFERROR(IF(INDEX(SafetyGroup,A56,1)=Hwy,FatValue,INDEX(PARAMETERS!$BH$26:$BK$28,1,MATCH(INDEX(SafetyGroup,A56,1),PARAMETERS!$BH$25:$BK$25,0)))*(E78-F78),0)</f>
        <v>0</v>
      </c>
      <c r="L78" s="730">
        <f>IFERROR(IF(INDEX(SafetyGroup,A56,1)=Hwy,SUMPRODUCT(PARAMETERS!$E$64:$E$66,PARAMETERS!$BC$12:$BC$14),INDEX(PARAMETERS!$BH$26:$BK$28,2,MATCH(INDEX(SafetyGroup,A56,1),PARAMETERS!$BH$25:$BK$25,0)))*(G78-H78),0)</f>
        <v>39334.584094910271</v>
      </c>
      <c r="M78" s="802">
        <f>IFERROR(IF(INDEX(SafetyGroup,A56,1)=Hwy,NoInjValue,INDEX(PARAMETERS!$BH$26:$BK$28,3,MATCH(INDEX(SafetyGroup,A56,1),PARAMETERS!$BH$25:$BK$25,0)))*(I78-J78),0)</f>
        <v>2101.0436782718884</v>
      </c>
      <c r="N78" s="369">
        <f t="shared" si="20"/>
        <v>41435.627773182161</v>
      </c>
      <c r="O78" s="370">
        <f t="shared" si="14"/>
        <v>21271.942723824286</v>
      </c>
      <c r="Q78" s="812">
        <f t="shared" si="15"/>
        <v>0</v>
      </c>
      <c r="R78" s="785">
        <f t="shared" si="16"/>
        <v>0.33780539759999995</v>
      </c>
      <c r="S78" s="788">
        <f t="shared" si="17"/>
        <v>0.67775602524899625</v>
      </c>
      <c r="U78" s="375">
        <f t="shared" si="18"/>
        <v>2040</v>
      </c>
      <c r="V78" s="378">
        <f t="shared" ca="1" si="12"/>
        <v>0</v>
      </c>
      <c r="W78" s="378">
        <f t="shared" ca="1" si="21"/>
        <v>0</v>
      </c>
      <c r="X78" s="378">
        <f t="shared" ca="1" si="21"/>
        <v>0</v>
      </c>
      <c r="Y78" s="378">
        <f t="shared" ca="1" si="21"/>
        <v>0</v>
      </c>
      <c r="Z78" s="378">
        <f t="shared" ca="1" si="21"/>
        <v>0</v>
      </c>
      <c r="AA78" s="378">
        <f t="shared" ca="1" si="21"/>
        <v>0.11672150090999978</v>
      </c>
      <c r="AC78"/>
      <c r="AD78"/>
      <c r="AE78"/>
    </row>
    <row r="79" spans="2:31" x14ac:dyDescent="0.25">
      <c r="B79" s="375">
        <f t="shared" si="19"/>
        <v>2040</v>
      </c>
      <c r="C79" s="401">
        <f>MAX(TREND(C62:C63,B62:B63,B79),0)</f>
        <v>688025</v>
      </c>
      <c r="D79" s="402">
        <f>MAX(TREND(D62:D63,B62:B63,B79),0)</f>
        <v>701420.5</v>
      </c>
      <c r="E79" s="725">
        <f>MAX(TREND(E62:E63,B62:B63,B79),0)</f>
        <v>0</v>
      </c>
      <c r="F79" s="726">
        <f>MAX(TREND(F62:F63,B62:B63,B79),0)</f>
        <v>0</v>
      </c>
      <c r="G79" s="725">
        <f>MAX(TREND(G62:G63,B62:B63,B79),0)</f>
        <v>0.45409650000000035</v>
      </c>
      <c r="H79" s="726">
        <f>MAX(TREND(H62:H63,B62:B63,B79),0)</f>
        <v>0.11110500720000038</v>
      </c>
      <c r="I79" s="725">
        <f>MAX(TREND(I62:I63,B62:B63,B79),0)</f>
        <v>1.7503355999999997</v>
      </c>
      <c r="J79" s="726">
        <f>MAX(TREND(J62:J63,B62:B63,B79),0)</f>
        <v>1.0621722858779989</v>
      </c>
      <c r="K79" s="729">
        <f>IFERROR(IF(INDEX(SafetyGroup,A56,1)=Hwy,FatValue,INDEX(PARAMETERS!$BH$26:$BK$28,1,MATCH(INDEX(SafetyGroup,A56,1),PARAMETERS!$BH$25:$BK$25,0)))*(E79-F79),0)</f>
        <v>0</v>
      </c>
      <c r="L79" s="730">
        <f>IFERROR(IF(INDEX(SafetyGroup,A56,1)=Hwy,SUMPRODUCT(PARAMETERS!$E$64:$E$66,PARAMETERS!$BC$12:$BC$14),INDEX(PARAMETERS!$BH$26:$BK$28,2,MATCH(INDEX(SafetyGroup,A56,1),PARAMETERS!$BH$25:$BK$25,0)))*(G79-H79),0)</f>
        <v>39938.461058445835</v>
      </c>
      <c r="M79" s="802">
        <f>IFERROR(IF(INDEX(SafetyGroup,A56,1)=Hwy,NoInjValue,INDEX(PARAMETERS!$BH$26:$BK$28,3,MATCH(INDEX(SafetyGroup,A56,1),PARAMETERS!$BH$25:$BK$25,0)))*(I79-J79),0)</f>
        <v>2133.306273778202</v>
      </c>
      <c r="N79" s="369">
        <f t="shared" si="20"/>
        <v>42071.767332224037</v>
      </c>
      <c r="O79" s="370">
        <f t="shared" si="14"/>
        <v>20767.80745583108</v>
      </c>
      <c r="Q79" s="812">
        <f t="shared" si="15"/>
        <v>0</v>
      </c>
      <c r="R79" s="785">
        <f t="shared" si="16"/>
        <v>0.34299149279999996</v>
      </c>
      <c r="S79" s="788">
        <f t="shared" si="17"/>
        <v>0.68816331412200071</v>
      </c>
      <c r="U79" s="375">
        <f t="shared" si="18"/>
        <v>2041</v>
      </c>
      <c r="V79" s="378">
        <f t="shared" ca="1" si="12"/>
        <v>0</v>
      </c>
      <c r="W79" s="378">
        <f t="shared" ca="1" si="21"/>
        <v>0</v>
      </c>
      <c r="X79" s="378">
        <f t="shared" ca="1" si="21"/>
        <v>0</v>
      </c>
      <c r="Y79" s="378">
        <f t="shared" ca="1" si="21"/>
        <v>0</v>
      </c>
      <c r="Z79" s="378">
        <f t="shared" ca="1" si="21"/>
        <v>0</v>
      </c>
      <c r="AA79" s="378">
        <f t="shared" ca="1" si="21"/>
        <v>0.11837358434999956</v>
      </c>
      <c r="AC79"/>
      <c r="AD79"/>
      <c r="AE79"/>
    </row>
    <row r="80" spans="2:31" x14ac:dyDescent="0.25">
      <c r="B80" s="375">
        <f t="shared" si="19"/>
        <v>2041</v>
      </c>
      <c r="C80" s="401">
        <f>MAX(TREND(C62:C63,B62:B63,B80),0)</f>
        <v>698427.5</v>
      </c>
      <c r="D80" s="402">
        <f>MAX(TREND(D62:D63,B62:B63,B80),0)</f>
        <v>712023.75</v>
      </c>
      <c r="E80" s="725">
        <f>MAX(TREND(E62:E63,B62:B63,B80),0)</f>
        <v>0</v>
      </c>
      <c r="F80" s="726">
        <f>MAX(TREND(F62:F63,B62:B63,B80),0)</f>
        <v>0</v>
      </c>
      <c r="G80" s="725">
        <f>MAX(TREND(G62:G63,B62:B63,B80),0)</f>
        <v>0.46096215000000029</v>
      </c>
      <c r="H80" s="726">
        <f>MAX(TREND(H62:H63,B62:B63,B80),0)</f>
        <v>0.11278456200000031</v>
      </c>
      <c r="I80" s="725">
        <f>MAX(TREND(I62:I63,B62:B63,B80),0)</f>
        <v>1.7767995600000006</v>
      </c>
      <c r="J80" s="726">
        <f>MAX(TREND(J62:J63,B62:B63,B80),0)</f>
        <v>1.0782289570050025</v>
      </c>
      <c r="K80" s="729">
        <f>IFERROR(IF(INDEX(SafetyGroup,A56,1)=Hwy,FatValue,INDEX(PARAMETERS!$BH$26:$BK$28,1,MATCH(INDEX(SafetyGroup,A56,1),PARAMETERS!$BH$25:$BK$25,0)))*(E80-F80),0)</f>
        <v>0</v>
      </c>
      <c r="L80" s="730">
        <f>IFERROR(IF(INDEX(SafetyGroup,A56,1)=Hwy,SUMPRODUCT(PARAMETERS!$E$64:$E$66,PARAMETERS!$BC$12:$BC$14),INDEX(PARAMETERS!$BH$26:$BK$28,2,MATCH(INDEX(SafetyGroup,A56,1),PARAMETERS!$BH$25:$BK$25,0)))*(G80-H80),0)</f>
        <v>40542.338021981392</v>
      </c>
      <c r="M80" s="802">
        <f>IFERROR(IF(INDEX(SafetyGroup,A56,1)=Hwy,NoInjValue,INDEX(PARAMETERS!$BH$26:$BK$28,3,MATCH(INDEX(SafetyGroup,A56,1),PARAMETERS!$BH$25:$BK$25,0)))*(I80-J80),0)</f>
        <v>2165.5688692844942</v>
      </c>
      <c r="N80" s="369">
        <f t="shared" si="20"/>
        <v>42707.906891265884</v>
      </c>
      <c r="O80" s="370">
        <f t="shared" si="14"/>
        <v>20270.984452944111</v>
      </c>
      <c r="Q80" s="812">
        <f t="shared" si="15"/>
        <v>0</v>
      </c>
      <c r="R80" s="785">
        <f t="shared" si="16"/>
        <v>0.34817758799999998</v>
      </c>
      <c r="S80" s="788">
        <f t="shared" si="17"/>
        <v>0.69857060299499807</v>
      </c>
      <c r="U80" s="375">
        <f t="shared" si="18"/>
        <v>2042</v>
      </c>
      <c r="V80" s="378">
        <f t="shared" ca="1" si="12"/>
        <v>0</v>
      </c>
      <c r="W80" s="378">
        <f t="shared" ca="1" si="21"/>
        <v>0</v>
      </c>
      <c r="X80" s="378">
        <f t="shared" ca="1" si="21"/>
        <v>0</v>
      </c>
      <c r="Y80" s="378">
        <f t="shared" ca="1" si="21"/>
        <v>0</v>
      </c>
      <c r="Z80" s="378">
        <f t="shared" ca="1" si="21"/>
        <v>0</v>
      </c>
      <c r="AA80" s="378">
        <f t="shared" ca="1" si="21"/>
        <v>0.12002566779000023</v>
      </c>
      <c r="AC80"/>
      <c r="AD80"/>
      <c r="AE80"/>
    </row>
    <row r="81" spans="1:31" x14ac:dyDescent="0.25">
      <c r="B81" s="375">
        <f t="shared" si="19"/>
        <v>2042</v>
      </c>
      <c r="C81" s="401">
        <f>MAX(TREND(C62:C63,B62:B63,B81),0)</f>
        <v>708830</v>
      </c>
      <c r="D81" s="402">
        <f>MAX(TREND(D62:D63,B62:B63,B81),0)</f>
        <v>722627</v>
      </c>
      <c r="E81" s="725">
        <f>MAX(TREND(E62:E63,B62:B63,B81),0)</f>
        <v>0</v>
      </c>
      <c r="F81" s="726">
        <f>MAX(TREND(F62:F63,B62:B63,B81),0)</f>
        <v>0</v>
      </c>
      <c r="G81" s="725">
        <f>MAX(TREND(G62:G63,B62:B63,B81),0)</f>
        <v>0.46782780000000024</v>
      </c>
      <c r="H81" s="726">
        <f>MAX(TREND(H62:H63,B62:B63,B81),0)</f>
        <v>0.11446411680000024</v>
      </c>
      <c r="I81" s="725">
        <f>MAX(TREND(I62:I63,B62:B63,B81),0)</f>
        <v>1.8032635200000016</v>
      </c>
      <c r="J81" s="726">
        <f>MAX(TREND(J62:J63,B62:B63,B81),0)</f>
        <v>1.094285628131999</v>
      </c>
      <c r="K81" s="729">
        <f>IFERROR(IF(INDEX(SafetyGroup,A56,1)=Hwy,FatValue,INDEX(PARAMETERS!$BH$26:$BK$28,1,MATCH(INDEX(SafetyGroup,A56,1),PARAMETERS!$BH$25:$BK$25,0)))*(E81-F81),0)</f>
        <v>0</v>
      </c>
      <c r="L81" s="730">
        <f>IFERROR(IF(INDEX(SafetyGroup,A56,1)=Hwy,SUMPRODUCT(PARAMETERS!$E$64:$E$66,PARAMETERS!$BC$12:$BC$14),INDEX(PARAMETERS!$BH$26:$BK$28,2,MATCH(INDEX(SafetyGroup,A56,1),PARAMETERS!$BH$25:$BK$25,0)))*(G81-H81),0)</f>
        <v>41146.214985516955</v>
      </c>
      <c r="M81" s="802">
        <f>IFERROR(IF(INDEX(SafetyGroup,A56,1)=Hwy,NoInjValue,INDEX(PARAMETERS!$BH$26:$BK$28,3,MATCH(INDEX(SafetyGroup,A56,1),PARAMETERS!$BH$25:$BK$25,0)))*(I81-J81),0)</f>
        <v>2197.8314647908078</v>
      </c>
      <c r="N81" s="369">
        <f t="shared" si="20"/>
        <v>43344.04645030776</v>
      </c>
      <c r="O81" s="370">
        <f t="shared" si="14"/>
        <v>19781.656995462912</v>
      </c>
      <c r="Q81" s="812">
        <f t="shared" si="15"/>
        <v>0</v>
      </c>
      <c r="R81" s="785">
        <f t="shared" si="16"/>
        <v>0.3533636832</v>
      </c>
      <c r="S81" s="788">
        <f t="shared" si="17"/>
        <v>0.70897789186800253</v>
      </c>
      <c r="U81" s="375">
        <f t="shared" si="18"/>
        <v>2043</v>
      </c>
      <c r="V81" s="378">
        <f t="shared" ca="1" si="12"/>
        <v>0</v>
      </c>
      <c r="W81" s="378">
        <f t="shared" ca="1" si="21"/>
        <v>0</v>
      </c>
      <c r="X81" s="378">
        <f t="shared" ca="1" si="21"/>
        <v>0</v>
      </c>
      <c r="Y81" s="378">
        <f t="shared" ca="1" si="21"/>
        <v>0</v>
      </c>
      <c r="Z81" s="378">
        <f t="shared" ca="1" si="21"/>
        <v>0</v>
      </c>
      <c r="AA81" s="378">
        <f t="shared" ca="1" si="21"/>
        <v>0.12167775123000002</v>
      </c>
      <c r="AC81"/>
      <c r="AD81"/>
      <c r="AE81"/>
    </row>
    <row r="82" spans="1:31" x14ac:dyDescent="0.25">
      <c r="B82" s="375">
        <f t="shared" si="19"/>
        <v>2043</v>
      </c>
      <c r="C82" s="401">
        <f>MAX(TREND(C62:C63,B62:B63,B82),0)</f>
        <v>719232.5</v>
      </c>
      <c r="D82" s="402">
        <f>MAX(TREND(D62:D63,B62:B63,B82),0)</f>
        <v>733230.25</v>
      </c>
      <c r="E82" s="725">
        <f>MAX(TREND(E62:E63,B62:B63,B82),0)</f>
        <v>0</v>
      </c>
      <c r="F82" s="726">
        <f>MAX(TREND(F62:F63,B62:B63,B82),0)</f>
        <v>0</v>
      </c>
      <c r="G82" s="725">
        <f>MAX(TREND(G62:G63,B62:B63,B82),0)</f>
        <v>0.47469345000000018</v>
      </c>
      <c r="H82" s="726">
        <f>MAX(TREND(H62:H63,B62:B63,B82),0)</f>
        <v>0.11614367160000016</v>
      </c>
      <c r="I82" s="725">
        <f>MAX(TREND(I62:I63,B62:B63,B82),0)</f>
        <v>1.8297274800000025</v>
      </c>
      <c r="J82" s="726">
        <f>MAX(TREND(J62:J63,B62:B63,B82),0)</f>
        <v>1.1103422992590026</v>
      </c>
      <c r="K82" s="729">
        <f>IFERROR(IF(INDEX(SafetyGroup,A56,1)=Hwy,FatValue,INDEX(PARAMETERS!$BH$26:$BK$28,1,MATCH(INDEX(SafetyGroup,A56,1),PARAMETERS!$BH$25:$BK$25,0)))*(E82-F82),0)</f>
        <v>0</v>
      </c>
      <c r="L82" s="730">
        <f>IFERROR(IF(INDEX(SafetyGroup,A56,1)=Hwy,SUMPRODUCT(PARAMETERS!$E$64:$E$66,PARAMETERS!$BC$12:$BC$14),INDEX(PARAMETERS!$BH$26:$BK$28,2,MATCH(INDEX(SafetyGroup,A56,1),PARAMETERS!$BH$25:$BK$25,0)))*(G82-H82),0)</f>
        <v>41750.091949052519</v>
      </c>
      <c r="M82" s="802">
        <f>IFERROR(IF(INDEX(SafetyGroup,A56,1)=Hwy,NoInjValue,INDEX(PARAMETERS!$BH$26:$BK$28,3,MATCH(INDEX(SafetyGroup,A56,1),PARAMETERS!$BH$25:$BK$25,0)))*(I82-J82),0)</f>
        <v>2230.0940602970995</v>
      </c>
      <c r="N82" s="369">
        <f t="shared" si="20"/>
        <v>43980.186009349622</v>
      </c>
      <c r="O82" s="370">
        <f t="shared" si="14"/>
        <v>19299.983448242172</v>
      </c>
      <c r="Q82" s="812">
        <f t="shared" si="15"/>
        <v>0</v>
      </c>
      <c r="R82" s="785">
        <f t="shared" si="16"/>
        <v>0.35854977840000002</v>
      </c>
      <c r="S82" s="788">
        <f t="shared" si="17"/>
        <v>0.71938518074099989</v>
      </c>
      <c r="U82" s="375">
        <f t="shared" si="18"/>
        <v>2044</v>
      </c>
      <c r="V82" s="378">
        <f t="shared" ca="1" si="12"/>
        <v>0</v>
      </c>
      <c r="W82" s="378">
        <f t="shared" ca="1" si="21"/>
        <v>0</v>
      </c>
      <c r="X82" s="378">
        <f t="shared" ca="1" si="21"/>
        <v>0</v>
      </c>
      <c r="Y82" s="378">
        <f t="shared" ca="1" si="21"/>
        <v>0</v>
      </c>
      <c r="Z82" s="378">
        <f t="shared" ca="1" si="21"/>
        <v>0</v>
      </c>
      <c r="AA82" s="378">
        <f t="shared" ca="1" si="21"/>
        <v>0.1233298346699998</v>
      </c>
      <c r="AC82"/>
      <c r="AD82"/>
      <c r="AE82"/>
    </row>
    <row r="83" spans="1:31" x14ac:dyDescent="0.25">
      <c r="B83" s="375">
        <f t="shared" si="19"/>
        <v>2044</v>
      </c>
      <c r="C83" s="401">
        <f>MAX(TREND(C62:C63,B62:B63,B83),0)</f>
        <v>729635</v>
      </c>
      <c r="D83" s="402">
        <f>MAX(TREND(D62:D63,B62:B63,B83),0)</f>
        <v>743833.5</v>
      </c>
      <c r="E83" s="725">
        <f>MAX(TREND(E62:E63,B62:B63,B83),0)</f>
        <v>0</v>
      </c>
      <c r="F83" s="726">
        <f>MAX(TREND(F62:F63,B62:B63,B83),0)</f>
        <v>0</v>
      </c>
      <c r="G83" s="725">
        <f>MAX(TREND(G62:G63,B62:B63,B83),0)</f>
        <v>0.48155910000000013</v>
      </c>
      <c r="H83" s="726">
        <f>MAX(TREND(H62:H63,B62:B63,B83),0)</f>
        <v>0.11782322640000009</v>
      </c>
      <c r="I83" s="725">
        <f>MAX(TREND(I62:I63,B62:B63,B83),0)</f>
        <v>1.8561914400000035</v>
      </c>
      <c r="J83" s="726">
        <f>MAX(TREND(J62:J63,B62:B63,B83),0)</f>
        <v>1.1263989703859991</v>
      </c>
      <c r="K83" s="729">
        <f>IFERROR(IF(INDEX(SafetyGroup,A56,1)=Hwy,FatValue,INDEX(PARAMETERS!$BH$26:$BK$28,1,MATCH(INDEX(SafetyGroup,A56,1),PARAMETERS!$BH$25:$BK$25,0)))*(E83-F83),0)</f>
        <v>0</v>
      </c>
      <c r="L83" s="730">
        <f>IFERROR(IF(INDEX(SafetyGroup,A56,1)=Hwy,SUMPRODUCT(PARAMETERS!$E$64:$E$66,PARAMETERS!$BC$12:$BC$14),INDEX(PARAMETERS!$BH$26:$BK$28,2,MATCH(INDEX(SafetyGroup,A56,1),PARAMETERS!$BH$25:$BK$25,0)))*(G83-H83),0)</f>
        <v>42353.968912588083</v>
      </c>
      <c r="M83" s="802">
        <f>IFERROR(IF(INDEX(SafetyGroup,A56,1)=Hwy,NoInjValue,INDEX(PARAMETERS!$BH$26:$BK$28,3,MATCH(INDEX(SafetyGroup,A56,1),PARAMETERS!$BH$25:$BK$25,0)))*(I83-J83),0)</f>
        <v>2262.3566558034136</v>
      </c>
      <c r="N83" s="369">
        <f t="shared" si="20"/>
        <v>44616.325568391498</v>
      </c>
      <c r="O83" s="370">
        <f t="shared" si="14"/>
        <v>18826.09890613981</v>
      </c>
      <c r="Q83" s="812">
        <f t="shared" si="15"/>
        <v>0</v>
      </c>
      <c r="R83" s="785">
        <f t="shared" si="16"/>
        <v>0.36373587360000004</v>
      </c>
      <c r="S83" s="788">
        <f t="shared" si="17"/>
        <v>0.72979246961400435</v>
      </c>
      <c r="U83" s="375">
        <f t="shared" si="18"/>
        <v>2045</v>
      </c>
      <c r="V83" s="378">
        <f t="shared" ca="1" si="12"/>
        <v>0</v>
      </c>
      <c r="W83" s="378">
        <f t="shared" ca="1" si="21"/>
        <v>0</v>
      </c>
      <c r="X83" s="378">
        <f t="shared" ca="1" si="21"/>
        <v>0</v>
      </c>
      <c r="Y83" s="378">
        <f t="shared" ca="1" si="21"/>
        <v>0</v>
      </c>
      <c r="Z83" s="378">
        <f t="shared" ca="1" si="21"/>
        <v>0</v>
      </c>
      <c r="AA83" s="378">
        <f t="shared" ca="1" si="21"/>
        <v>0.12498191810999959</v>
      </c>
      <c r="AC83"/>
      <c r="AD83"/>
      <c r="AE83"/>
    </row>
    <row r="84" spans="1:31" x14ac:dyDescent="0.25">
      <c r="B84" s="375">
        <f t="shared" si="19"/>
        <v>2045</v>
      </c>
      <c r="C84" s="401">
        <f>MAX(TREND(C62:C63,B62:B63,B84),0)</f>
        <v>740037.5</v>
      </c>
      <c r="D84" s="402">
        <f>MAX(TREND(D62:D63,B62:B63,B84),0)</f>
        <v>754436.75</v>
      </c>
      <c r="E84" s="725">
        <f>MAX(TREND(E62:E63,B62:B63,B84),0)</f>
        <v>0</v>
      </c>
      <c r="F84" s="726">
        <f>MAX(TREND(F62:F63,B62:B63,B84),0)</f>
        <v>0</v>
      </c>
      <c r="G84" s="725">
        <f>MAX(TREND(G62:G63,B62:B63,B84),0)</f>
        <v>0.48842475000000007</v>
      </c>
      <c r="H84" s="726">
        <f>MAX(TREND(H62:H63,B62:B63,B84),0)</f>
        <v>0.11950278120000046</v>
      </c>
      <c r="I84" s="725">
        <f>MAX(TREND(I62:I63,B62:B63,B84),0)</f>
        <v>1.8826553999999973</v>
      </c>
      <c r="J84" s="726">
        <f>MAX(TREND(J62:J63,B62:B63,B84),0)</f>
        <v>1.1424556415130027</v>
      </c>
      <c r="K84" s="729">
        <f>IFERROR(IF(INDEX(SafetyGroup,A56,1)=Hwy,FatValue,INDEX(PARAMETERS!$BH$26:$BK$28,1,MATCH(INDEX(SafetyGroup,A56,1),PARAMETERS!$BH$25:$BK$25,0)))*(E84-F84),0)</f>
        <v>0</v>
      </c>
      <c r="L84" s="730">
        <f>IFERROR(IF(INDEX(SafetyGroup,A56,1)=Hwy,SUMPRODUCT(PARAMETERS!$E$64:$E$66,PARAMETERS!$BC$12:$BC$14),INDEX(PARAMETERS!$BH$26:$BK$28,2,MATCH(INDEX(SafetyGroup,A56,1),PARAMETERS!$BH$25:$BK$25,0)))*(G84-H84),0)</f>
        <v>42957.845876123589</v>
      </c>
      <c r="M84" s="802">
        <f>IFERROR(IF(INDEX(SafetyGroup,A56,1)=Hwy,NoInjValue,INDEX(PARAMETERS!$BH$26:$BK$28,3,MATCH(INDEX(SafetyGroup,A56,1),PARAMETERS!$BH$25:$BK$25,0)))*(I84-J84),0)</f>
        <v>2294.619251309683</v>
      </c>
      <c r="N84" s="369">
        <f t="shared" si="20"/>
        <v>45252.465127433272</v>
      </c>
      <c r="O84" s="370">
        <f t="shared" si="14"/>
        <v>18360.116749749064</v>
      </c>
      <c r="Q84" s="812">
        <f t="shared" si="15"/>
        <v>0</v>
      </c>
      <c r="R84" s="785">
        <f t="shared" si="16"/>
        <v>0.36892196879999961</v>
      </c>
      <c r="S84" s="788">
        <f t="shared" si="17"/>
        <v>0.7401997584869946</v>
      </c>
      <c r="U84" s="385"/>
      <c r="V84" s="389"/>
      <c r="W84" s="389"/>
      <c r="X84" s="389"/>
      <c r="Y84" s="389"/>
      <c r="Z84" s="389"/>
      <c r="AA84" s="389"/>
      <c r="AC84"/>
      <c r="AD84"/>
      <c r="AE84"/>
    </row>
    <row r="85" spans="1:31" x14ac:dyDescent="0.25">
      <c r="B85" s="385"/>
      <c r="C85" s="386"/>
      <c r="D85" s="386"/>
      <c r="E85" s="386"/>
      <c r="F85" s="386"/>
      <c r="G85" s="388"/>
      <c r="H85" s="388"/>
      <c r="I85" s="388"/>
      <c r="J85" s="388"/>
      <c r="K85" s="388"/>
      <c r="L85" s="388"/>
      <c r="M85" s="388"/>
      <c r="N85" s="388"/>
      <c r="O85" s="389"/>
      <c r="Q85" s="390"/>
      <c r="R85" s="390"/>
      <c r="U85" s="407" t="s">
        <v>56</v>
      </c>
      <c r="V85" s="411">
        <f t="shared" ref="V85:AA85" ca="1" si="22">SUM(V64:V83)</f>
        <v>0</v>
      </c>
      <c r="W85" s="411">
        <f t="shared" ca="1" si="22"/>
        <v>0</v>
      </c>
      <c r="X85" s="411">
        <f t="shared" ca="1" si="22"/>
        <v>0</v>
      </c>
      <c r="Y85" s="411">
        <f t="shared" ca="1" si="22"/>
        <v>0</v>
      </c>
      <c r="Z85" s="411">
        <f t="shared" ca="1" si="22"/>
        <v>0</v>
      </c>
      <c r="AA85" s="411">
        <f t="shared" ca="1" si="22"/>
        <v>2.1857425085999971</v>
      </c>
      <c r="AC85"/>
      <c r="AD85"/>
      <c r="AE85"/>
    </row>
    <row r="86" spans="1:31" x14ac:dyDescent="0.25">
      <c r="B86" s="407" t="s">
        <v>56</v>
      </c>
      <c r="C86" s="413"/>
      <c r="D86" s="414"/>
      <c r="E86" s="414"/>
      <c r="F86" s="414"/>
      <c r="G86" s="414"/>
      <c r="H86" s="414"/>
      <c r="I86" s="414"/>
      <c r="J86" s="414"/>
      <c r="K86" s="414"/>
      <c r="L86" s="414"/>
      <c r="M86" s="415"/>
      <c r="N86" s="414"/>
      <c r="O86" s="409">
        <f>SUM(O65:O84)</f>
        <v>463793.79097521922</v>
      </c>
      <c r="Q86" s="411">
        <f>SUM(Q65:Q84)</f>
        <v>0</v>
      </c>
      <c r="R86" s="411">
        <f>SUM(R65:R84)</f>
        <v>6.3930812879999968</v>
      </c>
      <c r="S86" s="411">
        <f>SUM(S65:S84)</f>
        <v>12.826610283869996</v>
      </c>
      <c r="U86"/>
      <c r="V86"/>
      <c r="W86"/>
      <c r="X86"/>
      <c r="Y86"/>
      <c r="Z86"/>
      <c r="AA86"/>
      <c r="AC86"/>
      <c r="AD86"/>
      <c r="AE86"/>
    </row>
    <row r="87" spans="1:31" x14ac:dyDescent="0.25">
      <c r="B87" s="2"/>
      <c r="C87" s="418"/>
      <c r="D87" s="2"/>
      <c r="E87" s="2"/>
      <c r="F87" s="2"/>
      <c r="G87" s="2"/>
      <c r="H87" s="2"/>
      <c r="I87" s="2"/>
      <c r="J87" s="2"/>
      <c r="K87" s="2"/>
      <c r="L87" s="2"/>
      <c r="M87" s="2"/>
      <c r="N87" s="2"/>
      <c r="O87" s="2"/>
      <c r="U87"/>
      <c r="V87"/>
      <c r="W87"/>
      <c r="X87"/>
      <c r="Y87"/>
      <c r="Z87"/>
      <c r="AA87"/>
      <c r="AC87"/>
      <c r="AD87"/>
      <c r="AE87"/>
    </row>
    <row r="88" spans="1:31" x14ac:dyDescent="0.25">
      <c r="A88" s="1">
        <f>MAX($A$1:A87)+1</f>
        <v>3</v>
      </c>
      <c r="B88" s="319" t="str">
        <f>IF(ISBLANK(INDEX(SafetyModelGroup,A88,1)),"Not Used",INDEX(SafetyModelGroup,A88,1))</f>
        <v>NB Off-ramp to Ave 280</v>
      </c>
      <c r="C88" s="2"/>
      <c r="D88" s="2"/>
      <c r="E88" s="2"/>
      <c r="F88" s="2"/>
      <c r="G88" s="2"/>
      <c r="H88" s="2"/>
      <c r="I88" s="2"/>
      <c r="J88" s="2"/>
      <c r="K88" s="320"/>
      <c r="L88" s="320"/>
      <c r="M88" s="2"/>
      <c r="N88" s="2"/>
      <c r="O88" s="2"/>
      <c r="U88"/>
      <c r="V88"/>
      <c r="W88"/>
      <c r="X88"/>
      <c r="Y88"/>
      <c r="Z88"/>
      <c r="AA88"/>
      <c r="AC88"/>
      <c r="AD88"/>
      <c r="AE88"/>
    </row>
    <row r="89" spans="1:31" ht="18" x14ac:dyDescent="0.25">
      <c r="B89" s="2"/>
      <c r="C89" s="1787"/>
      <c r="D89" s="1787"/>
      <c r="E89" s="831"/>
      <c r="F89" s="831"/>
      <c r="G89" s="831"/>
      <c r="H89" s="831"/>
      <c r="I89" s="831"/>
      <c r="J89" s="831"/>
      <c r="K89" s="831"/>
      <c r="L89" s="831"/>
      <c r="M89" s="831"/>
      <c r="N89" s="2"/>
      <c r="O89" s="149"/>
      <c r="U89" s="316" t="s">
        <v>318</v>
      </c>
      <c r="V89"/>
      <c r="W89"/>
      <c r="X89"/>
      <c r="Y89"/>
      <c r="Z89"/>
      <c r="AA89"/>
      <c r="AC89"/>
      <c r="AD89"/>
      <c r="AE89"/>
    </row>
    <row r="90" spans="1:31" ht="15.75" x14ac:dyDescent="0.25">
      <c r="B90" s="322"/>
      <c r="C90" s="325" t="s">
        <v>271</v>
      </c>
      <c r="D90" s="326"/>
      <c r="E90" s="325" t="s">
        <v>304</v>
      </c>
      <c r="F90" s="326"/>
      <c r="G90" s="325" t="s">
        <v>305</v>
      </c>
      <c r="H90" s="324"/>
      <c r="I90" s="323" t="s">
        <v>306</v>
      </c>
      <c r="J90" s="326"/>
      <c r="K90" s="327" t="s">
        <v>307</v>
      </c>
      <c r="L90" s="323"/>
      <c r="M90" s="328"/>
      <c r="N90" s="329"/>
      <c r="O90" s="330"/>
      <c r="Q90" s="331" t="s">
        <v>308</v>
      </c>
      <c r="R90" s="791"/>
      <c r="S90" s="792"/>
      <c r="U90"/>
      <c r="V90"/>
      <c r="W90"/>
      <c r="X90"/>
      <c r="Y90"/>
      <c r="Z90"/>
      <c r="AA90"/>
      <c r="AC90"/>
      <c r="AD90"/>
      <c r="AE90"/>
    </row>
    <row r="91" spans="1:31" x14ac:dyDescent="0.25">
      <c r="B91" s="335"/>
      <c r="C91" s="338" t="s">
        <v>274</v>
      </c>
      <c r="D91" s="339"/>
      <c r="E91" s="338" t="s">
        <v>309</v>
      </c>
      <c r="F91" s="339"/>
      <c r="G91" s="338" t="s">
        <v>309</v>
      </c>
      <c r="H91" s="337"/>
      <c r="I91" s="336" t="s">
        <v>309</v>
      </c>
      <c r="J91" s="339"/>
      <c r="K91" s="340" t="s">
        <v>203</v>
      </c>
      <c r="L91" s="336"/>
      <c r="M91" s="341"/>
      <c r="N91" s="342"/>
      <c r="O91" s="343"/>
      <c r="Q91" s="784" t="s">
        <v>309</v>
      </c>
      <c r="R91" s="450"/>
      <c r="S91" s="451"/>
      <c r="U91"/>
      <c r="V91"/>
      <c r="W91"/>
      <c r="X91"/>
      <c r="Y91"/>
      <c r="Z91"/>
      <c r="AA91"/>
      <c r="AC91"/>
      <c r="AD91"/>
      <c r="AE91"/>
    </row>
    <row r="92" spans="1:31" x14ac:dyDescent="0.25">
      <c r="B92" s="77" t="s">
        <v>34</v>
      </c>
      <c r="C92" s="348"/>
      <c r="D92" s="349"/>
      <c r="E92" s="348"/>
      <c r="F92" s="349"/>
      <c r="G92" s="723"/>
      <c r="H92" s="349"/>
      <c r="I92" s="348"/>
      <c r="J92" s="349"/>
      <c r="K92" s="350" t="s">
        <v>312</v>
      </c>
      <c r="L92" s="348" t="s">
        <v>313</v>
      </c>
      <c r="M92" s="349" t="s">
        <v>314</v>
      </c>
      <c r="N92" s="351" t="s">
        <v>208</v>
      </c>
      <c r="O92" s="347" t="s">
        <v>39</v>
      </c>
      <c r="Q92" s="793"/>
      <c r="R92" s="797"/>
      <c r="S92" s="795"/>
      <c r="U92"/>
      <c r="V92"/>
      <c r="W92"/>
      <c r="X92"/>
      <c r="Y92"/>
      <c r="Z92"/>
      <c r="AA92"/>
      <c r="AC92"/>
      <c r="AD92"/>
      <c r="AE92"/>
    </row>
    <row r="93" spans="1:31" x14ac:dyDescent="0.25">
      <c r="B93" s="355"/>
      <c r="C93" s="356" t="s">
        <v>74</v>
      </c>
      <c r="D93" s="357" t="s">
        <v>125</v>
      </c>
      <c r="E93" s="356" t="s">
        <v>74</v>
      </c>
      <c r="F93" s="357" t="s">
        <v>125</v>
      </c>
      <c r="G93" s="724" t="s">
        <v>74</v>
      </c>
      <c r="H93" s="357" t="s">
        <v>125</v>
      </c>
      <c r="I93" s="356" t="s">
        <v>74</v>
      </c>
      <c r="J93" s="357" t="s">
        <v>125</v>
      </c>
      <c r="K93" s="358" t="s">
        <v>47</v>
      </c>
      <c r="L93" s="356" t="s">
        <v>47</v>
      </c>
      <c r="M93" s="357" t="s">
        <v>47</v>
      </c>
      <c r="N93" s="359" t="s">
        <v>48</v>
      </c>
      <c r="O93" s="360" t="s">
        <v>49</v>
      </c>
      <c r="Q93" s="794" t="s">
        <v>310</v>
      </c>
      <c r="R93" s="798" t="s">
        <v>311</v>
      </c>
      <c r="S93" s="796" t="s">
        <v>97</v>
      </c>
      <c r="U93"/>
      <c r="V93"/>
      <c r="W93"/>
      <c r="X93"/>
      <c r="Y93"/>
      <c r="Z93"/>
      <c r="AA93"/>
      <c r="AC93"/>
      <c r="AD93"/>
      <c r="AE93"/>
    </row>
    <row r="94" spans="1:31" x14ac:dyDescent="0.25">
      <c r="B94" s="363">
        <f>SafetyYearFirst</f>
        <v>2026</v>
      </c>
      <c r="C94" s="364">
        <f>INDEX(SafetyData1NB,A88,1)*AnnualFactor</f>
        <v>556625</v>
      </c>
      <c r="D94" s="365">
        <f>INDEX(SafetyData1B,A88,1)*AnnualFactor</f>
        <v>547500</v>
      </c>
      <c r="E94" s="1019" cm="1">
        <f t="array" ref="E94">IFERROR(IF(_xlfn.SINGLE(INDEX(SafetyGroup,A88,1))=Hwy,_xlfn.SINGLE(INDEX(SafetyData1NB,A88,5))*IF(ProjLoc=3,PARAMETERS!$BB$26,PARAMETERS!$AZ$26),_xlfn.SINGLE(INDEX(SafetyData1NB,A88,1))*INDEX(PARAMETERS!$BH$12:$BK$14/10^6,1,MATCH(_xlfn.SINGLE(INDEX(SafetyGroup,A88,1)),PARAMETERS!$BH$11:$BK$11,0)))*AnnualFactor,0)</f>
        <v>0</v>
      </c>
      <c r="F94" s="1020" cm="1">
        <f t="array" ref="F94">IFERROR(IF(_xlfn.SINGLE(INDEX(SafetyGroup,A88,1))=Hwy,_xlfn.SINGLE(INDEX(SafetyData1B,A88,5))*IF(ProjLoc=3,PARAMETERS!$BB$26,PARAMETERS!$AZ$26),_xlfn.SINGLE(INDEX(SafetyData1B,A88,1))*INDEX(PARAMETERS!$BH$12:$BK$14/10^6,1,MATCH(_xlfn.SINGLE(INDEX(SafetyGroup,A88,1)),PARAMETERS!$BH$11:$BK$11,0))*(1-_xlfn.SINGLE(INDEX(SafetyGroup,A88,6))))*AnnualFactor,0)</f>
        <v>0</v>
      </c>
      <c r="G94" s="1019" cm="1">
        <f t="array" ref="G94">IFERROR(IF(_xlfn.SINGLE(INDEX(SafetyGroup,A88,1))=Hwy,(_xlfn.SINGLE(INDEX(SafetyData1NB,A88,5))*IF(ProjLoc=3,PARAMETERS!$BB$33,PARAMETERS!$AZ$33)+_xlfn.SINGLE(INDEX(SafetyData1NB,A88,6))*IF(ProjLoc=3,PARAMETERS!$BB$34,PARAMETERS!$AZ$34)),_xlfn.SINGLE(INDEX(SafetyData1NB,A88,1))*INDEX(PARAMETERS!$BH$12:$BK$14/10^6,2,MATCH(_xlfn.SINGLE(INDEX(SafetyGroup,A88,1)),PARAMETERS!$BH$11:$BK$11,0)))*AnnualFactor,0)</f>
        <v>0.11689125000000002</v>
      </c>
      <c r="H94" s="1020" cm="1">
        <f t="array" ref="H94">IFERROR(IF(_xlfn.SINGLE(INDEX(SafetyGroup,A88,1))=Hwy,(_xlfn.SINGLE(INDEX(SafetyData1B,A88,5))*IF(ProjLoc=3,PARAMETERS!$BB$33,PARAMETERS!$AZ$33)+_xlfn.SINGLE(INDEX(SafetyData1B,A88,6))*IF(ProjLoc=3,PARAMETERS!$BB$34,PARAMETERS!$AZ$34)),_xlfn.SINGLE(INDEX(SafetyData1B,A88,1))*INDEX(PARAMETERS!$BH$12:$BK$14/10^6,2,MATCH(_xlfn.SINGLE(INDEX(SafetyGroup,A88,1)),PARAMETERS!$BH$11:$BK$11,0))*(1-_xlfn.SINGLE(INDEX(SafetyGroup,A88,7))))*AnnualFactor,0)</f>
        <v>2.7594000000000004E-2</v>
      </c>
      <c r="I94" s="1019" cm="1">
        <f t="array" ref="I94">IFERROR(IF(_xlfn.SINGLE(INDEX(SafetyGroup,A88,1))=Hwy,(_xlfn.SINGLE(INDEX(SafetyData1NB,A88,5))*IF(ProjLoc=3,PARAMETERS!$BB$41,PARAMETERS!$AZ$41)+_xlfn.SINGLE(INDEX(SafetyData1NB,A88,6))*IF(ProjLoc=3,PARAMETERS!$BB$42,PARAMETERS!$AZ$42)+_xlfn.SINGLE(INDEX(SafetyData1NB,A88,7))*IF(ProjLoc=3,PARAMETERS!$BB$43,PARAMETERS!$AZ$43)*2),_xlfn.SINGLE(INDEX(SafetyData1NB,A88,1))*INDEX(PARAMETERS!$BH$12:$BK$14/10^6,3,MATCH(_xlfn.SINGLE(INDEX(SafetyGroup,A88,1)),PARAMETERS!$BH$11:$BK$11,0)))*AnnualFactor,0)</f>
        <v>0.63722429999999997</v>
      </c>
      <c r="J94" s="1020" cm="1">
        <f t="array" ref="J94">IFERROR(IF(_xlfn.SINGLE(INDEX(SafetyGroup,A88,1))=Hwy,(_xlfn.SINGLE(INDEX(SafetyData1B,A88,5))*IF(ProjLoc=3,PARAMETERS!$BB$41,PARAMETERS!$AZ$41)+_xlfn.SINGLE(INDEX(SafetyData1B,A88,6))*IF(ProjLoc=3,PARAMETERS!$BB$42,PARAMETERS!$AZ$42)+_xlfn.SINGLE(INDEX(SafetyData1B,A88,7))*IF(ProjLoc=3,PARAMETERS!$BB$43,PARAMETERS!$AZ$43)*2),_xlfn.SINGLE(INDEX(SafetyData1B,A88,1))*INDEX(PARAMETERS!$BH$12:$BK$14/10^6,3,MATCH(_xlfn.SINGLE(INDEX(SafetyGroup,A88,1)),PARAMETERS!$BH$11:$BK$11,0))*(1-_xlfn.SINGLE(INDEX(SafetyGroup,A88,8))))*AnnualFactor,0)</f>
        <v>0.39782992499999992</v>
      </c>
      <c r="K94" s="367">
        <f>IFERROR(IF(INDEX(SafetyGroup,A88,1)=Hwy,FatValue,INDEX(PARAMETERS!$BH$26:$BK$28,1,MATCH(INDEX(SafetyGroup,A88,1),PARAMETERS!$BH$25:$BK$25,0)))*(E94-F94),0)</f>
        <v>0</v>
      </c>
      <c r="L94" s="701">
        <f>IFERROR(IF(INDEX(SafetyGroup,A88,1)=Hwy,SUMPRODUCT(PARAMETERS!$E$64:$E$66,PARAMETERS!$BC$12:$BC$14),INDEX(PARAMETERS!$BH$26:$BK$28,2,MATCH(INDEX(SafetyGroup,A88,1),PARAMETERS!$BH$25:$BK$25,0)))*(G94-H94),0)</f>
        <v>10397.9102007375</v>
      </c>
      <c r="M94" s="832">
        <f>IFERROR(IF(INDEX(SafetyGroup,A88,1)=Hwy,NoInjValue,INDEX(PARAMETERS!$BH$26:$BK$28,3,MATCH(INDEX(SafetyGroup,A88,1),PARAMETERS!$BH$25:$BK$25,0)))*(I94-J94),0)</f>
        <v>742.12256250000019</v>
      </c>
      <c r="N94" s="369">
        <f>SUM(K94:M94)</f>
        <v>11140.032763237501</v>
      </c>
      <c r="O94" s="370">
        <f>N94/(1+DiscRate)^(B94-YearCurrent)</f>
        <v>9522.5466942238727</v>
      </c>
      <c r="Q94" s="809">
        <f>E94-F94</f>
        <v>0</v>
      </c>
      <c r="R94" s="786">
        <f>G94-H94</f>
        <v>8.9297250000000009E-2</v>
      </c>
      <c r="S94" s="787">
        <f>I94-J94</f>
        <v>0.23939437500000005</v>
      </c>
      <c r="U94" s="322"/>
      <c r="V94" s="52">
        <v>1</v>
      </c>
      <c r="W94" s="52">
        <v>2</v>
      </c>
      <c r="X94" s="52">
        <v>3</v>
      </c>
      <c r="Y94" s="52">
        <v>4</v>
      </c>
      <c r="Z94" s="52">
        <v>5</v>
      </c>
      <c r="AA94" s="52">
        <v>6</v>
      </c>
      <c r="AC94"/>
      <c r="AD94"/>
      <c r="AE94"/>
    </row>
    <row r="95" spans="1:31" x14ac:dyDescent="0.25">
      <c r="B95" s="379">
        <f>SafetyYearLast</f>
        <v>2046</v>
      </c>
      <c r="C95" s="380">
        <f>INDEX(SafetyData20NB,A88,1)*AnnualFactor</f>
        <v>769785</v>
      </c>
      <c r="D95" s="381">
        <f>INDEX(SafetyData20B,A88,1)*AnnualFactor</f>
        <v>757375</v>
      </c>
      <c r="E95" s="1021" cm="1">
        <f t="array" ref="E95">IFERROR(IF(_xlfn.SINGLE(INDEX(SafetyGroup,A88,1))=Hwy,_xlfn.SINGLE(INDEX(SafetyData20NB,A88,5))*IF(ProjLoc=3,PARAMETERS!$BB$26,PARAMETERS!$AZ$26),_xlfn.SINGLE(INDEX(SafetyData20NB,A88,1))*INDEX(PARAMETERS!$BH$12:$BK$14/10^6,1,MATCH(_xlfn.SINGLE(INDEX(SafetyGroup,A88,1)),PARAMETERS!$BH$11:$BK$11,0)))*AnnualFactor,0)</f>
        <v>0</v>
      </c>
      <c r="F95" s="1022" cm="1">
        <f t="array" ref="F95">IFERROR(IF(_xlfn.SINGLE(INDEX(SafetyGroup,A88,1))=Hwy,_xlfn.SINGLE(INDEX(SafetyData20B,A88,5))*IF(ProjLoc=3,PARAMETERS!$BB$26,PARAMETERS!$AZ$26),_xlfn.SINGLE(INDEX(SafetyData20B,A88,1))*INDEX(PARAMETERS!$BH$12:$BK$14/10^6,1,MATCH(_xlfn.SINGLE(INDEX(SafetyGroup,A88,1)),PARAMETERS!$BH$11:$BK$11,0))*(1-_xlfn.SINGLE(INDEX(SafetyGroup,A88,6))))*AnnualFactor,0)</f>
        <v>0</v>
      </c>
      <c r="G95" s="1021" cm="1">
        <f t="array" ref="G95">IFERROR(IF(_xlfn.SINGLE(INDEX(SafetyGroup,A88,1))=Hwy,(_xlfn.SINGLE(INDEX(SafetyData20NB,A88,5))*IF(ProjLoc=3,PARAMETERS!$BB$33,PARAMETERS!$AZ$33)+_xlfn.SINGLE(INDEX(SafetyData20NB,A88,6))*IF(ProjLoc=3,PARAMETERS!$BB$34,PARAMETERS!$AZ$34)),_xlfn.SINGLE(INDEX(SafetyData20NB,A88,1))*INDEX(PARAMETERS!$BH$12:$BK$14/10^6,2,MATCH(_xlfn.SINGLE(INDEX(SafetyGroup,A88,1)),PARAMETERS!$BH$11:$BK$11,0)))*AnnualFactor,0)</f>
        <v>0.16165485000000002</v>
      </c>
      <c r="H95" s="1022" cm="1">
        <f t="array" ref="H95">IFERROR(IF(_xlfn.SINGLE(INDEX(SafetyGroup,A88,1))=Hwy,(_xlfn.SINGLE(INDEX(SafetyData20B,A88,5))*IF(ProjLoc=3,PARAMETERS!$BB$33,PARAMETERS!$AZ$33)+_xlfn.SINGLE(INDEX(SafetyData20B,A88,6))*IF(ProjLoc=3,PARAMETERS!$BB$34,PARAMETERS!$AZ$34)),_xlfn.SINGLE(INDEX(SafetyData20B,A88,1))*INDEX(PARAMETERS!$BH$12:$BK$14/10^6,2,MATCH(_xlfn.SINGLE(INDEX(SafetyGroup,A88,1)),PARAMETERS!$BH$11:$BK$11,0))*(1-_xlfn.SINGLE(INDEX(SafetyGroup,A88,7))))*AnnualFactor,0)</f>
        <v>3.817170000000001E-2</v>
      </c>
      <c r="I95" s="1021" cm="1">
        <f t="array" ref="I95">IFERROR(IF(_xlfn.SINGLE(INDEX(SafetyGroup,A88,1))=Hwy,(_xlfn.SINGLE(INDEX(SafetyData20NB,A88,5))*IF(ProjLoc=3,PARAMETERS!$BB$41,PARAMETERS!$AZ$41)+_xlfn.SINGLE(INDEX(SafetyData20NB,A88,6))*IF(ProjLoc=3,PARAMETERS!$BB$42,PARAMETERS!$AZ$42)+_xlfn.SINGLE(INDEX(SafetyData20NB,A88,7))*IF(ProjLoc=3,PARAMETERS!$BB$43,PARAMETERS!$AZ$43)*2),_xlfn.SINGLE(INDEX(SafetyData20NB,A88,1))*INDEX(PARAMETERS!$BH$12:$BK$14/10^6,3,MATCH(_xlfn.SINGLE(INDEX(SafetyGroup,A88,1)),PARAMETERS!$BH$11:$BK$11,0)))*AnnualFactor,0)</f>
        <v>0.88124986800000016</v>
      </c>
      <c r="J95" s="1022" cm="1">
        <f t="array" ref="J95">IFERROR(IF(_xlfn.SINGLE(INDEX(SafetyGroup,A88,1))=Hwy,(_xlfn.SINGLE(INDEX(SafetyData20B,A88,5))*IF(ProjLoc=3,PARAMETERS!$BB$41,PARAMETERS!$AZ$41)+_xlfn.SINGLE(INDEX(SafetyData20B,A88,6))*IF(ProjLoc=3,PARAMETERS!$BB$42,PARAMETERS!$AZ$42)+_xlfn.SINGLE(INDEX(SafetyData20B,A88,7))*IF(ProjLoc=3,PARAMETERS!$BB$43,PARAMETERS!$AZ$43)*2),_xlfn.SINGLE(INDEX(SafetyData20B,A88,1))*INDEX(PARAMETERS!$BH$12:$BK$14/10^6,3,MATCH(_xlfn.SINGLE(INDEX(SafetyGroup,A88,1)),PARAMETERS!$BH$11:$BK$11,0))*(1-_xlfn.SINGLE(INDEX(SafetyGroup,A88,8))))*AnnualFactor,0)</f>
        <v>0.55033139624999994</v>
      </c>
      <c r="K95" s="782">
        <f>IFERROR(IF(INDEX(SafetyGroup,A88,1)=Hwy,FatValue,INDEX(PARAMETERS!$BH$26:$BK$28,1,MATCH(INDEX(SafetyGroup,A88,1),PARAMETERS!$BH$25:$BK$25,0)))*(E95-F95),0)</f>
        <v>0</v>
      </c>
      <c r="L95" s="833">
        <f>IFERROR(IF(INDEX(SafetyGroup,A88,1)=Hwy,SUMPRODUCT(PARAMETERS!$E$64:$E$66,PARAMETERS!$BC$12:$BC$14),INDEX(PARAMETERS!$BH$26:$BK$28,2,MATCH(INDEX(SafetyGroup,A88,1),PARAMETERS!$BH$25:$BK$25,0)))*(G95-H95),0)</f>
        <v>14378.569384882499</v>
      </c>
      <c r="M95" s="830">
        <f>IFERROR(IF(INDEX(SafetyGroup,A88,1)=Hwy,NoInjValue,INDEX(PARAMETERS!$BH$26:$BK$28,3,MATCH(INDEX(SafetyGroup,A88,1),PARAMETERS!$BH$25:$BK$25,0)))*(I95-J95),0)</f>
        <v>1025.8472624250007</v>
      </c>
      <c r="N95" s="369">
        <f>SUM(K95:M95)</f>
        <v>15404.4166473075</v>
      </c>
      <c r="O95" s="370">
        <f>N95/(1+DiscRate)^(B95-YearCurrent)</f>
        <v>6009.5937338587446</v>
      </c>
      <c r="Q95" s="810">
        <f>E95-F95</f>
        <v>0</v>
      </c>
      <c r="R95" s="789">
        <f>G95-H95</f>
        <v>0.12348315000000001</v>
      </c>
      <c r="S95" s="790">
        <f>I95-J95</f>
        <v>0.33091847175000022</v>
      </c>
      <c r="U95" s="335"/>
      <c r="V95" s="1777" t="str">
        <f t="shared" ref="V95:AA95" si="23">IF(ISBLANK(INDEX(SafetyModelGroup,V94,1)),"Not Used",INDEX(SafetyModelGroup,V94,1))</f>
        <v>SB Off-ramp to Ave 280</v>
      </c>
      <c r="W95" s="1777" t="str">
        <f t="shared" si="23"/>
        <v>SB On-ramp from Ave 280</v>
      </c>
      <c r="X95" s="1777" t="str">
        <f t="shared" si="23"/>
        <v>NB Off-ramp to Ave 280</v>
      </c>
      <c r="Y95" s="1777" t="str">
        <f t="shared" si="23"/>
        <v>NB On-ramp from Ave 280</v>
      </c>
      <c r="Z95" s="1777" t="str">
        <f t="shared" si="23"/>
        <v>NB Mainline</v>
      </c>
      <c r="AA95" s="1777" t="str">
        <f t="shared" si="23"/>
        <v>SB Mainline</v>
      </c>
      <c r="AC95"/>
      <c r="AD95"/>
      <c r="AE95"/>
    </row>
    <row r="96" spans="1:31" x14ac:dyDescent="0.25">
      <c r="B96" s="385"/>
      <c r="C96" s="388"/>
      <c r="D96" s="388"/>
      <c r="E96" s="388"/>
      <c r="F96" s="388"/>
      <c r="G96" s="434"/>
      <c r="H96" s="434"/>
      <c r="I96" s="434"/>
      <c r="J96" s="434"/>
      <c r="K96" s="388"/>
      <c r="L96" s="388"/>
      <c r="M96" s="388"/>
      <c r="N96" s="388"/>
      <c r="O96" s="389"/>
      <c r="Q96" s="391"/>
      <c r="R96" s="391"/>
      <c r="S96" s="391"/>
      <c r="U96" s="77" t="s">
        <v>34</v>
      </c>
      <c r="V96" s="1778"/>
      <c r="W96" s="1778"/>
      <c r="X96" s="1778"/>
      <c r="Y96" s="1778"/>
      <c r="Z96" s="1778"/>
      <c r="AA96" s="1778"/>
      <c r="AC96"/>
      <c r="AD96"/>
      <c r="AE96"/>
    </row>
    <row r="97" spans="2:31" x14ac:dyDescent="0.25">
      <c r="B97" s="375">
        <f>YearOpen</f>
        <v>2026</v>
      </c>
      <c r="C97" s="401">
        <f>MAX(TREND(C94:C95,B94:B95,B97),0)</f>
        <v>556625</v>
      </c>
      <c r="D97" s="402">
        <f>MAX(TREND(D94:D95,B94:B95,B97),0)</f>
        <v>547500</v>
      </c>
      <c r="E97" s="725">
        <f>MAX(TREND(E94:E95,B94:B95,B97),0)</f>
        <v>0</v>
      </c>
      <c r="F97" s="726">
        <f>MAX(TREND(F94:F95,B94:B95,B97),0)</f>
        <v>0</v>
      </c>
      <c r="G97" s="725">
        <f>MAX(TREND(G94:G95,B94:B95,B97),0)</f>
        <v>0.11689124999999922</v>
      </c>
      <c r="H97" s="726">
        <f>MAX(TREND(H94:H95,B94:B95,B97),0)</f>
        <v>2.7593999999999896E-2</v>
      </c>
      <c r="I97" s="725">
        <f>MAX(TREND(I94:I95,B94:B95,B97),0)</f>
        <v>0.63722429999999974</v>
      </c>
      <c r="J97" s="726">
        <f>MAX(TREND(J94:J95,B94:B95,B97),0)</f>
        <v>0.39782992499999992</v>
      </c>
      <c r="K97" s="729">
        <f>IFERROR(IF(INDEX(SafetyGroup,A88,1)=Hwy,FatValue,INDEX(PARAMETERS!$BH$26:$BK$28,1,MATCH(INDEX(SafetyGroup,A88,1),PARAMETERS!$BH$25:$BK$25,0)))*(E97-F97),0)</f>
        <v>0</v>
      </c>
      <c r="L97" s="728">
        <f>IFERROR(IF(INDEX(SafetyGroup,A88,1)=Hwy,SUMPRODUCT(PARAMETERS!$E$64:$E$66,PARAMETERS!$BC$12:$BC$14),INDEX(PARAMETERS!$BH$26:$BK$28,2,MATCH(INDEX(SafetyGroup,A88,1),PARAMETERS!$BH$25:$BK$25,0)))*(G97-H97),0)</f>
        <v>10397.91020073742</v>
      </c>
      <c r="M97" s="802">
        <f>IFERROR(IF(INDEX(SafetyGroup,A88,1)=Hwy,NoInjValue,INDEX(PARAMETERS!$BH$26:$BK$28,3,MATCH(INDEX(SafetyGroup,A88,1),PARAMETERS!$BH$25:$BK$25,0)))*(I97-J97),0)</f>
        <v>742.1225624999995</v>
      </c>
      <c r="N97" s="369">
        <f>SUM(K97:M97)</f>
        <v>11140.032763237419</v>
      </c>
      <c r="O97" s="370">
        <f t="shared" ref="O97:O116" si="24">N97/(1+DiscRate)^(B97-YearCurrent)</f>
        <v>9522.5466942238018</v>
      </c>
      <c r="Q97" s="811">
        <f>E97-F97</f>
        <v>0</v>
      </c>
      <c r="R97" s="786">
        <f>G97-H97</f>
        <v>8.9297249999999329E-2</v>
      </c>
      <c r="S97" s="787">
        <f>I97-J97</f>
        <v>0.23939437499999983</v>
      </c>
      <c r="U97" s="355"/>
      <c r="V97" s="1779"/>
      <c r="W97" s="1779"/>
      <c r="X97" s="1779"/>
      <c r="Y97" s="1779"/>
      <c r="Z97" s="1779"/>
      <c r="AA97" s="1779"/>
      <c r="AC97"/>
      <c r="AD97"/>
      <c r="AE97"/>
    </row>
    <row r="98" spans="2:31" x14ac:dyDescent="0.25">
      <c r="B98" s="375">
        <f>B97+1</f>
        <v>2027</v>
      </c>
      <c r="C98" s="401">
        <f>MAX(TREND(C94:C95,B94:B95,B98),0)</f>
        <v>567283</v>
      </c>
      <c r="D98" s="402">
        <f>MAX(TREND(D94:D95,B94:B95,B98),0)</f>
        <v>557993.75</v>
      </c>
      <c r="E98" s="725">
        <f>MAX(TREND(E94:E95,B94:B95,B98),0)</f>
        <v>0</v>
      </c>
      <c r="F98" s="726">
        <f>MAX(TREND(F94:F95,B94:B95,B98),0)</f>
        <v>0</v>
      </c>
      <c r="G98" s="725">
        <f>MAX(TREND(G94:G95,B94:B95,B98),0)</f>
        <v>0.11912943000000009</v>
      </c>
      <c r="H98" s="726">
        <f>MAX(TREND(H94:H95,B94:B95,B98),0)</f>
        <v>2.8122884999999931E-2</v>
      </c>
      <c r="I98" s="725">
        <f>MAX(TREND(I94:I95,B94:B95,B98),0)</f>
        <v>0.64942557839999893</v>
      </c>
      <c r="J98" s="726">
        <f>MAX(TREND(J94:J95,B94:B95,B98),0)</f>
        <v>0.40545499856249911</v>
      </c>
      <c r="K98" s="729">
        <f>IFERROR(IF(INDEX(SafetyGroup,A88,1)=Hwy,FatValue,INDEX(PARAMETERS!$BH$26:$BK$28,1,MATCH(INDEX(SafetyGroup,A88,1),PARAMETERS!$BH$25:$BK$25,0)))*(E98-F98),0)</f>
        <v>0</v>
      </c>
      <c r="L98" s="730">
        <f>IFERROR(IF(INDEX(SafetyGroup,A88,1)=Hwy,SUMPRODUCT(PARAMETERS!$E$64:$E$66,PARAMETERS!$BC$12:$BC$14),INDEX(PARAMETERS!$BH$26:$BK$28,2,MATCH(INDEX(SafetyGroup,A88,1),PARAMETERS!$BH$25:$BK$25,0)))*(G98-H98),0)</f>
        <v>10596.943159944767</v>
      </c>
      <c r="M98" s="802">
        <f>IFERROR(IF(INDEX(SafetyGroup,A88,1)=Hwy,NoInjValue,INDEX(PARAMETERS!$BH$26:$BK$28,3,MATCH(INDEX(SafetyGroup,A88,1),PARAMETERS!$BH$25:$BK$25,0)))*(I98-J98),0)</f>
        <v>756.30879749624944</v>
      </c>
      <c r="N98" s="369">
        <f>SUM(K98:M98)</f>
        <v>11353.251957441016</v>
      </c>
      <c r="O98" s="370">
        <f t="shared" si="24"/>
        <v>9331.5455336894393</v>
      </c>
      <c r="Q98" s="812">
        <f t="shared" ref="Q98:Q116" si="25">E98-F98</f>
        <v>0</v>
      </c>
      <c r="R98" s="785">
        <f t="shared" ref="R98:R116" si="26">G98-H98</f>
        <v>9.1006545000000161E-2</v>
      </c>
      <c r="S98" s="788">
        <f t="shared" ref="S98:S116" si="27">I98-J98</f>
        <v>0.24397057983749981</v>
      </c>
      <c r="U98" s="375">
        <f>YearOpen</f>
        <v>2026</v>
      </c>
      <c r="V98" s="378">
        <f t="shared" ref="V98:V117" ca="1" si="28">OFFSET($R9,MATCH(V$94,$A:$A),0)</f>
        <v>0.79751828400000058</v>
      </c>
      <c r="W98" s="378">
        <f t="shared" ref="W98:AA107" ca="1" si="29">OFFSET($R9,MATCH(W$94,$A:$A),0)</f>
        <v>0.27038615999999926</v>
      </c>
      <c r="X98" s="378">
        <f t="shared" ca="1" si="29"/>
        <v>8.9297249999999329E-2</v>
      </c>
      <c r="Y98" s="378">
        <f t="shared" ca="1" si="29"/>
        <v>0</v>
      </c>
      <c r="Z98" s="378">
        <f t="shared" ca="1" si="29"/>
        <v>1.6711068750000067</v>
      </c>
      <c r="AA98" s="378">
        <f t="shared" ca="1" si="29"/>
        <v>2.0271301745000301</v>
      </c>
      <c r="AC98"/>
      <c r="AD98"/>
      <c r="AE98"/>
    </row>
    <row r="99" spans="2:31" x14ac:dyDescent="0.25">
      <c r="B99" s="375">
        <f t="shared" ref="B99:B116" si="30">B98+1</f>
        <v>2028</v>
      </c>
      <c r="C99" s="401">
        <f>MAX(TREND(C94:C95,B94:B95,B99),0)</f>
        <v>577941</v>
      </c>
      <c r="D99" s="402">
        <f>MAX(TREND(D94:D95,B94:B95,B99),0)</f>
        <v>568487.5</v>
      </c>
      <c r="E99" s="725">
        <f>MAX(TREND(E94:E95,B94:B95,B99),0)</f>
        <v>0</v>
      </c>
      <c r="F99" s="726">
        <f>MAX(TREND(F94:F95,B94:B95,B99),0)</f>
        <v>0</v>
      </c>
      <c r="G99" s="725">
        <f>MAX(TREND(G94:G95,B94:B95,B99),0)</f>
        <v>0.12136761000000007</v>
      </c>
      <c r="H99" s="726">
        <f>MAX(TREND(H94:H95,B94:B95,B99),0)</f>
        <v>2.8651769999999965E-2</v>
      </c>
      <c r="I99" s="725">
        <f>MAX(TREND(I94:I95,B94:B95,B99),0)</f>
        <v>0.66162685679999811</v>
      </c>
      <c r="J99" s="726">
        <f>MAX(TREND(J94:J95,B94:B95,B99),0)</f>
        <v>0.41308007212500009</v>
      </c>
      <c r="K99" s="729">
        <f>IFERROR(IF(INDEX(SafetyGroup,A88,1)=Hwy,FatValue,INDEX(PARAMETERS!$BH$26:$BK$28,1,MATCH(INDEX(SafetyGroup,A88,1),PARAMETERS!$BH$25:$BK$25,0)))*(E99-F99),0)</f>
        <v>0</v>
      </c>
      <c r="L99" s="730">
        <f>IFERROR(IF(INDEX(SafetyGroup,A88,1)=Hwy,SUMPRODUCT(PARAMETERS!$E$64:$E$66,PARAMETERS!$BC$12:$BC$14),INDEX(PARAMETERS!$BH$26:$BK$28,2,MATCH(INDEX(SafetyGroup,A88,1),PARAMETERS!$BH$25:$BK$25,0)))*(G99-H99),0)</f>
        <v>10795.976119152012</v>
      </c>
      <c r="M99" s="802">
        <f>IFERROR(IF(INDEX(SafetyGroup,A88,1)=Hwy,NoInjValue,INDEX(PARAMETERS!$BH$26:$BK$28,3,MATCH(INDEX(SafetyGroup,A88,1),PARAMETERS!$BH$25:$BK$25,0)))*(I99-J99),0)</f>
        <v>770.49503249249392</v>
      </c>
      <c r="N99" s="369">
        <f>SUM(K99:M99)</f>
        <v>11566.471151644506</v>
      </c>
      <c r="O99" s="370">
        <f t="shared" si="24"/>
        <v>9141.1501625833407</v>
      </c>
      <c r="Q99" s="812">
        <f t="shared" si="25"/>
        <v>0</v>
      </c>
      <c r="R99" s="785">
        <f t="shared" si="26"/>
        <v>9.2715840000000105E-2</v>
      </c>
      <c r="S99" s="788">
        <f t="shared" si="27"/>
        <v>0.24854678467499802</v>
      </c>
      <c r="U99" s="375">
        <f>U98+1</f>
        <v>2027</v>
      </c>
      <c r="V99" s="378">
        <f t="shared" ca="1" si="28"/>
        <v>0.80552912880000171</v>
      </c>
      <c r="W99" s="378">
        <f t="shared" ca="1" si="29"/>
        <v>0.27557225519999884</v>
      </c>
      <c r="X99" s="378">
        <f t="shared" ca="1" si="29"/>
        <v>9.1006545000000161E-2</v>
      </c>
      <c r="Y99" s="378">
        <f t="shared" ca="1" si="29"/>
        <v>0</v>
      </c>
      <c r="Z99" s="378">
        <f t="shared" ca="1" si="29"/>
        <v>1.7058621750000214</v>
      </c>
      <c r="AA99" s="378">
        <f t="shared" ca="1" si="29"/>
        <v>2.0629128940200303</v>
      </c>
      <c r="AC99"/>
      <c r="AD99"/>
      <c r="AE99"/>
    </row>
    <row r="100" spans="2:31" x14ac:dyDescent="0.25">
      <c r="B100" s="375">
        <f t="shared" si="30"/>
        <v>2029</v>
      </c>
      <c r="C100" s="401">
        <f>MAX(TREND(C94:C95,B94:B95,B100),0)</f>
        <v>588599</v>
      </c>
      <c r="D100" s="402">
        <f>MAX(TREND(D94:D95,B94:B95,B100),0)</f>
        <v>578981.25</v>
      </c>
      <c r="E100" s="725">
        <f>MAX(TREND(E94:E95,B94:B95,B100),0)</f>
        <v>0</v>
      </c>
      <c r="F100" s="726">
        <f>MAX(TREND(F94:F95,B94:B95,B100),0)</f>
        <v>0</v>
      </c>
      <c r="G100" s="725">
        <f>MAX(TREND(G94:G95,B94:B95,B100),0)</f>
        <v>0.12360579000000005</v>
      </c>
      <c r="H100" s="726">
        <f>MAX(TREND(H94:H95,B94:B95,B100),0)</f>
        <v>2.9180655E-2</v>
      </c>
      <c r="I100" s="725">
        <f>MAX(TREND(I94:I95,B94:B95,B100),0)</f>
        <v>0.67382813520000084</v>
      </c>
      <c r="J100" s="726">
        <f>MAX(TREND(J94:J95,B94:B95,B100),0)</f>
        <v>0.42070514568749928</v>
      </c>
      <c r="K100" s="729">
        <f>IFERROR(IF(INDEX(SafetyGroup,A88,1)=Hwy,FatValue,INDEX(PARAMETERS!$BH$26:$BK$28,1,MATCH(INDEX(SafetyGroup,A88,1),PARAMETERS!$BH$25:$BK$25,0)))*(E100-F100),0)</f>
        <v>0</v>
      </c>
      <c r="L100" s="730">
        <f>IFERROR(IF(INDEX(SafetyGroup,A88,1)=Hwy,SUMPRODUCT(PARAMETERS!$E$64:$E$66,PARAMETERS!$BC$12:$BC$14),INDEX(PARAMETERS!$BH$26:$BK$28,2,MATCH(INDEX(SafetyGroup,A88,1),PARAMETERS!$BH$25:$BK$25,0)))*(G100-H100),0)</f>
        <v>10995.009078359255</v>
      </c>
      <c r="M100" s="802">
        <f>IFERROR(IF(INDEX(SafetyGroup,A88,1)=Hwy,NoInjValue,INDEX(PARAMETERS!$BH$26:$BK$28,3,MATCH(INDEX(SafetyGroup,A88,1),PARAMETERS!$BH$25:$BK$25,0)))*(I100-J100),0)</f>
        <v>784.68126748875488</v>
      </c>
      <c r="N100" s="369">
        <f t="shared" ref="N100:N116" si="31">SUM(K100:M100)</f>
        <v>11779.69034584801</v>
      </c>
      <c r="O100" s="370">
        <f t="shared" si="24"/>
        <v>8951.5965278142758</v>
      </c>
      <c r="Q100" s="812">
        <f t="shared" si="25"/>
        <v>0</v>
      </c>
      <c r="R100" s="785">
        <f t="shared" si="26"/>
        <v>9.4425135000000049E-2</v>
      </c>
      <c r="S100" s="788">
        <f t="shared" si="27"/>
        <v>0.25312298951250156</v>
      </c>
      <c r="U100" s="375">
        <f t="shared" ref="U100:U117" si="32">U99+1</f>
        <v>2028</v>
      </c>
      <c r="V100" s="378">
        <f t="shared" ca="1" si="28"/>
        <v>0.81353997360000285</v>
      </c>
      <c r="W100" s="378">
        <f t="shared" ca="1" si="29"/>
        <v>0.28075835039999886</v>
      </c>
      <c r="X100" s="378">
        <f t="shared" ca="1" si="29"/>
        <v>9.2715840000000105E-2</v>
      </c>
      <c r="Y100" s="378">
        <f t="shared" ca="1" si="29"/>
        <v>0</v>
      </c>
      <c r="Z100" s="378">
        <f t="shared" ca="1" si="29"/>
        <v>1.7406174750000076</v>
      </c>
      <c r="AA100" s="378">
        <f t="shared" ca="1" si="29"/>
        <v>2.0986956135400021</v>
      </c>
      <c r="AC100"/>
      <c r="AD100"/>
      <c r="AE100"/>
    </row>
    <row r="101" spans="2:31" x14ac:dyDescent="0.25">
      <c r="B101" s="375">
        <f t="shared" si="30"/>
        <v>2030</v>
      </c>
      <c r="C101" s="401">
        <f>MAX(TREND(C94:C95,B94:B95,B101),0)</f>
        <v>599257</v>
      </c>
      <c r="D101" s="402">
        <f>MAX(TREND(D94:D95,B94:B95,B101),0)</f>
        <v>589475</v>
      </c>
      <c r="E101" s="725">
        <f>MAX(TREND(E94:E95,B94:B95,B101),0)</f>
        <v>0</v>
      </c>
      <c r="F101" s="726">
        <f>MAX(TREND(F94:F95,B94:B95,B101),0)</f>
        <v>0</v>
      </c>
      <c r="G101" s="725">
        <f>MAX(TREND(G94:G95,B94:B95,B101),0)</f>
        <v>0.12584397000000003</v>
      </c>
      <c r="H101" s="726">
        <f>MAX(TREND(H94:H95,B94:B95,B101),0)</f>
        <v>2.9709540000000034E-2</v>
      </c>
      <c r="I101" s="725">
        <f>MAX(TREND(I94:I95,B94:B95,B101),0)</f>
        <v>0.68602941360000003</v>
      </c>
      <c r="J101" s="726">
        <f>MAX(TREND(J94:J95,B94:B95,B101),0)</f>
        <v>0.42833021925000025</v>
      </c>
      <c r="K101" s="729">
        <f>IFERROR(IF(INDEX(SafetyGroup,A88,1)=Hwy,FatValue,INDEX(PARAMETERS!$BH$26:$BK$28,1,MATCH(INDEX(SafetyGroup,A88,1),PARAMETERS!$BH$25:$BK$25,0)))*(E101-F101),0)</f>
        <v>0</v>
      </c>
      <c r="L101" s="730">
        <f>IFERROR(IF(INDEX(SafetyGroup,A88,1)=Hwy,SUMPRODUCT(PARAMETERS!$E$64:$E$66,PARAMETERS!$BC$12:$BC$14),INDEX(PARAMETERS!$BH$26:$BK$28,2,MATCH(INDEX(SafetyGroup,A88,1),PARAMETERS!$BH$25:$BK$25,0)))*(G101-H101),0)</f>
        <v>11194.042037566498</v>
      </c>
      <c r="M101" s="802">
        <f>IFERROR(IF(INDEX(SafetyGroup,A88,1)=Hwy,NoInjValue,INDEX(PARAMETERS!$BH$26:$BK$28,3,MATCH(INDEX(SafetyGroup,A88,1),PARAMETERS!$BH$25:$BK$25,0)))*(I101-J101),0)</f>
        <v>798.86750248499925</v>
      </c>
      <c r="N101" s="369">
        <f t="shared" si="31"/>
        <v>11992.909540051498</v>
      </c>
      <c r="O101" s="370">
        <f t="shared" si="24"/>
        <v>8763.1015303904769</v>
      </c>
      <c r="Q101" s="812">
        <f t="shared" si="25"/>
        <v>0</v>
      </c>
      <c r="R101" s="785">
        <f t="shared" si="26"/>
        <v>9.6134429999999993E-2</v>
      </c>
      <c r="S101" s="788">
        <f t="shared" si="27"/>
        <v>0.25769919434999977</v>
      </c>
      <c r="U101" s="375">
        <f t="shared" si="32"/>
        <v>2029</v>
      </c>
      <c r="V101" s="378">
        <f t="shared" ca="1" si="28"/>
        <v>0.82155081840000044</v>
      </c>
      <c r="W101" s="378">
        <f t="shared" ca="1" si="29"/>
        <v>0.28594444559999888</v>
      </c>
      <c r="X101" s="378">
        <f t="shared" ca="1" si="29"/>
        <v>9.4425135000000049E-2</v>
      </c>
      <c r="Y101" s="378">
        <f t="shared" ca="1" si="29"/>
        <v>0</v>
      </c>
      <c r="Z101" s="378">
        <f t="shared" ca="1" si="29"/>
        <v>1.7753727750000223</v>
      </c>
      <c r="AA101" s="378">
        <f t="shared" ca="1" si="29"/>
        <v>2.1344783330600166</v>
      </c>
      <c r="AC101"/>
      <c r="AD101"/>
      <c r="AE101"/>
    </row>
    <row r="102" spans="2:31" x14ac:dyDescent="0.25">
      <c r="B102" s="375">
        <f t="shared" si="30"/>
        <v>2031</v>
      </c>
      <c r="C102" s="401">
        <f>MAX(TREND(C94:C95,B94:B95,B102),0)</f>
        <v>609915</v>
      </c>
      <c r="D102" s="402">
        <f>MAX(TREND(D94:D95,B94:B95,B102),0)</f>
        <v>599968.75</v>
      </c>
      <c r="E102" s="725">
        <f>MAX(TREND(E94:E95,B94:B95,B102),0)</f>
        <v>0</v>
      </c>
      <c r="F102" s="726">
        <f>MAX(TREND(F94:F95,B94:B95,B102),0)</f>
        <v>0</v>
      </c>
      <c r="G102" s="725">
        <f>MAX(TREND(G94:G95,B94:B95,B102),0)</f>
        <v>0.12808215000000001</v>
      </c>
      <c r="H102" s="726">
        <f>MAX(TREND(H94:H95,B94:B95,B102),0)</f>
        <v>3.0238425000000069E-2</v>
      </c>
      <c r="I102" s="725">
        <f>MAX(TREND(I94:I95,B94:B95,B102),0)</f>
        <v>0.69823069199999921</v>
      </c>
      <c r="J102" s="726">
        <f>MAX(TREND(J94:J95,B94:B95,B102),0)</f>
        <v>0.43595529281249945</v>
      </c>
      <c r="K102" s="729">
        <f>IFERROR(IF(INDEX(SafetyGroup,A88,1)=Hwy,FatValue,INDEX(PARAMETERS!$BH$26:$BK$28,1,MATCH(INDEX(SafetyGroup,A88,1),PARAMETERS!$BH$25:$BK$25,0)))*(E102-F102),0)</f>
        <v>0</v>
      </c>
      <c r="L102" s="730">
        <f>IFERROR(IF(INDEX(SafetyGroup,A88,1)=Hwy,SUMPRODUCT(PARAMETERS!$E$64:$E$66,PARAMETERS!$BC$12:$BC$14),INDEX(PARAMETERS!$BH$26:$BK$28,2,MATCH(INDEX(SafetyGroup,A88,1),PARAMETERS!$BH$25:$BK$25,0)))*(G102-H102),0)</f>
        <v>11393.074996773741</v>
      </c>
      <c r="M102" s="802">
        <f>IFERROR(IF(INDEX(SafetyGroup,A88,1)=Hwy,NoInjValue,INDEX(PARAMETERS!$BH$26:$BK$28,3,MATCH(INDEX(SafetyGroup,A88,1),PARAMETERS!$BH$25:$BK$25,0)))*(I102-J102),0)</f>
        <v>813.0537374812493</v>
      </c>
      <c r="N102" s="369">
        <f t="shared" si="31"/>
        <v>12206.128734254991</v>
      </c>
      <c r="O102" s="370">
        <f t="shared" si="24"/>
        <v>8575.8641414551767</v>
      </c>
      <c r="Q102" s="812">
        <f t="shared" si="25"/>
        <v>0</v>
      </c>
      <c r="R102" s="785">
        <f t="shared" si="26"/>
        <v>9.7843724999999937E-2</v>
      </c>
      <c r="S102" s="788">
        <f t="shared" si="27"/>
        <v>0.26227539918749976</v>
      </c>
      <c r="U102" s="375">
        <f t="shared" si="32"/>
        <v>2030</v>
      </c>
      <c r="V102" s="378">
        <f t="shared" ca="1" si="28"/>
        <v>0.82956166320000158</v>
      </c>
      <c r="W102" s="378">
        <f t="shared" ca="1" si="29"/>
        <v>0.29113054079999889</v>
      </c>
      <c r="X102" s="378">
        <f t="shared" ca="1" si="29"/>
        <v>9.6134429999999993E-2</v>
      </c>
      <c r="Y102" s="378">
        <f t="shared" ca="1" si="29"/>
        <v>0</v>
      </c>
      <c r="Z102" s="378">
        <f t="shared" ca="1" si="29"/>
        <v>1.8101280750000086</v>
      </c>
      <c r="AA102" s="378">
        <f t="shared" ca="1" si="29"/>
        <v>2.1702610525800168</v>
      </c>
      <c r="AC102"/>
      <c r="AD102"/>
      <c r="AE102"/>
    </row>
    <row r="103" spans="2:31" x14ac:dyDescent="0.25">
      <c r="B103" s="375">
        <f t="shared" si="30"/>
        <v>2032</v>
      </c>
      <c r="C103" s="401">
        <f>MAX(TREND(C94:C95,B94:B95,B103),0)</f>
        <v>620573</v>
      </c>
      <c r="D103" s="402">
        <f>MAX(TREND(D94:D95,B94:B95,B103),0)</f>
        <v>610462.5</v>
      </c>
      <c r="E103" s="725">
        <f>MAX(TREND(E94:E95,B94:B95,B103),0)</f>
        <v>0</v>
      </c>
      <c r="F103" s="726">
        <f>MAX(TREND(F94:F95,B94:B95,B103),0)</f>
        <v>0</v>
      </c>
      <c r="G103" s="725">
        <f>MAX(TREND(G94:G95,B94:B95,B103),0)</f>
        <v>0.13032032999999998</v>
      </c>
      <c r="H103" s="726">
        <f>MAX(TREND(H94:H95,B94:B95,B103),0)</f>
        <v>3.0767309999999881E-2</v>
      </c>
      <c r="I103" s="725">
        <f>MAX(TREND(I94:I95,B94:B95,B103),0)</f>
        <v>0.71043197039999839</v>
      </c>
      <c r="J103" s="726">
        <f>MAX(TREND(J94:J95,B94:B95,B103),0)</f>
        <v>0.44358036637500042</v>
      </c>
      <c r="K103" s="729">
        <f>IFERROR(IF(INDEX(SafetyGroup,A88,1)=Hwy,FatValue,INDEX(PARAMETERS!$BH$26:$BK$28,1,MATCH(INDEX(SafetyGroup,A88,1),PARAMETERS!$BH$25:$BK$25,0)))*(E103-F103),0)</f>
        <v>0</v>
      </c>
      <c r="L103" s="730">
        <f>IFERROR(IF(INDEX(SafetyGroup,A88,1)=Hwy,SUMPRODUCT(PARAMETERS!$E$64:$E$66,PARAMETERS!$BC$12:$BC$14),INDEX(PARAMETERS!$BH$26:$BK$28,2,MATCH(INDEX(SafetyGroup,A88,1),PARAMETERS!$BH$25:$BK$25,0)))*(G103-H103),0)</f>
        <v>11592.107955981011</v>
      </c>
      <c r="M103" s="802">
        <f>IFERROR(IF(INDEX(SafetyGroup,A88,1)=Hwy,NoInjValue,INDEX(PARAMETERS!$BH$26:$BK$28,3,MATCH(INDEX(SafetyGroup,A88,1),PARAMETERS!$BH$25:$BK$25,0)))*(I103-J103),0)</f>
        <v>827.23997247749367</v>
      </c>
      <c r="N103" s="369">
        <f t="shared" si="31"/>
        <v>12419.347928458505</v>
      </c>
      <c r="O103" s="370">
        <f t="shared" si="24"/>
        <v>8390.0664606474729</v>
      </c>
      <c r="Q103" s="812">
        <f t="shared" si="25"/>
        <v>0</v>
      </c>
      <c r="R103" s="785">
        <f t="shared" si="26"/>
        <v>9.9553020000000103E-2</v>
      </c>
      <c r="S103" s="788">
        <f t="shared" si="27"/>
        <v>0.26685160402499797</v>
      </c>
      <c r="U103" s="375">
        <f t="shared" si="32"/>
        <v>2031</v>
      </c>
      <c r="V103" s="378">
        <f t="shared" ca="1" si="28"/>
        <v>0.83757250800000271</v>
      </c>
      <c r="W103" s="378">
        <f t="shared" ca="1" si="29"/>
        <v>0.29631663600000069</v>
      </c>
      <c r="X103" s="378">
        <f t="shared" ca="1" si="29"/>
        <v>9.7843724999999937E-2</v>
      </c>
      <c r="Y103" s="378">
        <f t="shared" ca="1" si="29"/>
        <v>0</v>
      </c>
      <c r="Z103" s="378">
        <f t="shared" ca="1" si="29"/>
        <v>1.8448833750000233</v>
      </c>
      <c r="AA103" s="378">
        <f t="shared" ca="1" si="29"/>
        <v>2.206043772100017</v>
      </c>
      <c r="AC103"/>
      <c r="AD103"/>
      <c r="AE103"/>
    </row>
    <row r="104" spans="2:31" x14ac:dyDescent="0.25">
      <c r="B104" s="375">
        <f t="shared" si="30"/>
        <v>2033</v>
      </c>
      <c r="C104" s="401">
        <f>MAX(TREND(C94:C95,B94:B95,B104),0)</f>
        <v>631231</v>
      </c>
      <c r="D104" s="402">
        <f>MAX(TREND(D94:D95,B94:B95,B104),0)</f>
        <v>620956.25</v>
      </c>
      <c r="E104" s="725">
        <f>MAX(TREND(E94:E95,B94:B95,B104),0)</f>
        <v>0</v>
      </c>
      <c r="F104" s="726">
        <f>MAX(TREND(F94:F95,B94:B95,B104),0)</f>
        <v>0</v>
      </c>
      <c r="G104" s="725">
        <f>MAX(TREND(G94:G95,B94:B95,B104),0)</f>
        <v>0.13255850999999996</v>
      </c>
      <c r="H104" s="726">
        <f>MAX(TREND(H94:H95,B94:B95,B104),0)</f>
        <v>3.1296194999999916E-2</v>
      </c>
      <c r="I104" s="725">
        <f>MAX(TREND(I94:I95,B94:B95,B104),0)</f>
        <v>0.72263324880000113</v>
      </c>
      <c r="J104" s="726">
        <f>MAX(TREND(J94:J95,B94:B95,B104),0)</f>
        <v>0.45120543993749962</v>
      </c>
      <c r="K104" s="729">
        <f>IFERROR(IF(INDEX(SafetyGroup,A88,1)=Hwy,FatValue,INDEX(PARAMETERS!$BH$26:$BK$28,1,MATCH(INDEX(SafetyGroup,A88,1),PARAMETERS!$BH$25:$BK$25,0)))*(E104-F104),0)</f>
        <v>0</v>
      </c>
      <c r="L104" s="730">
        <f>IFERROR(IF(INDEX(SafetyGroup,A88,1)=Hwy,SUMPRODUCT(PARAMETERS!$E$64:$E$66,PARAMETERS!$BC$12:$BC$14),INDEX(PARAMETERS!$BH$26:$BK$28,2,MATCH(INDEX(SafetyGroup,A88,1),PARAMETERS!$BH$25:$BK$25,0)))*(G104-H104),0)</f>
        <v>11791.140915188254</v>
      </c>
      <c r="M104" s="802">
        <f>IFERROR(IF(INDEX(SafetyGroup,A88,1)=Hwy,NoInjValue,INDEX(PARAMETERS!$BH$26:$BK$28,3,MATCH(INDEX(SafetyGroup,A88,1),PARAMETERS!$BH$25:$BK$25,0)))*(I104-J104),0)</f>
        <v>841.42620747375463</v>
      </c>
      <c r="N104" s="369">
        <f t="shared" si="31"/>
        <v>12632.567122662009</v>
      </c>
      <c r="O104" s="370">
        <f t="shared" si="24"/>
        <v>8205.8747195742981</v>
      </c>
      <c r="Q104" s="812">
        <f t="shared" si="25"/>
        <v>0</v>
      </c>
      <c r="R104" s="785">
        <f t="shared" si="26"/>
        <v>0.10126231500000005</v>
      </c>
      <c r="S104" s="788">
        <f t="shared" si="27"/>
        <v>0.27142780886250151</v>
      </c>
      <c r="U104" s="375">
        <f t="shared" si="32"/>
        <v>2032</v>
      </c>
      <c r="V104" s="378">
        <f t="shared" ca="1" si="28"/>
        <v>0.8455833528000003</v>
      </c>
      <c r="W104" s="378">
        <f t="shared" ca="1" si="29"/>
        <v>0.30150273120000071</v>
      </c>
      <c r="X104" s="378">
        <f t="shared" ca="1" si="29"/>
        <v>9.9553020000000103E-2</v>
      </c>
      <c r="Y104" s="378">
        <f t="shared" ca="1" si="29"/>
        <v>0</v>
      </c>
      <c r="Z104" s="378">
        <f t="shared" ca="1" si="29"/>
        <v>1.8796386750000096</v>
      </c>
      <c r="AA104" s="378">
        <f t="shared" ca="1" si="29"/>
        <v>2.2418264916200314</v>
      </c>
      <c r="AC104"/>
      <c r="AD104"/>
      <c r="AE104"/>
    </row>
    <row r="105" spans="2:31" x14ac:dyDescent="0.25">
      <c r="B105" s="375">
        <f t="shared" si="30"/>
        <v>2034</v>
      </c>
      <c r="C105" s="401">
        <f>MAX(TREND(C94:C95,B94:B95,B105),0)</f>
        <v>641889</v>
      </c>
      <c r="D105" s="402">
        <f>MAX(TREND(D94:D95,B94:B95,B105),0)</f>
        <v>631450</v>
      </c>
      <c r="E105" s="725">
        <f>MAX(TREND(E94:E95,B94:B95,B105),0)</f>
        <v>0</v>
      </c>
      <c r="F105" s="726">
        <f>MAX(TREND(F94:F95,B94:B95,B105),0)</f>
        <v>0</v>
      </c>
      <c r="G105" s="725">
        <f>MAX(TREND(G94:G95,B94:B95,B105),0)</f>
        <v>0.13479668999999994</v>
      </c>
      <c r="H105" s="726">
        <f>MAX(TREND(H94:H95,B94:B95,B105),0)</f>
        <v>3.182507999999995E-2</v>
      </c>
      <c r="I105" s="725">
        <f>MAX(TREND(I94:I95,B94:B95,B105),0)</f>
        <v>0.73483452720000031</v>
      </c>
      <c r="J105" s="726">
        <f>MAX(TREND(J94:J95,B94:B95,B105),0)</f>
        <v>0.45883051350000059</v>
      </c>
      <c r="K105" s="729">
        <f>IFERROR(IF(INDEX(SafetyGroup,A88,1)=Hwy,FatValue,INDEX(PARAMETERS!$BH$26:$BK$28,1,MATCH(INDEX(SafetyGroup,A88,1),PARAMETERS!$BH$25:$BK$25,0)))*(E105-F105),0)</f>
        <v>0</v>
      </c>
      <c r="L105" s="730">
        <f>IFERROR(IF(INDEX(SafetyGroup,A88,1)=Hwy,SUMPRODUCT(PARAMETERS!$E$64:$E$66,PARAMETERS!$BC$12:$BC$14),INDEX(PARAMETERS!$BH$26:$BK$28,2,MATCH(INDEX(SafetyGroup,A88,1),PARAMETERS!$BH$25:$BK$25,0)))*(G105-H105),0)</f>
        <v>11990.173874395497</v>
      </c>
      <c r="M105" s="802">
        <f>IFERROR(IF(INDEX(SafetyGroup,A88,1)=Hwy,NoInjValue,INDEX(PARAMETERS!$BH$26:$BK$28,3,MATCH(INDEX(SafetyGroup,A88,1),PARAMETERS!$BH$25:$BK$25,0)))*(I105-J105),0)</f>
        <v>855.61244246999911</v>
      </c>
      <c r="N105" s="369">
        <f t="shared" si="31"/>
        <v>12845.786316865497</v>
      </c>
      <c r="O105" s="370">
        <f t="shared" si="24"/>
        <v>8023.4402330501607</v>
      </c>
      <c r="Q105" s="812">
        <f t="shared" si="25"/>
        <v>0</v>
      </c>
      <c r="R105" s="785">
        <f t="shared" si="26"/>
        <v>0.10297160999999999</v>
      </c>
      <c r="S105" s="788">
        <f t="shared" si="27"/>
        <v>0.27600401369999972</v>
      </c>
      <c r="U105" s="375">
        <f t="shared" si="32"/>
        <v>2033</v>
      </c>
      <c r="V105" s="378">
        <f t="shared" ca="1" si="28"/>
        <v>0.85359419760000144</v>
      </c>
      <c r="W105" s="378">
        <f t="shared" ca="1" si="29"/>
        <v>0.30668882640000028</v>
      </c>
      <c r="X105" s="378">
        <f t="shared" ca="1" si="29"/>
        <v>0.10126231500000005</v>
      </c>
      <c r="Y105" s="378">
        <f t="shared" ca="1" si="29"/>
        <v>0</v>
      </c>
      <c r="Z105" s="378">
        <f t="shared" ca="1" si="29"/>
        <v>1.9143939750000243</v>
      </c>
      <c r="AA105" s="378">
        <f t="shared" ca="1" si="29"/>
        <v>2.2776092111400317</v>
      </c>
      <c r="AC105"/>
      <c r="AD105"/>
      <c r="AE105"/>
    </row>
    <row r="106" spans="2:31" x14ac:dyDescent="0.25">
      <c r="B106" s="375">
        <f t="shared" si="30"/>
        <v>2035</v>
      </c>
      <c r="C106" s="401">
        <f>MAX(TREND(C94:C95,B94:B95,B106),0)</f>
        <v>652547</v>
      </c>
      <c r="D106" s="402">
        <f>MAX(TREND(D94:D95,B94:B95,B106),0)</f>
        <v>641943.75</v>
      </c>
      <c r="E106" s="725">
        <f>MAX(TREND(E94:E95,B94:B95,B106),0)</f>
        <v>0</v>
      </c>
      <c r="F106" s="726">
        <f>MAX(TREND(F94:F95,B94:B95,B106),0)</f>
        <v>0</v>
      </c>
      <c r="G106" s="725">
        <f>MAX(TREND(G94:G95,B94:B95,B106),0)</f>
        <v>0.13703486999999992</v>
      </c>
      <c r="H106" s="726">
        <f>MAX(TREND(H94:H95,B94:B95,B106),0)</f>
        <v>3.2353964999999985E-2</v>
      </c>
      <c r="I106" s="725">
        <f>MAX(TREND(I94:I95,B94:B95,B106),0)</f>
        <v>0.74703580559999949</v>
      </c>
      <c r="J106" s="726">
        <f>MAX(TREND(J94:J95,B94:B95,B106),0)</f>
        <v>0.46645558706249979</v>
      </c>
      <c r="K106" s="729">
        <f>IFERROR(IF(INDEX(SafetyGroup,A88,1)=Hwy,FatValue,INDEX(PARAMETERS!$BH$26:$BK$28,1,MATCH(INDEX(SafetyGroup,A88,1),PARAMETERS!$BH$25:$BK$25,0)))*(E106-F106),0)</f>
        <v>0</v>
      </c>
      <c r="L106" s="730">
        <f>IFERROR(IF(INDEX(SafetyGroup,A88,1)=Hwy,SUMPRODUCT(PARAMETERS!$E$64:$E$66,PARAMETERS!$BC$12:$BC$14),INDEX(PARAMETERS!$BH$26:$BK$28,2,MATCH(INDEX(SafetyGroup,A88,1),PARAMETERS!$BH$25:$BK$25,0)))*(G106-H106),0)</f>
        <v>12189.206833602741</v>
      </c>
      <c r="M106" s="802">
        <f>IFERROR(IF(INDEX(SafetyGroup,A88,1)=Hwy,NoInjValue,INDEX(PARAMETERS!$BH$26:$BK$28,3,MATCH(INDEX(SafetyGroup,A88,1),PARAMETERS!$BH$25:$BK$25,0)))*(I106-J106),0)</f>
        <v>869.79867746624905</v>
      </c>
      <c r="N106" s="369">
        <f t="shared" si="31"/>
        <v>13059.00551106899</v>
      </c>
      <c r="O106" s="370">
        <f t="shared" si="24"/>
        <v>7842.9003006379826</v>
      </c>
      <c r="Q106" s="812">
        <f t="shared" si="25"/>
        <v>0</v>
      </c>
      <c r="R106" s="785">
        <f t="shared" si="26"/>
        <v>0.10468090499999994</v>
      </c>
      <c r="S106" s="788">
        <f t="shared" si="27"/>
        <v>0.2805802185374997</v>
      </c>
      <c r="U106" s="375">
        <f t="shared" si="32"/>
        <v>2034</v>
      </c>
      <c r="V106" s="378">
        <f t="shared" ca="1" si="28"/>
        <v>0.86160504240000257</v>
      </c>
      <c r="W106" s="378">
        <f t="shared" ca="1" si="29"/>
        <v>0.3118749216000003</v>
      </c>
      <c r="X106" s="378">
        <f t="shared" ca="1" si="29"/>
        <v>0.10297160999999999</v>
      </c>
      <c r="Y106" s="378">
        <f t="shared" ca="1" si="29"/>
        <v>0</v>
      </c>
      <c r="Z106" s="378">
        <f t="shared" ca="1" si="29"/>
        <v>1.9491492750000106</v>
      </c>
      <c r="AA106" s="378">
        <f t="shared" ca="1" si="29"/>
        <v>2.3133919306600035</v>
      </c>
      <c r="AC106"/>
      <c r="AD106"/>
      <c r="AE106"/>
    </row>
    <row r="107" spans="2:31" x14ac:dyDescent="0.25">
      <c r="B107" s="375">
        <f t="shared" si="30"/>
        <v>2036</v>
      </c>
      <c r="C107" s="401">
        <f>MAX(TREND(C94:C95,B94:B95,B107),0)</f>
        <v>663205</v>
      </c>
      <c r="D107" s="402">
        <f>MAX(TREND(D94:D95,B94:B95,B107),0)</f>
        <v>652437.5</v>
      </c>
      <c r="E107" s="725">
        <f>MAX(TREND(E94:E95,B94:B95,B107),0)</f>
        <v>0</v>
      </c>
      <c r="F107" s="726">
        <f>MAX(TREND(F94:F95,B94:B95,B107),0)</f>
        <v>0</v>
      </c>
      <c r="G107" s="725">
        <f>MAX(TREND(G94:G95,B94:B95,B107),0)</f>
        <v>0.1392730499999999</v>
      </c>
      <c r="H107" s="726">
        <f>MAX(TREND(H94:H95,B94:B95,B107),0)</f>
        <v>3.2882850000000019E-2</v>
      </c>
      <c r="I107" s="725">
        <f>MAX(TREND(I94:I95,B94:B95,B107),0)</f>
        <v>0.75923708399999867</v>
      </c>
      <c r="J107" s="726">
        <f>MAX(TREND(J94:J95,B94:B95,B107),0)</f>
        <v>0.47408066062500076</v>
      </c>
      <c r="K107" s="729">
        <f>IFERROR(IF(INDEX(SafetyGroup,A88,1)=Hwy,FatValue,INDEX(PARAMETERS!$BH$26:$BK$28,1,MATCH(INDEX(SafetyGroup,A88,1),PARAMETERS!$BH$25:$BK$25,0)))*(E107-F107),0)</f>
        <v>0</v>
      </c>
      <c r="L107" s="730">
        <f>IFERROR(IF(INDEX(SafetyGroup,A88,1)=Hwy,SUMPRODUCT(PARAMETERS!$E$64:$E$66,PARAMETERS!$BC$12:$BC$14),INDEX(PARAMETERS!$BH$26:$BK$28,2,MATCH(INDEX(SafetyGroup,A88,1),PARAMETERS!$BH$25:$BK$25,0)))*(G107-H107),0)</f>
        <v>12388.239792809985</v>
      </c>
      <c r="M107" s="802">
        <f>IFERROR(IF(INDEX(SafetyGroup,A88,1)=Hwy,NoInjValue,INDEX(PARAMETERS!$BH$26:$BK$28,3,MATCH(INDEX(SafetyGroup,A88,1),PARAMETERS!$BH$25:$BK$25,0)))*(I107-J107),0)</f>
        <v>883.98491246249353</v>
      </c>
      <c r="N107" s="369">
        <f t="shared" si="31"/>
        <v>13272.22470527248</v>
      </c>
      <c r="O107" s="370">
        <f t="shared" si="24"/>
        <v>7664.3790609068419</v>
      </c>
      <c r="Q107" s="812">
        <f t="shared" si="25"/>
        <v>0</v>
      </c>
      <c r="R107" s="785">
        <f t="shared" si="26"/>
        <v>0.10639019999999988</v>
      </c>
      <c r="S107" s="788">
        <f t="shared" si="27"/>
        <v>0.28515642337499791</v>
      </c>
      <c r="U107" s="375">
        <f t="shared" si="32"/>
        <v>2035</v>
      </c>
      <c r="V107" s="378">
        <f t="shared" ca="1" si="28"/>
        <v>0.86961588720000016</v>
      </c>
      <c r="W107" s="378">
        <f t="shared" ca="1" si="29"/>
        <v>0.31706101680000032</v>
      </c>
      <c r="X107" s="378">
        <f t="shared" ca="1" si="29"/>
        <v>0.10468090499999994</v>
      </c>
      <c r="Y107" s="378">
        <f t="shared" ca="1" si="29"/>
        <v>0</v>
      </c>
      <c r="Z107" s="378">
        <f t="shared" ca="1" si="29"/>
        <v>1.9839045750000253</v>
      </c>
      <c r="AA107" s="378">
        <f t="shared" ca="1" si="29"/>
        <v>2.3491746501800179</v>
      </c>
      <c r="AC107"/>
      <c r="AD107"/>
      <c r="AE107"/>
    </row>
    <row r="108" spans="2:31" x14ac:dyDescent="0.25">
      <c r="B108" s="375">
        <f t="shared" si="30"/>
        <v>2037</v>
      </c>
      <c r="C108" s="401">
        <f>MAX(TREND(C94:C95,B94:B95,B108),0)</f>
        <v>673863</v>
      </c>
      <c r="D108" s="402">
        <f>MAX(TREND(D94:D95,B94:B95,B108),0)</f>
        <v>662931.25</v>
      </c>
      <c r="E108" s="725">
        <f>MAX(TREND(E94:E95,B94:B95,B108),0)</f>
        <v>0</v>
      </c>
      <c r="F108" s="726">
        <f>MAX(TREND(F94:F95,B94:B95,B108),0)</f>
        <v>0</v>
      </c>
      <c r="G108" s="725">
        <f>MAX(TREND(G94:G95,B94:B95,B108),0)</f>
        <v>0.14151122999999988</v>
      </c>
      <c r="H108" s="726">
        <f>MAX(TREND(H94:H95,B94:B95,B108),0)</f>
        <v>3.3411735000000053E-2</v>
      </c>
      <c r="I108" s="725">
        <f>MAX(TREND(I94:I95,B94:B95,B108),0)</f>
        <v>0.77143836239999786</v>
      </c>
      <c r="J108" s="726">
        <f>MAX(TREND(J94:J95,B94:B95,B108),0)</f>
        <v>0.48170573418749996</v>
      </c>
      <c r="K108" s="729">
        <f>IFERROR(IF(INDEX(SafetyGroup,A88,1)=Hwy,FatValue,INDEX(PARAMETERS!$BH$26:$BK$28,1,MATCH(INDEX(SafetyGroup,A88,1),PARAMETERS!$BH$25:$BK$25,0)))*(E108-F108),0)</f>
        <v>0</v>
      </c>
      <c r="L108" s="730">
        <f>IFERROR(IF(INDEX(SafetyGroup,A88,1)=Hwy,SUMPRODUCT(PARAMETERS!$E$64:$E$66,PARAMETERS!$BC$12:$BC$14),INDEX(PARAMETERS!$BH$26:$BK$28,2,MATCH(INDEX(SafetyGroup,A88,1),PARAMETERS!$BH$25:$BK$25,0)))*(G108-H108),0)</f>
        <v>12587.272752017228</v>
      </c>
      <c r="M108" s="802">
        <f>IFERROR(IF(INDEX(SafetyGroup,A88,1)=Hwy,NoInjValue,INDEX(PARAMETERS!$BH$26:$BK$28,3,MATCH(INDEX(SafetyGroup,A88,1),PARAMETERS!$BH$25:$BK$25,0)))*(I108-J108),0)</f>
        <v>898.17114745874346</v>
      </c>
      <c r="N108" s="369">
        <f t="shared" si="31"/>
        <v>13485.443899475971</v>
      </c>
      <c r="O108" s="370">
        <f t="shared" si="24"/>
        <v>7487.9883007102908</v>
      </c>
      <c r="Q108" s="812">
        <f t="shared" si="25"/>
        <v>0</v>
      </c>
      <c r="R108" s="785">
        <f t="shared" si="26"/>
        <v>0.10809949499999982</v>
      </c>
      <c r="S108" s="788">
        <f t="shared" si="27"/>
        <v>0.2897326282124979</v>
      </c>
      <c r="U108" s="375">
        <f t="shared" si="32"/>
        <v>2036</v>
      </c>
      <c r="V108" s="378">
        <f t="shared" ca="1" si="28"/>
        <v>0.8776267320000013</v>
      </c>
      <c r="W108" s="378">
        <f t="shared" ref="W108:AA117" ca="1" si="33">OFFSET($R19,MATCH(W$94,$A:$A),0)</f>
        <v>0.32224711200000034</v>
      </c>
      <c r="X108" s="378">
        <f t="shared" ca="1" si="33"/>
        <v>0.10639019999999988</v>
      </c>
      <c r="Y108" s="378">
        <f t="shared" ca="1" si="33"/>
        <v>0</v>
      </c>
      <c r="Z108" s="378">
        <f t="shared" ca="1" si="33"/>
        <v>2.0186598750000115</v>
      </c>
      <c r="AA108" s="378">
        <f t="shared" ca="1" si="33"/>
        <v>2.3849573697000181</v>
      </c>
      <c r="AC108"/>
      <c r="AD108"/>
      <c r="AE108"/>
    </row>
    <row r="109" spans="2:31" x14ac:dyDescent="0.25">
      <c r="B109" s="375">
        <f t="shared" si="30"/>
        <v>2038</v>
      </c>
      <c r="C109" s="401">
        <f>MAX(TREND(C94:C95,B94:B95,B109),0)</f>
        <v>684521</v>
      </c>
      <c r="D109" s="402">
        <f>MAX(TREND(D94:D95,B94:B95,B109),0)</f>
        <v>673425</v>
      </c>
      <c r="E109" s="725">
        <f>MAX(TREND(E94:E95,B94:B95,B109),0)</f>
        <v>0</v>
      </c>
      <c r="F109" s="726">
        <f>MAX(TREND(F94:F95,B94:B95,B109),0)</f>
        <v>0</v>
      </c>
      <c r="G109" s="725">
        <f>MAX(TREND(G94:G95,B94:B95,B109),0)</f>
        <v>0.14374940999999986</v>
      </c>
      <c r="H109" s="726">
        <f>MAX(TREND(H94:H95,B94:B95,B109),0)</f>
        <v>3.3940620000000088E-2</v>
      </c>
      <c r="I109" s="725">
        <f>MAX(TREND(I94:I95,B94:B95,B109),0)</f>
        <v>0.78363964080000059</v>
      </c>
      <c r="J109" s="726">
        <f>MAX(TREND(J94:J95,B94:B95,B109),0)</f>
        <v>0.48933080774999915</v>
      </c>
      <c r="K109" s="729">
        <f>IFERROR(IF(INDEX(SafetyGroup,A88,1)=Hwy,FatValue,INDEX(PARAMETERS!$BH$26:$BK$28,1,MATCH(INDEX(SafetyGroup,A88,1),PARAMETERS!$BH$25:$BK$25,0)))*(E109-F109),0)</f>
        <v>0</v>
      </c>
      <c r="L109" s="730">
        <f>IFERROR(IF(INDEX(SafetyGroup,A88,1)=Hwy,SUMPRODUCT(PARAMETERS!$E$64:$E$66,PARAMETERS!$BC$12:$BC$14),INDEX(PARAMETERS!$BH$26:$BK$28,2,MATCH(INDEX(SafetyGroup,A88,1),PARAMETERS!$BH$25:$BK$25,0)))*(G109-H109),0)</f>
        <v>12786.305711224471</v>
      </c>
      <c r="M109" s="802">
        <f>IFERROR(IF(INDEX(SafetyGroup,A88,1)=Hwy,NoInjValue,INDEX(PARAMETERS!$BH$26:$BK$28,3,MATCH(INDEX(SafetyGroup,A88,1),PARAMETERS!$BH$25:$BK$25,0)))*(I109-J109),0)</f>
        <v>912.35738245500443</v>
      </c>
      <c r="N109" s="369">
        <f t="shared" si="31"/>
        <v>13698.663093679475</v>
      </c>
      <c r="O109" s="370">
        <f t="shared" si="24"/>
        <v>7313.8282216813686</v>
      </c>
      <c r="Q109" s="812">
        <f t="shared" si="25"/>
        <v>0</v>
      </c>
      <c r="R109" s="785">
        <f t="shared" si="26"/>
        <v>0.10980878999999977</v>
      </c>
      <c r="S109" s="788">
        <f t="shared" si="27"/>
        <v>0.29430883305000144</v>
      </c>
      <c r="U109" s="375">
        <f t="shared" si="32"/>
        <v>2037</v>
      </c>
      <c r="V109" s="378">
        <f t="shared" ca="1" si="28"/>
        <v>0.88563757680000244</v>
      </c>
      <c r="W109" s="378">
        <f t="shared" ca="1" si="33"/>
        <v>0.32743320720000035</v>
      </c>
      <c r="X109" s="378">
        <f t="shared" ca="1" si="33"/>
        <v>0.10809949499999982</v>
      </c>
      <c r="Y109" s="378">
        <f t="shared" ca="1" si="33"/>
        <v>0</v>
      </c>
      <c r="Z109" s="378">
        <f t="shared" ca="1" si="33"/>
        <v>2.0534151750000262</v>
      </c>
      <c r="AA109" s="378">
        <f t="shared" ca="1" si="33"/>
        <v>2.4207400892200184</v>
      </c>
      <c r="AC109"/>
      <c r="AD109"/>
      <c r="AE109"/>
    </row>
    <row r="110" spans="2:31" x14ac:dyDescent="0.25">
      <c r="B110" s="375">
        <f t="shared" si="30"/>
        <v>2039</v>
      </c>
      <c r="C110" s="401">
        <f>MAX(TREND(C94:C95,B94:B95,B110),0)</f>
        <v>695179</v>
      </c>
      <c r="D110" s="402">
        <f>MAX(TREND(D94:D95,B94:B95,B110),0)</f>
        <v>683918.75</v>
      </c>
      <c r="E110" s="725">
        <f>MAX(TREND(E94:E95,B94:B95,B110),0)</f>
        <v>0</v>
      </c>
      <c r="F110" s="726">
        <f>MAX(TREND(F94:F95,B94:B95,B110),0)</f>
        <v>0</v>
      </c>
      <c r="G110" s="725">
        <f>MAX(TREND(G94:G95,B94:B95,B110),0)</f>
        <v>0.14598758999999983</v>
      </c>
      <c r="H110" s="726">
        <f>MAX(TREND(H94:H95,B94:B95,B110),0)</f>
        <v>3.44695049999999E-2</v>
      </c>
      <c r="I110" s="725">
        <f>MAX(TREND(I94:I95,B94:B95,B110),0)</f>
        <v>0.79584091919999977</v>
      </c>
      <c r="J110" s="726">
        <f>MAX(TREND(J94:J95,B94:B95,B110),0)</f>
        <v>0.49695588131250013</v>
      </c>
      <c r="K110" s="729">
        <f>IFERROR(IF(INDEX(SafetyGroup,A88,1)=Hwy,FatValue,INDEX(PARAMETERS!$BH$26:$BK$28,1,MATCH(INDEX(SafetyGroup,A88,1),PARAMETERS!$BH$25:$BK$25,0)))*(E110-F110),0)</f>
        <v>0</v>
      </c>
      <c r="L110" s="730">
        <f>IFERROR(IF(INDEX(SafetyGroup,A88,1)=Hwy,SUMPRODUCT(PARAMETERS!$E$64:$E$66,PARAMETERS!$BC$12:$BC$14),INDEX(PARAMETERS!$BH$26:$BK$28,2,MATCH(INDEX(SafetyGroup,A88,1),PARAMETERS!$BH$25:$BK$25,0)))*(G110-H110),0)</f>
        <v>12985.338670431742</v>
      </c>
      <c r="M110" s="802">
        <f>IFERROR(IF(INDEX(SafetyGroup,A88,1)=Hwy,NoInjValue,INDEX(PARAMETERS!$BH$26:$BK$28,3,MATCH(INDEX(SafetyGroup,A88,1),PARAMETERS!$BH$25:$BK$25,0)))*(I110-J110),0)</f>
        <v>926.54361745124891</v>
      </c>
      <c r="N110" s="369">
        <f t="shared" si="31"/>
        <v>13911.882287882991</v>
      </c>
      <c r="O110" s="370">
        <f t="shared" si="24"/>
        <v>7141.9881660382425</v>
      </c>
      <c r="Q110" s="812">
        <f t="shared" si="25"/>
        <v>0</v>
      </c>
      <c r="R110" s="785">
        <f t="shared" si="26"/>
        <v>0.11151808499999993</v>
      </c>
      <c r="S110" s="788">
        <f t="shared" si="27"/>
        <v>0.29888503788749965</v>
      </c>
      <c r="U110" s="375">
        <f t="shared" si="32"/>
        <v>2038</v>
      </c>
      <c r="V110" s="378">
        <f t="shared" ca="1" si="28"/>
        <v>0.89364842160000002</v>
      </c>
      <c r="W110" s="378">
        <f t="shared" ca="1" si="33"/>
        <v>0.33261930240000037</v>
      </c>
      <c r="X110" s="378">
        <f t="shared" ca="1" si="33"/>
        <v>0.10980878999999977</v>
      </c>
      <c r="Y110" s="378">
        <f t="shared" ca="1" si="33"/>
        <v>0</v>
      </c>
      <c r="Z110" s="378">
        <f t="shared" ca="1" si="33"/>
        <v>2.0881704750000125</v>
      </c>
      <c r="AA110" s="378">
        <f t="shared" ca="1" si="33"/>
        <v>2.4565228087400328</v>
      </c>
      <c r="AC110"/>
      <c r="AD110"/>
      <c r="AE110"/>
    </row>
    <row r="111" spans="2:31" x14ac:dyDescent="0.25">
      <c r="B111" s="375">
        <f t="shared" si="30"/>
        <v>2040</v>
      </c>
      <c r="C111" s="401">
        <f>MAX(TREND(C94:C95,B94:B95,B111),0)</f>
        <v>705837</v>
      </c>
      <c r="D111" s="402">
        <f>MAX(TREND(D94:D95,B94:B95,B111),0)</f>
        <v>694412.5</v>
      </c>
      <c r="E111" s="725">
        <f>MAX(TREND(E94:E95,B94:B95,B111),0)</f>
        <v>0</v>
      </c>
      <c r="F111" s="726">
        <f>MAX(TREND(F94:F95,B94:B95,B111),0)</f>
        <v>0</v>
      </c>
      <c r="G111" s="725">
        <f>MAX(TREND(G94:G95,B94:B95,B111),0)</f>
        <v>0.14822576999999981</v>
      </c>
      <c r="H111" s="726">
        <f>MAX(TREND(H94:H95,B94:B95,B111),0)</f>
        <v>3.4998389999999935E-2</v>
      </c>
      <c r="I111" s="725">
        <f>MAX(TREND(I94:I95,B94:B95,B111),0)</f>
        <v>0.80804219759999896</v>
      </c>
      <c r="J111" s="726">
        <f>MAX(TREND(J94:J95,B94:B95,B111),0)</f>
        <v>0.50458095487499932</v>
      </c>
      <c r="K111" s="729">
        <f>IFERROR(IF(INDEX(SafetyGroup,A88,1)=Hwy,FatValue,INDEX(PARAMETERS!$BH$26:$BK$28,1,MATCH(INDEX(SafetyGroup,A88,1),PARAMETERS!$BH$25:$BK$25,0)))*(E111-F111),0)</f>
        <v>0</v>
      </c>
      <c r="L111" s="730">
        <f>IFERROR(IF(INDEX(SafetyGroup,A88,1)=Hwy,SUMPRODUCT(PARAMETERS!$E$64:$E$66,PARAMETERS!$BC$12:$BC$14),INDEX(PARAMETERS!$BH$26:$BK$28,2,MATCH(INDEX(SafetyGroup,A88,1),PARAMETERS!$BH$25:$BK$25,0)))*(G111-H111),0)</f>
        <v>13184.371629638985</v>
      </c>
      <c r="M111" s="802">
        <f>IFERROR(IF(INDEX(SafetyGroup,A88,1)=Hwy,NoInjValue,INDEX(PARAMETERS!$BH$26:$BK$28,3,MATCH(INDEX(SafetyGroup,A88,1),PARAMETERS!$BH$25:$BK$25,0)))*(I111-J111),0)</f>
        <v>940.72985244749884</v>
      </c>
      <c r="N111" s="369">
        <f t="shared" si="31"/>
        <v>14125.101482086484</v>
      </c>
      <c r="O111" s="370">
        <f t="shared" si="24"/>
        <v>6972.5473036965268</v>
      </c>
      <c r="Q111" s="812">
        <f t="shared" si="25"/>
        <v>0</v>
      </c>
      <c r="R111" s="785">
        <f t="shared" si="26"/>
        <v>0.11322737999999988</v>
      </c>
      <c r="S111" s="788">
        <f t="shared" si="27"/>
        <v>0.30346124272499964</v>
      </c>
      <c r="U111" s="375">
        <f t="shared" si="32"/>
        <v>2039</v>
      </c>
      <c r="V111" s="378">
        <f t="shared" ca="1" si="28"/>
        <v>0.90165926640000116</v>
      </c>
      <c r="W111" s="378">
        <f t="shared" ca="1" si="33"/>
        <v>0.33780539759999995</v>
      </c>
      <c r="X111" s="378">
        <f t="shared" ca="1" si="33"/>
        <v>0.11151808499999993</v>
      </c>
      <c r="Y111" s="378">
        <f t="shared" ca="1" si="33"/>
        <v>0</v>
      </c>
      <c r="Z111" s="378">
        <f t="shared" ca="1" si="33"/>
        <v>2.1229257750000272</v>
      </c>
      <c r="AA111" s="378">
        <f t="shared" ca="1" si="33"/>
        <v>2.492305528260033</v>
      </c>
      <c r="AC111"/>
      <c r="AD111"/>
      <c r="AE111"/>
    </row>
    <row r="112" spans="2:31" x14ac:dyDescent="0.25">
      <c r="B112" s="375">
        <f t="shared" si="30"/>
        <v>2041</v>
      </c>
      <c r="C112" s="401">
        <f>MAX(TREND(C94:C95,B94:B95,B112),0)</f>
        <v>716495</v>
      </c>
      <c r="D112" s="402">
        <f>MAX(TREND(D94:D95,B94:B95,B112),0)</f>
        <v>704906.25</v>
      </c>
      <c r="E112" s="725">
        <f>MAX(TREND(E94:E95,B94:B95,B112),0)</f>
        <v>0</v>
      </c>
      <c r="F112" s="726">
        <f>MAX(TREND(F94:F95,B94:B95,B112),0)</f>
        <v>0</v>
      </c>
      <c r="G112" s="725">
        <f>MAX(TREND(G94:G95,B94:B95,B112),0)</f>
        <v>0.15046394999999979</v>
      </c>
      <c r="H112" s="726">
        <f>MAX(TREND(H94:H95,B94:B95,B112),0)</f>
        <v>3.5527274999999969E-2</v>
      </c>
      <c r="I112" s="725">
        <f>MAX(TREND(I94:I95,B94:B95,B112),0)</f>
        <v>0.82024347599999814</v>
      </c>
      <c r="J112" s="726">
        <f>MAX(TREND(J94:J95,B94:B95,B112),0)</f>
        <v>0.51220602843750029</v>
      </c>
      <c r="K112" s="729">
        <f>IFERROR(IF(INDEX(SafetyGroup,A88,1)=Hwy,FatValue,INDEX(PARAMETERS!$BH$26:$BK$28,1,MATCH(INDEX(SafetyGroup,A88,1),PARAMETERS!$BH$25:$BK$25,0)))*(E112-F112),0)</f>
        <v>0</v>
      </c>
      <c r="L112" s="730">
        <f>IFERROR(IF(INDEX(SafetyGroup,A88,1)=Hwy,SUMPRODUCT(PARAMETERS!$E$64:$E$66,PARAMETERS!$BC$12:$BC$14),INDEX(PARAMETERS!$BH$26:$BK$28,2,MATCH(INDEX(SafetyGroup,A88,1),PARAMETERS!$BH$25:$BK$25,0)))*(G112-H112),0)</f>
        <v>13383.404588846228</v>
      </c>
      <c r="M112" s="802">
        <f>IFERROR(IF(INDEX(SafetyGroup,A88,1)=Hwy,NoInjValue,INDEX(PARAMETERS!$BH$26:$BK$28,3,MATCH(INDEX(SafetyGroup,A88,1),PARAMETERS!$BH$25:$BK$25,0)))*(I112-J112),0)</f>
        <v>954.91608744374332</v>
      </c>
      <c r="N112" s="369">
        <f t="shared" si="31"/>
        <v>14338.320676289972</v>
      </c>
      <c r="O112" s="370">
        <f t="shared" si="24"/>
        <v>6805.5752825910977</v>
      </c>
      <c r="Q112" s="812">
        <f t="shared" si="25"/>
        <v>0</v>
      </c>
      <c r="R112" s="785">
        <f t="shared" si="26"/>
        <v>0.11493667499999982</v>
      </c>
      <c r="S112" s="788">
        <f t="shared" si="27"/>
        <v>0.30803744756249785</v>
      </c>
      <c r="U112" s="375">
        <f t="shared" si="32"/>
        <v>2040</v>
      </c>
      <c r="V112" s="378">
        <f t="shared" ca="1" si="28"/>
        <v>0.9096701112000023</v>
      </c>
      <c r="W112" s="378">
        <f t="shared" ca="1" si="33"/>
        <v>0.34299149279999996</v>
      </c>
      <c r="X112" s="378">
        <f t="shared" ca="1" si="33"/>
        <v>0.11322737999999988</v>
      </c>
      <c r="Y112" s="378">
        <f t="shared" ca="1" si="33"/>
        <v>0</v>
      </c>
      <c r="Z112" s="378">
        <f t="shared" ca="1" si="33"/>
        <v>2.1576810750000135</v>
      </c>
      <c r="AA112" s="378">
        <f t="shared" ca="1" si="33"/>
        <v>2.5280882477800048</v>
      </c>
      <c r="AC112"/>
      <c r="AD112"/>
      <c r="AE112"/>
    </row>
    <row r="113" spans="1:31" x14ac:dyDescent="0.25">
      <c r="B113" s="375">
        <f t="shared" si="30"/>
        <v>2042</v>
      </c>
      <c r="C113" s="401">
        <f>MAX(TREND(C94:C95,B94:B95,B113),0)</f>
        <v>727153</v>
      </c>
      <c r="D113" s="402">
        <f>MAX(TREND(D94:D95,B94:B95,B113),0)</f>
        <v>715400</v>
      </c>
      <c r="E113" s="725">
        <f>MAX(TREND(E94:E95,B94:B95,B113),0)</f>
        <v>0</v>
      </c>
      <c r="F113" s="726">
        <f>MAX(TREND(F94:F95,B94:B95,B113),0)</f>
        <v>0</v>
      </c>
      <c r="G113" s="725">
        <f>MAX(TREND(G94:G95,B94:B95,B113),0)</f>
        <v>0.15270212999999977</v>
      </c>
      <c r="H113" s="726">
        <f>MAX(TREND(H94:H95,B94:B95,B113),0)</f>
        <v>3.6056160000000004E-2</v>
      </c>
      <c r="I113" s="725">
        <f>MAX(TREND(I94:I95,B94:B95,B113),0)</f>
        <v>0.83244475440000087</v>
      </c>
      <c r="J113" s="726">
        <f>MAX(TREND(J94:J95,B94:B95,B113),0)</f>
        <v>0.51983110199999949</v>
      </c>
      <c r="K113" s="729">
        <f>IFERROR(IF(INDEX(SafetyGroup,A88,1)=Hwy,FatValue,INDEX(PARAMETERS!$BH$26:$BK$28,1,MATCH(INDEX(SafetyGroup,A88,1),PARAMETERS!$BH$25:$BK$25,0)))*(E113-F113),0)</f>
        <v>0</v>
      </c>
      <c r="L113" s="730">
        <f>IFERROR(IF(INDEX(SafetyGroup,A88,1)=Hwy,SUMPRODUCT(PARAMETERS!$E$64:$E$66,PARAMETERS!$BC$12:$BC$14),INDEX(PARAMETERS!$BH$26:$BK$28,2,MATCH(INDEX(SafetyGroup,A88,1),PARAMETERS!$BH$25:$BK$25,0)))*(G113-H113),0)</f>
        <v>13582.437548053471</v>
      </c>
      <c r="M113" s="802">
        <f>IFERROR(IF(INDEX(SafetyGroup,A88,1)=Hwy,NoInjValue,INDEX(PARAMETERS!$BH$26:$BK$28,3,MATCH(INDEX(SafetyGroup,A88,1),PARAMETERS!$BH$25:$BK$25,0)))*(I113-J113),0)</f>
        <v>969.10232244000429</v>
      </c>
      <c r="N113" s="369">
        <f t="shared" si="31"/>
        <v>14551.539870493476</v>
      </c>
      <c r="O113" s="370">
        <f t="shared" si="24"/>
        <v>6641.1328440208626</v>
      </c>
      <c r="Q113" s="812">
        <f t="shared" si="25"/>
        <v>0</v>
      </c>
      <c r="R113" s="785">
        <f t="shared" si="26"/>
        <v>0.11664596999999977</v>
      </c>
      <c r="S113" s="788">
        <f t="shared" si="27"/>
        <v>0.31261365240000138</v>
      </c>
      <c r="U113" s="375">
        <f t="shared" si="32"/>
        <v>2041</v>
      </c>
      <c r="V113" s="378">
        <f t="shared" ca="1" si="28"/>
        <v>0.91768095599999988</v>
      </c>
      <c r="W113" s="378">
        <f t="shared" ca="1" si="33"/>
        <v>0.34817758799999998</v>
      </c>
      <c r="X113" s="378">
        <f t="shared" ca="1" si="33"/>
        <v>0.11493667499999982</v>
      </c>
      <c r="Y113" s="378">
        <f t="shared" ca="1" si="33"/>
        <v>0</v>
      </c>
      <c r="Z113" s="378">
        <f t="shared" ca="1" si="33"/>
        <v>2.1924363750000282</v>
      </c>
      <c r="AA113" s="378">
        <f t="shared" ca="1" si="33"/>
        <v>2.5638709673000193</v>
      </c>
      <c r="AC113"/>
      <c r="AD113"/>
      <c r="AE113"/>
    </row>
    <row r="114" spans="1:31" x14ac:dyDescent="0.25">
      <c r="B114" s="375">
        <f t="shared" si="30"/>
        <v>2043</v>
      </c>
      <c r="C114" s="401">
        <f>MAX(TREND(C94:C95,B94:B95,B114),0)</f>
        <v>737811</v>
      </c>
      <c r="D114" s="402">
        <f>MAX(TREND(D94:D95,B94:B95,B114),0)</f>
        <v>725893.75</v>
      </c>
      <c r="E114" s="725">
        <f>MAX(TREND(E94:E95,B94:B95,B114),0)</f>
        <v>0</v>
      </c>
      <c r="F114" s="726">
        <f>MAX(TREND(F94:F95,B94:B95,B114),0)</f>
        <v>0</v>
      </c>
      <c r="G114" s="725">
        <f>MAX(TREND(G94:G95,B94:B95,B114),0)</f>
        <v>0.15494030999999975</v>
      </c>
      <c r="H114" s="726">
        <f>MAX(TREND(H94:H95,B94:B95,B114),0)</f>
        <v>3.6585045000000038E-2</v>
      </c>
      <c r="I114" s="725">
        <f>MAX(TREND(I94:I95,B94:B95,B114),0)</f>
        <v>0.84464603280000006</v>
      </c>
      <c r="J114" s="726">
        <f>MAX(TREND(J94:J95,B94:B95,B114),0)</f>
        <v>0.52745617556250046</v>
      </c>
      <c r="K114" s="729">
        <f>IFERROR(IF(INDEX(SafetyGroup,A88,1)=Hwy,FatValue,INDEX(PARAMETERS!$BH$26:$BK$28,1,MATCH(INDEX(SafetyGroup,A88,1),PARAMETERS!$BH$25:$BK$25,0)))*(E114-F114),0)</f>
        <v>0</v>
      </c>
      <c r="L114" s="730">
        <f>IFERROR(IF(INDEX(SafetyGroup,A88,1)=Hwy,SUMPRODUCT(PARAMETERS!$E$64:$E$66,PARAMETERS!$BC$12:$BC$14),INDEX(PARAMETERS!$BH$26:$BK$28,2,MATCH(INDEX(SafetyGroup,A88,1),PARAMETERS!$BH$25:$BK$25,0)))*(G114-H114),0)</f>
        <v>13781.470507260714</v>
      </c>
      <c r="M114" s="802">
        <f>IFERROR(IF(INDEX(SafetyGroup,A88,1)=Hwy,NoInjValue,INDEX(PARAMETERS!$BH$26:$BK$28,3,MATCH(INDEX(SafetyGroup,A88,1),PARAMETERS!$BH$25:$BK$25,0)))*(I114-J114),0)</f>
        <v>983.28855743624877</v>
      </c>
      <c r="N114" s="369">
        <f t="shared" si="31"/>
        <v>14764.759064696962</v>
      </c>
      <c r="O114" s="370">
        <f t="shared" si="24"/>
        <v>6479.2724047450865</v>
      </c>
      <c r="Q114" s="812">
        <f t="shared" si="25"/>
        <v>0</v>
      </c>
      <c r="R114" s="785">
        <f t="shared" si="26"/>
        <v>0.11835526499999971</v>
      </c>
      <c r="S114" s="788">
        <f t="shared" si="27"/>
        <v>0.3171898572374996</v>
      </c>
      <c r="U114" s="375">
        <f t="shared" si="32"/>
        <v>2042</v>
      </c>
      <c r="V114" s="378">
        <f t="shared" ca="1" si="28"/>
        <v>0.92569180080000102</v>
      </c>
      <c r="W114" s="378">
        <f t="shared" ca="1" si="33"/>
        <v>0.3533636832</v>
      </c>
      <c r="X114" s="378">
        <f t="shared" ca="1" si="33"/>
        <v>0.11664596999999977</v>
      </c>
      <c r="Y114" s="378">
        <f t="shared" ca="1" si="33"/>
        <v>0</v>
      </c>
      <c r="Z114" s="378">
        <f t="shared" ca="1" si="33"/>
        <v>2.2271916750000145</v>
      </c>
      <c r="AA114" s="378">
        <f t="shared" ca="1" si="33"/>
        <v>2.5996536868200195</v>
      </c>
      <c r="AC114"/>
      <c r="AD114"/>
      <c r="AE114"/>
    </row>
    <row r="115" spans="1:31" x14ac:dyDescent="0.25">
      <c r="B115" s="375">
        <f t="shared" si="30"/>
        <v>2044</v>
      </c>
      <c r="C115" s="401">
        <f>MAX(TREND(C94:C95,B94:B95,B115),0)</f>
        <v>748469</v>
      </c>
      <c r="D115" s="402">
        <f>MAX(TREND(D94:D95,B94:B95,B115),0)</f>
        <v>736387.5</v>
      </c>
      <c r="E115" s="725">
        <f>MAX(TREND(E94:E95,B94:B95,B115),0)</f>
        <v>0</v>
      </c>
      <c r="F115" s="726">
        <f>MAX(TREND(F94:F95,B94:B95,B115),0)</f>
        <v>0</v>
      </c>
      <c r="G115" s="725">
        <f>MAX(TREND(G94:G95,B94:B95,B115),0)</f>
        <v>0.15717848999999973</v>
      </c>
      <c r="H115" s="726">
        <f>MAX(TREND(H94:H95,B94:B95,B115),0)</f>
        <v>3.7113930000000073E-2</v>
      </c>
      <c r="I115" s="725">
        <f>MAX(TREND(I94:I95,B94:B95,B115),0)</f>
        <v>0.85684731119999924</v>
      </c>
      <c r="J115" s="726">
        <f>MAX(TREND(J94:J95,B94:B95,B115),0)</f>
        <v>0.53508124912499966</v>
      </c>
      <c r="K115" s="729">
        <f>IFERROR(IF(INDEX(SafetyGroup,A88,1)=Hwy,FatValue,INDEX(PARAMETERS!$BH$26:$BK$28,1,MATCH(INDEX(SafetyGroup,A88,1),PARAMETERS!$BH$25:$BK$25,0)))*(E115-F115),0)</f>
        <v>0</v>
      </c>
      <c r="L115" s="730">
        <f>IFERROR(IF(INDEX(SafetyGroup,A88,1)=Hwy,SUMPRODUCT(PARAMETERS!$E$64:$E$66,PARAMETERS!$BC$12:$BC$14),INDEX(PARAMETERS!$BH$26:$BK$28,2,MATCH(INDEX(SafetyGroup,A88,1),PARAMETERS!$BH$25:$BK$25,0)))*(G115-H115),0)</f>
        <v>13980.503466467959</v>
      </c>
      <c r="M115" s="802">
        <f>IFERROR(IF(INDEX(SafetyGroup,A88,1)=Hwy,NoInjValue,INDEX(PARAMETERS!$BH$26:$BK$28,3,MATCH(INDEX(SafetyGroup,A88,1),PARAMETERS!$BH$25:$BK$25,0)))*(I115-J115),0)</f>
        <v>997.4747924324987</v>
      </c>
      <c r="N115" s="369">
        <f t="shared" si="31"/>
        <v>14977.978258900457</v>
      </c>
      <c r="O115" s="370">
        <f t="shared" si="24"/>
        <v>6320.0386074786647</v>
      </c>
      <c r="Q115" s="812">
        <f t="shared" si="25"/>
        <v>0</v>
      </c>
      <c r="R115" s="785">
        <f t="shared" si="26"/>
        <v>0.12006455999999965</v>
      </c>
      <c r="S115" s="788">
        <f t="shared" si="27"/>
        <v>0.32176606207499958</v>
      </c>
      <c r="U115" s="375">
        <f t="shared" si="32"/>
        <v>2043</v>
      </c>
      <c r="V115" s="378">
        <f t="shared" ca="1" si="28"/>
        <v>0.93370264560000216</v>
      </c>
      <c r="W115" s="378">
        <f t="shared" ca="1" si="33"/>
        <v>0.35854977840000002</v>
      </c>
      <c r="X115" s="378">
        <f t="shared" ca="1" si="33"/>
        <v>0.11835526499999971</v>
      </c>
      <c r="Y115" s="378">
        <f t="shared" ca="1" si="33"/>
        <v>0</v>
      </c>
      <c r="Z115" s="378">
        <f t="shared" ca="1" si="33"/>
        <v>2.2619469750000292</v>
      </c>
      <c r="AA115" s="378">
        <f t="shared" ca="1" si="33"/>
        <v>2.6354364063400197</v>
      </c>
      <c r="AC115"/>
      <c r="AD115"/>
      <c r="AE115"/>
    </row>
    <row r="116" spans="1:31" x14ac:dyDescent="0.25">
      <c r="B116" s="375">
        <f t="shared" si="30"/>
        <v>2045</v>
      </c>
      <c r="C116" s="401">
        <f>MAX(TREND(C94:C95,B94:B95,B116),0)</f>
        <v>759127</v>
      </c>
      <c r="D116" s="402">
        <f>MAX(TREND(D94:D95,B94:B95,B116),0)</f>
        <v>746881.25</v>
      </c>
      <c r="E116" s="725">
        <f>MAX(TREND(E94:E95,B94:B95,B116),0)</f>
        <v>0</v>
      </c>
      <c r="F116" s="726">
        <f>MAX(TREND(F94:F95,B94:B95,B116),0)</f>
        <v>0</v>
      </c>
      <c r="G116" s="725">
        <f>MAX(TREND(G94:G95,B94:B95,B116),0)</f>
        <v>0.1594166699999997</v>
      </c>
      <c r="H116" s="726">
        <f>MAX(TREND(H94:H95,B94:B95,B116),0)</f>
        <v>3.7642814999999885E-2</v>
      </c>
      <c r="I116" s="725">
        <f>MAX(TREND(I94:I95,B94:B95,B116),0)</f>
        <v>0.86904858959999842</v>
      </c>
      <c r="J116" s="726">
        <f>MAX(TREND(J94:J95,B94:B95,B116),0)</f>
        <v>0.54270632268750063</v>
      </c>
      <c r="K116" s="729">
        <f>IFERROR(IF(INDEX(SafetyGroup,A88,1)=Hwy,FatValue,INDEX(PARAMETERS!$BH$26:$BK$28,1,MATCH(INDEX(SafetyGroup,A88,1),PARAMETERS!$BH$25:$BK$25,0)))*(E116-F116),0)</f>
        <v>0</v>
      </c>
      <c r="L116" s="730">
        <f>IFERROR(IF(INDEX(SafetyGroup,A88,1)=Hwy,SUMPRODUCT(PARAMETERS!$E$64:$E$66,PARAMETERS!$BC$12:$BC$14),INDEX(PARAMETERS!$BH$26:$BK$28,2,MATCH(INDEX(SafetyGroup,A88,1),PARAMETERS!$BH$25:$BK$25,0)))*(G116-H116),0)</f>
        <v>14179.536425675227</v>
      </c>
      <c r="M116" s="802">
        <f>IFERROR(IF(INDEX(SafetyGroup,A88,1)=Hwy,NoInjValue,INDEX(PARAMETERS!$BH$26:$BK$28,3,MATCH(INDEX(SafetyGroup,A88,1),PARAMETERS!$BH$25:$BK$25,0)))*(I116-J116),0)</f>
        <v>1011.6610274287432</v>
      </c>
      <c r="N116" s="369">
        <f t="shared" si="31"/>
        <v>15191.19745310397</v>
      </c>
      <c r="O116" s="370">
        <f t="shared" si="24"/>
        <v>6163.4688413559024</v>
      </c>
      <c r="Q116" s="812">
        <f t="shared" si="25"/>
        <v>0</v>
      </c>
      <c r="R116" s="785">
        <f t="shared" si="26"/>
        <v>0.12177385499999982</v>
      </c>
      <c r="S116" s="788">
        <f t="shared" si="27"/>
        <v>0.32634226691249779</v>
      </c>
      <c r="U116" s="375">
        <f t="shared" si="32"/>
        <v>2044</v>
      </c>
      <c r="V116" s="378">
        <f t="shared" ca="1" si="28"/>
        <v>0.94171349039999974</v>
      </c>
      <c r="W116" s="378">
        <f t="shared" ca="1" si="33"/>
        <v>0.36373587360000004</v>
      </c>
      <c r="X116" s="378">
        <f t="shared" ca="1" si="33"/>
        <v>0.12006455999999965</v>
      </c>
      <c r="Y116" s="378">
        <f t="shared" ca="1" si="33"/>
        <v>0</v>
      </c>
      <c r="Z116" s="378">
        <f t="shared" ca="1" si="33"/>
        <v>2.2967022750000154</v>
      </c>
      <c r="AA116" s="378">
        <f t="shared" ca="1" si="33"/>
        <v>2.6712191258600342</v>
      </c>
      <c r="AC116"/>
      <c r="AD116"/>
      <c r="AE116"/>
    </row>
    <row r="117" spans="1:31" x14ac:dyDescent="0.25">
      <c r="B117" s="385"/>
      <c r="C117" s="386"/>
      <c r="D117" s="386"/>
      <c r="E117" s="386"/>
      <c r="F117" s="386"/>
      <c r="G117" s="388"/>
      <c r="H117" s="388"/>
      <c r="I117" s="388"/>
      <c r="J117" s="388"/>
      <c r="K117" s="388"/>
      <c r="L117" s="388"/>
      <c r="M117" s="388"/>
      <c r="N117" s="388"/>
      <c r="O117" s="389"/>
      <c r="Q117" s="390"/>
      <c r="R117" s="390"/>
      <c r="U117" s="375">
        <f t="shared" si="32"/>
        <v>2045</v>
      </c>
      <c r="V117" s="378">
        <f t="shared" ca="1" si="28"/>
        <v>0.94972433520000088</v>
      </c>
      <c r="W117" s="378">
        <f t="shared" ca="1" si="33"/>
        <v>0.36892196879999961</v>
      </c>
      <c r="X117" s="378">
        <f t="shared" ca="1" si="33"/>
        <v>0.12177385499999982</v>
      </c>
      <c r="Y117" s="378">
        <f t="shared" ca="1" si="33"/>
        <v>0</v>
      </c>
      <c r="Z117" s="378">
        <f t="shared" ca="1" si="33"/>
        <v>2.3314575750000301</v>
      </c>
      <c r="AA117" s="378">
        <f t="shared" ca="1" si="33"/>
        <v>2.7070018453800344</v>
      </c>
      <c r="AC117"/>
      <c r="AD117"/>
      <c r="AE117"/>
    </row>
    <row r="118" spans="1:31" x14ac:dyDescent="0.25">
      <c r="B118" s="407" t="s">
        <v>56</v>
      </c>
      <c r="C118" s="413"/>
      <c r="D118" s="414"/>
      <c r="E118" s="414"/>
      <c r="F118" s="414"/>
      <c r="G118" s="414"/>
      <c r="H118" s="414"/>
      <c r="I118" s="414"/>
      <c r="J118" s="414"/>
      <c r="K118" s="414"/>
      <c r="L118" s="414"/>
      <c r="M118" s="415"/>
      <c r="N118" s="414"/>
      <c r="O118" s="409">
        <f>SUM(O97:O116)</f>
        <v>155738.3053372913</v>
      </c>
      <c r="Q118" s="411">
        <f>SUM(Q97:Q116)</f>
        <v>0</v>
      </c>
      <c r="R118" s="411">
        <f>SUM(R97:R116)</f>
        <v>2.1107110499999977</v>
      </c>
      <c r="S118" s="411">
        <f>SUM(S97:S116)</f>
        <v>5.6573664191249904</v>
      </c>
      <c r="U118" s="385"/>
      <c r="V118" s="389"/>
      <c r="W118" s="389"/>
      <c r="X118" s="389"/>
      <c r="Y118" s="389"/>
      <c r="Z118" s="389"/>
      <c r="AA118" s="389"/>
      <c r="AC118"/>
      <c r="AD118"/>
      <c r="AE118"/>
    </row>
    <row r="119" spans="1:31" x14ac:dyDescent="0.25">
      <c r="B119" s="2"/>
      <c r="C119" s="418"/>
      <c r="D119" s="2"/>
      <c r="E119" s="2"/>
      <c r="F119" s="2"/>
      <c r="G119" s="2"/>
      <c r="H119" s="2"/>
      <c r="I119" s="2"/>
      <c r="J119" s="2"/>
      <c r="K119" s="2"/>
      <c r="L119" s="2"/>
      <c r="M119" s="2"/>
      <c r="N119" s="2"/>
      <c r="O119" s="2"/>
      <c r="U119" s="407" t="s">
        <v>56</v>
      </c>
      <c r="V119" s="411">
        <f t="shared" ref="V119:AA119" ca="1" si="34">SUM(V98:V117)</f>
        <v>17.472426192000029</v>
      </c>
      <c r="W119" s="411">
        <f t="shared" ca="1" si="34"/>
        <v>6.3930812879999968</v>
      </c>
      <c r="X119" s="411">
        <f t="shared" ca="1" si="34"/>
        <v>2.1107110499999977</v>
      </c>
      <c r="Y119" s="411">
        <f t="shared" ca="1" si="34"/>
        <v>0</v>
      </c>
      <c r="Z119" s="411">
        <f t="shared" ca="1" si="34"/>
        <v>40.025644500000368</v>
      </c>
      <c r="AA119" s="411">
        <f t="shared" ca="1" si="34"/>
        <v>47.341320198800432</v>
      </c>
      <c r="AC119"/>
      <c r="AD119"/>
      <c r="AE119"/>
    </row>
    <row r="120" spans="1:31" x14ac:dyDescent="0.25">
      <c r="A120" s="1">
        <f>MAX($A$1:A119)+1</f>
        <v>4</v>
      </c>
      <c r="B120" s="319" t="str">
        <f>IF(ISBLANK(INDEX(SafetyModelGroup,A120,1)),"Not Used",INDEX(SafetyModelGroup,A120,1))</f>
        <v>NB On-ramp from Ave 280</v>
      </c>
      <c r="C120" s="2"/>
      <c r="D120" s="2"/>
      <c r="E120" s="2"/>
      <c r="F120" s="2"/>
      <c r="G120" s="2"/>
      <c r="H120" s="2"/>
      <c r="I120" s="2"/>
      <c r="J120" s="2"/>
      <c r="K120" s="320"/>
      <c r="L120" s="320"/>
      <c r="M120" s="2"/>
      <c r="N120" s="2"/>
      <c r="O120" s="2"/>
      <c r="U120"/>
      <c r="V120"/>
      <c r="W120"/>
      <c r="X120"/>
      <c r="Y120"/>
      <c r="Z120"/>
      <c r="AA120"/>
      <c r="AC120"/>
      <c r="AD120"/>
      <c r="AE120"/>
    </row>
    <row r="121" spans="1:31" x14ac:dyDescent="0.25">
      <c r="B121" s="2"/>
      <c r="C121" s="1787"/>
      <c r="D121" s="1787"/>
      <c r="E121" s="831"/>
      <c r="F121" s="831"/>
      <c r="G121" s="831"/>
      <c r="H121" s="831"/>
      <c r="I121" s="831"/>
      <c r="J121" s="831"/>
      <c r="K121" s="831"/>
      <c r="L121" s="831"/>
      <c r="M121" s="831"/>
      <c r="N121" s="2"/>
      <c r="O121" s="149"/>
      <c r="U121"/>
      <c r="V121"/>
      <c r="W121"/>
      <c r="X121"/>
      <c r="Y121"/>
      <c r="Z121"/>
      <c r="AA121"/>
      <c r="AC121"/>
      <c r="AD121"/>
      <c r="AE121"/>
    </row>
    <row r="122" spans="1:31" ht="15.75" x14ac:dyDescent="0.25">
      <c r="B122" s="322"/>
      <c r="C122" s="325" t="s">
        <v>271</v>
      </c>
      <c r="D122" s="326"/>
      <c r="E122" s="325" t="s">
        <v>304</v>
      </c>
      <c r="F122" s="326"/>
      <c r="G122" s="325" t="s">
        <v>305</v>
      </c>
      <c r="H122" s="324"/>
      <c r="I122" s="323" t="s">
        <v>306</v>
      </c>
      <c r="J122" s="326"/>
      <c r="K122" s="327" t="s">
        <v>307</v>
      </c>
      <c r="L122" s="323"/>
      <c r="M122" s="328"/>
      <c r="N122" s="329"/>
      <c r="O122" s="330"/>
      <c r="Q122" s="331" t="s">
        <v>308</v>
      </c>
      <c r="R122" s="791"/>
      <c r="S122" s="792"/>
      <c r="U122"/>
      <c r="V122"/>
      <c r="W122"/>
      <c r="X122"/>
      <c r="Y122"/>
      <c r="Z122"/>
      <c r="AA122"/>
      <c r="AC122"/>
      <c r="AD122"/>
      <c r="AE122"/>
    </row>
    <row r="123" spans="1:31" ht="18" x14ac:dyDescent="0.25">
      <c r="B123" s="335"/>
      <c r="C123" s="338" t="s">
        <v>274</v>
      </c>
      <c r="D123" s="339"/>
      <c r="E123" s="338" t="s">
        <v>309</v>
      </c>
      <c r="F123" s="339"/>
      <c r="G123" s="338" t="s">
        <v>309</v>
      </c>
      <c r="H123" s="337"/>
      <c r="I123" s="336" t="s">
        <v>309</v>
      </c>
      <c r="J123" s="339"/>
      <c r="K123" s="340" t="s">
        <v>203</v>
      </c>
      <c r="L123" s="336"/>
      <c r="M123" s="341"/>
      <c r="N123" s="342"/>
      <c r="O123" s="343"/>
      <c r="Q123" s="784" t="s">
        <v>309</v>
      </c>
      <c r="R123" s="450"/>
      <c r="S123" s="451"/>
      <c r="U123" s="316" t="s">
        <v>319</v>
      </c>
      <c r="V123"/>
      <c r="W123"/>
      <c r="X123"/>
      <c r="Y123"/>
      <c r="Z123"/>
      <c r="AA123"/>
      <c r="AC123"/>
      <c r="AD123"/>
      <c r="AE123"/>
    </row>
    <row r="124" spans="1:31" x14ac:dyDescent="0.25">
      <c r="B124" s="77" t="s">
        <v>34</v>
      </c>
      <c r="C124" s="348"/>
      <c r="D124" s="349"/>
      <c r="E124" s="348"/>
      <c r="F124" s="349"/>
      <c r="G124" s="723"/>
      <c r="H124" s="349"/>
      <c r="I124" s="348"/>
      <c r="J124" s="349"/>
      <c r="K124" s="350" t="s">
        <v>312</v>
      </c>
      <c r="L124" s="348" t="s">
        <v>313</v>
      </c>
      <c r="M124" s="349" t="s">
        <v>314</v>
      </c>
      <c r="N124" s="351" t="s">
        <v>208</v>
      </c>
      <c r="O124" s="347" t="s">
        <v>39</v>
      </c>
      <c r="Q124" s="793"/>
      <c r="R124" s="797"/>
      <c r="S124" s="795"/>
      <c r="U124"/>
      <c r="V124"/>
      <c r="W124"/>
      <c r="X124"/>
      <c r="Y124"/>
      <c r="Z124"/>
      <c r="AA124"/>
      <c r="AC124"/>
      <c r="AD124"/>
      <c r="AE124"/>
    </row>
    <row r="125" spans="1:31" x14ac:dyDescent="0.25">
      <c r="B125" s="355"/>
      <c r="C125" s="356" t="s">
        <v>74</v>
      </c>
      <c r="D125" s="357" t="s">
        <v>125</v>
      </c>
      <c r="E125" s="356" t="s">
        <v>74</v>
      </c>
      <c r="F125" s="357" t="s">
        <v>125</v>
      </c>
      <c r="G125" s="724" t="s">
        <v>74</v>
      </c>
      <c r="H125" s="357" t="s">
        <v>125</v>
      </c>
      <c r="I125" s="356" t="s">
        <v>74</v>
      </c>
      <c r="J125" s="357" t="s">
        <v>125</v>
      </c>
      <c r="K125" s="358" t="s">
        <v>47</v>
      </c>
      <c r="L125" s="356" t="s">
        <v>47</v>
      </c>
      <c r="M125" s="357" t="s">
        <v>47</v>
      </c>
      <c r="N125" s="359" t="s">
        <v>48</v>
      </c>
      <c r="O125" s="360" t="s">
        <v>49</v>
      </c>
      <c r="Q125" s="794" t="s">
        <v>310</v>
      </c>
      <c r="R125" s="798" t="s">
        <v>311</v>
      </c>
      <c r="S125" s="796" t="s">
        <v>97</v>
      </c>
      <c r="U125"/>
      <c r="V125"/>
      <c r="W125"/>
      <c r="X125"/>
      <c r="Y125"/>
      <c r="Z125"/>
      <c r="AA125"/>
      <c r="AC125"/>
      <c r="AD125"/>
      <c r="AE125"/>
    </row>
    <row r="126" spans="1:31" x14ac:dyDescent="0.25">
      <c r="B126" s="363">
        <f>SafetyYearFirst</f>
        <v>2026</v>
      </c>
      <c r="C126" s="364">
        <f>INDEX(SafetyData1NB,A120,1)*AnnualFactor</f>
        <v>917245</v>
      </c>
      <c r="D126" s="365">
        <f>INDEX(SafetyData1B,A120,1)*AnnualFactor</f>
        <v>756280</v>
      </c>
      <c r="E126" s="1019" cm="1">
        <f t="array" ref="E126">IFERROR(IF(_xlfn.SINGLE(INDEX(SafetyGroup,A120,1))=Hwy,_xlfn.SINGLE(INDEX(SafetyData1NB,A120,5))*IF(ProjLoc=3,PARAMETERS!$BB$26,PARAMETERS!$AZ$26),_xlfn.SINGLE(INDEX(SafetyData1NB,A120,1))*INDEX(PARAMETERS!$BH$12:$BK$14/10^6,1,MATCH(_xlfn.SINGLE(INDEX(SafetyGroup,A120,1)),PARAMETERS!$BH$11:$BK$11,0)))*AnnualFactor,0)</f>
        <v>0</v>
      </c>
      <c r="F126" s="1020" cm="1">
        <f t="array" ref="F126">IFERROR(IF(_xlfn.SINGLE(INDEX(SafetyGroup,A120,1))=Hwy,_xlfn.SINGLE(INDEX(SafetyData1B,A120,5))*IF(ProjLoc=3,PARAMETERS!$BB$26,PARAMETERS!$AZ$26),_xlfn.SINGLE(INDEX(SafetyData1B,A120,1))*INDEX(PARAMETERS!$BH$12:$BK$14/10^6,1,MATCH(_xlfn.SINGLE(INDEX(SafetyGroup,A120,1)),PARAMETERS!$BH$11:$BK$11,0))*(1-_xlfn.SINGLE(INDEX(SafetyGroup,A120,6))))*AnnualFactor,0)</f>
        <v>0</v>
      </c>
      <c r="G126" s="1019" cm="1">
        <f t="array" ref="G126">IFERROR(IF(_xlfn.SINGLE(INDEX(SafetyGroup,A120,1))=Hwy,(_xlfn.SINGLE(INDEX(SafetyData1NB,A120,5))*IF(ProjLoc=3,PARAMETERS!$BB$33,PARAMETERS!$AZ$33)+_xlfn.SINGLE(INDEX(SafetyData1NB,A120,6))*IF(ProjLoc=3,PARAMETERS!$BB$34,PARAMETERS!$AZ$34)),_xlfn.SINGLE(INDEX(SafetyData1NB,A120,1))*INDEX(PARAMETERS!$BH$12:$BK$14/10^6,2,MATCH(_xlfn.SINGLE(INDEX(SafetyGroup,A120,1)),PARAMETERS!$BH$11:$BK$11,0)))*AnnualFactor,0)</f>
        <v>0</v>
      </c>
      <c r="H126" s="1020" cm="1">
        <f t="array" ref="H126">IFERROR(IF(_xlfn.SINGLE(INDEX(SafetyGroup,A120,1))=Hwy,(_xlfn.SINGLE(INDEX(SafetyData1B,A120,5))*IF(ProjLoc=3,PARAMETERS!$BB$33,PARAMETERS!$AZ$33)+_xlfn.SINGLE(INDEX(SafetyData1B,A120,6))*IF(ProjLoc=3,PARAMETERS!$BB$34,PARAMETERS!$AZ$34)),_xlfn.SINGLE(INDEX(SafetyData1B,A120,1))*INDEX(PARAMETERS!$BH$12:$BK$14/10^6,2,MATCH(_xlfn.SINGLE(INDEX(SafetyGroup,A120,1)),PARAMETERS!$BH$11:$BK$11,0))*(1-_xlfn.SINGLE(INDEX(SafetyGroup,A120,7))))*AnnualFactor,0)</f>
        <v>0</v>
      </c>
      <c r="I126" s="1019" cm="1">
        <f t="array" ref="I126">IFERROR(IF(_xlfn.SINGLE(INDEX(SafetyGroup,A120,1))=Hwy,(_xlfn.SINGLE(INDEX(SafetyData1NB,A120,5))*IF(ProjLoc=3,PARAMETERS!$BB$41,PARAMETERS!$AZ$41)+_xlfn.SINGLE(INDEX(SafetyData1NB,A120,6))*IF(ProjLoc=3,PARAMETERS!$BB$42,PARAMETERS!$AZ$42)+_xlfn.SINGLE(INDEX(SafetyData1NB,A120,7))*IF(ProjLoc=3,PARAMETERS!$BB$43,PARAMETERS!$AZ$43)*2),_xlfn.SINGLE(INDEX(SafetyData1NB,A120,1))*INDEX(PARAMETERS!$BH$12:$BK$14/10^6,3,MATCH(_xlfn.SINGLE(INDEX(SafetyGroup,A120,1)),PARAMETERS!$BH$11:$BK$11,0)))*AnnualFactor,0)</f>
        <v>1.3417459860000001</v>
      </c>
      <c r="J126" s="1020" cm="1">
        <f t="array" ref="J126">IFERROR(IF(_xlfn.SINGLE(INDEX(SafetyGroup,A120,1))=Hwy,(_xlfn.SINGLE(INDEX(SafetyData1B,A120,5))*IF(ProjLoc=3,PARAMETERS!$BB$41,PARAMETERS!$AZ$41)+_xlfn.SINGLE(INDEX(SafetyData1B,A120,6))*IF(ProjLoc=3,PARAMETERS!$BB$42,PARAMETERS!$AZ$42)+_xlfn.SINGLE(INDEX(SafetyData1B,A120,7))*IF(ProjLoc=3,PARAMETERS!$BB$43,PARAMETERS!$AZ$43)*2),_xlfn.SINGLE(INDEX(SafetyData1B,A120,1))*INDEX(PARAMETERS!$BH$12:$BK$14/10^6,3,MATCH(_xlfn.SINGLE(INDEX(SafetyGroup,A120,1)),PARAMETERS!$BH$11:$BK$11,0))*(1-_xlfn.SINGLE(INDEX(SafetyGroup,A120,8))))*AnnualFactor,0)</f>
        <v>0.80758906032000011</v>
      </c>
      <c r="K126" s="367">
        <f>IFERROR(IF(INDEX(SafetyGroup,A120,1)=Hwy,FatValue,INDEX(PARAMETERS!$BH$26:$BK$28,1,MATCH(INDEX(SafetyGroup,A120,1),PARAMETERS!$BH$25:$BK$25,0)))*(E126-F126),0)</f>
        <v>0</v>
      </c>
      <c r="L126" s="701">
        <f>IFERROR(IF(INDEX(SafetyGroup,A120,1)=Hwy,SUMPRODUCT(PARAMETERS!$E$64:$E$66,PARAMETERS!$BC$12:$BC$14),INDEX(PARAMETERS!$BH$26:$BK$28,2,MATCH(INDEX(SafetyGroup,A120,1),PARAMETERS!$BH$25:$BK$25,0)))*(G126-H126),0)</f>
        <v>0</v>
      </c>
      <c r="M126" s="832">
        <f>IFERROR(IF(INDEX(SafetyGroup,A120,1)=Hwy,NoInjValue,INDEX(PARAMETERS!$BH$26:$BK$28,3,MATCH(INDEX(SafetyGroup,A120,1),PARAMETERS!$BH$25:$BK$25,0)))*(I126-J126),0)</f>
        <v>1655.8864696079997</v>
      </c>
      <c r="N126" s="369">
        <f>SUM(K126:M126)</f>
        <v>1655.8864696079997</v>
      </c>
      <c r="O126" s="370">
        <f>N126/(1+DiscRate)^(B126-YearCurrent)</f>
        <v>1415.4586940903346</v>
      </c>
      <c r="Q126" s="809">
        <f>E126-F126</f>
        <v>0</v>
      </c>
      <c r="R126" s="786">
        <f>G126-H126</f>
        <v>0</v>
      </c>
      <c r="S126" s="787">
        <f>I126-J126</f>
        <v>0.53415692567999995</v>
      </c>
      <c r="U126"/>
      <c r="V126"/>
      <c r="W126"/>
      <c r="X126"/>
      <c r="Y126"/>
      <c r="Z126"/>
      <c r="AA126"/>
      <c r="AC126"/>
      <c r="AD126"/>
      <c r="AE126"/>
    </row>
    <row r="127" spans="1:31" x14ac:dyDescent="0.25">
      <c r="B127" s="379">
        <f>SafetyYearLast</f>
        <v>2046</v>
      </c>
      <c r="C127" s="380">
        <f>INDEX(SafetyData20NB,A120,1)*AnnualFactor</f>
        <v>1153400</v>
      </c>
      <c r="D127" s="381">
        <f>INDEX(SafetyData20B,A120,1)*AnnualFactor</f>
        <v>950460</v>
      </c>
      <c r="E127" s="1021" cm="1">
        <f t="array" ref="E127">IFERROR(IF(_xlfn.SINGLE(INDEX(SafetyGroup,A120,1))=Hwy,_xlfn.SINGLE(INDEX(SafetyData20NB,A120,5))*IF(ProjLoc=3,PARAMETERS!$BB$26,PARAMETERS!$AZ$26),_xlfn.SINGLE(INDEX(SafetyData20NB,A120,1))*INDEX(PARAMETERS!$BH$12:$BK$14/10^6,1,MATCH(_xlfn.SINGLE(INDEX(SafetyGroup,A120,1)),PARAMETERS!$BH$11:$BK$11,0)))*AnnualFactor,0)</f>
        <v>0</v>
      </c>
      <c r="F127" s="1022" cm="1">
        <f t="array" ref="F127">IFERROR(IF(_xlfn.SINGLE(INDEX(SafetyGroup,A120,1))=Hwy,_xlfn.SINGLE(INDEX(SafetyData20B,A120,5))*IF(ProjLoc=3,PARAMETERS!$BB$26,PARAMETERS!$AZ$26),_xlfn.SINGLE(INDEX(SafetyData20B,A120,1))*INDEX(PARAMETERS!$BH$12:$BK$14/10^6,1,MATCH(_xlfn.SINGLE(INDEX(SafetyGroup,A120,1)),PARAMETERS!$BH$11:$BK$11,0))*(1-_xlfn.SINGLE(INDEX(SafetyGroup,A120,6))))*AnnualFactor,0)</f>
        <v>0</v>
      </c>
      <c r="G127" s="1021" cm="1">
        <f t="array" ref="G127">IFERROR(IF(_xlfn.SINGLE(INDEX(SafetyGroup,A120,1))=Hwy,(_xlfn.SINGLE(INDEX(SafetyData20NB,A120,5))*IF(ProjLoc=3,PARAMETERS!$BB$33,PARAMETERS!$AZ$33)+_xlfn.SINGLE(INDEX(SafetyData20NB,A120,6))*IF(ProjLoc=3,PARAMETERS!$BB$34,PARAMETERS!$AZ$34)),_xlfn.SINGLE(INDEX(SafetyData20NB,A120,1))*INDEX(PARAMETERS!$BH$12:$BK$14/10^6,2,MATCH(_xlfn.SINGLE(INDEX(SafetyGroup,A120,1)),PARAMETERS!$BH$11:$BK$11,0)))*AnnualFactor,0)</f>
        <v>0</v>
      </c>
      <c r="H127" s="1022" cm="1">
        <f t="array" ref="H127">IFERROR(IF(_xlfn.SINGLE(INDEX(SafetyGroup,A120,1))=Hwy,(_xlfn.SINGLE(INDEX(SafetyData20B,A120,5))*IF(ProjLoc=3,PARAMETERS!$BB$33,PARAMETERS!$AZ$33)+_xlfn.SINGLE(INDEX(SafetyData20B,A120,6))*IF(ProjLoc=3,PARAMETERS!$BB$34,PARAMETERS!$AZ$34)),_xlfn.SINGLE(INDEX(SafetyData20B,A120,1))*INDEX(PARAMETERS!$BH$12:$BK$14/10^6,2,MATCH(_xlfn.SINGLE(INDEX(SafetyGroup,A120,1)),PARAMETERS!$BH$11:$BK$11,0))*(1-_xlfn.SINGLE(INDEX(SafetyGroup,A120,7))))*AnnualFactor,0)</f>
        <v>0</v>
      </c>
      <c r="I127" s="1021" cm="1">
        <f t="array" ref="I127">IFERROR(IF(_xlfn.SINGLE(INDEX(SafetyGroup,A120,1))=Hwy,(_xlfn.SINGLE(INDEX(SafetyData20NB,A120,5))*IF(ProjLoc=3,PARAMETERS!$BB$41,PARAMETERS!$AZ$41)+_xlfn.SINGLE(INDEX(SafetyData20NB,A120,6))*IF(ProjLoc=3,PARAMETERS!$BB$42,PARAMETERS!$AZ$42)+_xlfn.SINGLE(INDEX(SafetyData20NB,A120,7))*IF(ProjLoc=3,PARAMETERS!$BB$43,PARAMETERS!$AZ$43)*2),_xlfn.SINGLE(INDEX(SafetyData20NB,A120,1))*INDEX(PARAMETERS!$BH$12:$BK$14/10^6,3,MATCH(_xlfn.SINGLE(INDEX(SafetyGroup,A120,1)),PARAMETERS!$BH$11:$BK$11,0)))*AnnualFactor,0)</f>
        <v>1.6871935200000006</v>
      </c>
      <c r="J127" s="1022" cm="1">
        <f t="array" ref="J127">IFERROR(IF(_xlfn.SINGLE(INDEX(SafetyGroup,A120,1))=Hwy,(_xlfn.SINGLE(INDEX(SafetyData20B,A120,5))*IF(ProjLoc=3,PARAMETERS!$BB$41,PARAMETERS!$AZ$41)+_xlfn.SINGLE(INDEX(SafetyData20B,A120,6))*IF(ProjLoc=3,PARAMETERS!$BB$42,PARAMETERS!$AZ$42)+_xlfn.SINGLE(INDEX(SafetyData20B,A120,7))*IF(ProjLoc=3,PARAMETERS!$BB$43,PARAMETERS!$AZ$43)*2),_xlfn.SINGLE(INDEX(SafetyData20B,A120,1))*INDEX(PARAMETERS!$BH$12:$BK$14/10^6,3,MATCH(_xlfn.SINGLE(INDEX(SafetyGroup,A120,1)),PARAMETERS!$BH$11:$BK$11,0))*(1-_xlfn.SINGLE(INDEX(SafetyGroup,A120,8))))*AnnualFactor,0)</f>
        <v>1.0149430082400002</v>
      </c>
      <c r="K127" s="782">
        <f>IFERROR(IF(INDEX(SafetyGroup,A120,1)=Hwy,FatValue,INDEX(PARAMETERS!$BH$26:$BK$28,1,MATCH(INDEX(SafetyGroup,A120,1),PARAMETERS!$BH$25:$BK$25,0)))*(E127-F127),0)</f>
        <v>0</v>
      </c>
      <c r="L127" s="833">
        <f>IFERROR(IF(INDEX(SafetyGroup,A120,1)=Hwy,SUMPRODUCT(PARAMETERS!$E$64:$E$66,PARAMETERS!$BC$12:$BC$14),INDEX(PARAMETERS!$BH$26:$BK$28,2,MATCH(INDEX(SafetyGroup,A120,1),PARAMETERS!$BH$25:$BK$25,0)))*(G127-H127),0)</f>
        <v>0</v>
      </c>
      <c r="M127" s="830">
        <f>IFERROR(IF(INDEX(SafetyGroup,A120,1)=Hwy,NoInjValue,INDEX(PARAMETERS!$BH$26:$BK$28,3,MATCH(INDEX(SafetyGroup,A120,1),PARAMETERS!$BH$25:$BK$25,0)))*(I127-J127),0)</f>
        <v>2083.9765864560013</v>
      </c>
      <c r="N127" s="369">
        <f>SUM(K127:M127)</f>
        <v>2083.9765864560013</v>
      </c>
      <c r="O127" s="370">
        <f>N127/(1+DiscRate)^(B127-YearCurrent)</f>
        <v>813.00401840684674</v>
      </c>
      <c r="Q127" s="810">
        <f>E127-F127</f>
        <v>0</v>
      </c>
      <c r="R127" s="789">
        <f>G127-H127</f>
        <v>0</v>
      </c>
      <c r="S127" s="790">
        <f>I127-J127</f>
        <v>0.67225051176000039</v>
      </c>
      <c r="U127"/>
      <c r="V127"/>
      <c r="W127"/>
      <c r="X127"/>
      <c r="Y127"/>
      <c r="Z127"/>
      <c r="AA127"/>
      <c r="AC127"/>
      <c r="AD127"/>
      <c r="AE127"/>
    </row>
    <row r="128" spans="1:31" x14ac:dyDescent="0.25">
      <c r="B128" s="385"/>
      <c r="C128" s="388"/>
      <c r="D128" s="388"/>
      <c r="E128" s="388"/>
      <c r="F128" s="388"/>
      <c r="G128" s="434"/>
      <c r="H128" s="434"/>
      <c r="I128" s="434"/>
      <c r="J128" s="434"/>
      <c r="K128" s="388"/>
      <c r="L128" s="388"/>
      <c r="M128" s="388"/>
      <c r="N128" s="388"/>
      <c r="O128" s="389"/>
      <c r="Q128" s="391"/>
      <c r="R128" s="391"/>
      <c r="S128" s="391"/>
      <c r="U128" s="322"/>
      <c r="V128" s="52">
        <v>1</v>
      </c>
      <c r="W128" s="52">
        <v>2</v>
      </c>
      <c r="X128" s="52">
        <v>3</v>
      </c>
      <c r="Y128" s="52">
        <v>4</v>
      </c>
      <c r="Z128" s="52">
        <v>5</v>
      </c>
      <c r="AA128" s="52">
        <v>6</v>
      </c>
      <c r="AC128"/>
      <c r="AD128"/>
      <c r="AE128"/>
    </row>
    <row r="129" spans="2:31" x14ac:dyDescent="0.25">
      <c r="B129" s="375">
        <f>YearOpen</f>
        <v>2026</v>
      </c>
      <c r="C129" s="401">
        <f>MAX(TREND(C126:C127,B126:B127,B129),0)</f>
        <v>917245</v>
      </c>
      <c r="D129" s="402">
        <f>MAX(TREND(D126:D127,B126:B127,B129),0)</f>
        <v>756280</v>
      </c>
      <c r="E129" s="725">
        <f>MAX(TREND(E126:E127,B126:B127,B129),0)</f>
        <v>0</v>
      </c>
      <c r="F129" s="726">
        <f>MAX(TREND(F126:F127,B126:B127,B129),0)</f>
        <v>0</v>
      </c>
      <c r="G129" s="725">
        <f>MAX(TREND(G126:G127,B126:B127,B129),0)</f>
        <v>0</v>
      </c>
      <c r="H129" s="726">
        <f>MAX(TREND(H126:H127,B126:B127,B129),0)</f>
        <v>0</v>
      </c>
      <c r="I129" s="725">
        <f>MAX(TREND(I126:I127,B126:B127,B129),0)</f>
        <v>1.3417459859999994</v>
      </c>
      <c r="J129" s="726">
        <f>MAX(TREND(J126:J127,B126:B127,B129),0)</f>
        <v>0.80758906032000155</v>
      </c>
      <c r="K129" s="729">
        <f>IFERROR(IF(INDEX(SafetyGroup,A120,1)=Hwy,FatValue,INDEX(PARAMETERS!$BH$26:$BK$28,1,MATCH(INDEX(SafetyGroup,A120,1),PARAMETERS!$BH$25:$BK$25,0)))*(E129-F129),0)</f>
        <v>0</v>
      </c>
      <c r="L129" s="728">
        <f>IFERROR(IF(INDEX(SafetyGroup,A120,1)=Hwy,SUMPRODUCT(PARAMETERS!$E$64:$E$66,PARAMETERS!$BC$12:$BC$14),INDEX(PARAMETERS!$BH$26:$BK$28,2,MATCH(INDEX(SafetyGroup,A120,1),PARAMETERS!$BH$25:$BK$25,0)))*(G129-H129),0)</f>
        <v>0</v>
      </c>
      <c r="M129" s="802">
        <f>IFERROR(IF(INDEX(SafetyGroup,A120,1)=Hwy,NoInjValue,INDEX(PARAMETERS!$BH$26:$BK$28,3,MATCH(INDEX(SafetyGroup,A120,1),PARAMETERS!$BH$25:$BK$25,0)))*(I129-J129),0)</f>
        <v>1655.8864696079934</v>
      </c>
      <c r="N129" s="369">
        <f>SUM(K129:M129)</f>
        <v>1655.8864696079934</v>
      </c>
      <c r="O129" s="370">
        <f t="shared" ref="O129:O148" si="35">N129/(1+DiscRate)^(B129-YearCurrent)</f>
        <v>1415.4586940903293</v>
      </c>
      <c r="Q129" s="811">
        <f>E129-F129</f>
        <v>0</v>
      </c>
      <c r="R129" s="786">
        <f>G129-H129</f>
        <v>0</v>
      </c>
      <c r="S129" s="787">
        <f>I129-J129</f>
        <v>0.53415692567999784</v>
      </c>
      <c r="U129" s="335"/>
      <c r="V129" s="1777" t="str">
        <f t="shared" ref="V129:AA129" si="36">IF(ISBLANK(INDEX(SafetyModelGroup,V128,1)),"Not Used",INDEX(SafetyModelGroup,V128,1))</f>
        <v>SB Off-ramp to Ave 280</v>
      </c>
      <c r="W129" s="1777" t="str">
        <f t="shared" si="36"/>
        <v>SB On-ramp from Ave 280</v>
      </c>
      <c r="X129" s="1777" t="str">
        <f t="shared" si="36"/>
        <v>NB Off-ramp to Ave 280</v>
      </c>
      <c r="Y129" s="1777" t="str">
        <f t="shared" si="36"/>
        <v>NB On-ramp from Ave 280</v>
      </c>
      <c r="Z129" s="1777" t="str">
        <f t="shared" si="36"/>
        <v>NB Mainline</v>
      </c>
      <c r="AA129" s="1777" t="str">
        <f t="shared" si="36"/>
        <v>SB Mainline</v>
      </c>
      <c r="AC129"/>
      <c r="AD129"/>
      <c r="AE129"/>
    </row>
    <row r="130" spans="2:31" x14ac:dyDescent="0.25">
      <c r="B130" s="375">
        <f>B129+1</f>
        <v>2027</v>
      </c>
      <c r="C130" s="401">
        <f>MAX(TREND(C126:C127,B126:B127,B130),0)</f>
        <v>929052.75</v>
      </c>
      <c r="D130" s="402">
        <f>MAX(TREND(D126:D127,B126:B127,B130),0)</f>
        <v>765989</v>
      </c>
      <c r="E130" s="725">
        <f>MAX(TREND(E126:E127,B126:B127,B130),0)</f>
        <v>0</v>
      </c>
      <c r="F130" s="726">
        <f>MAX(TREND(F126:F127,B126:B127,B130),0)</f>
        <v>0</v>
      </c>
      <c r="G130" s="725">
        <f>MAX(TREND(G126:G127,B126:B127,B130),0)</f>
        <v>0</v>
      </c>
      <c r="H130" s="726">
        <f>MAX(TREND(H126:H127,B126:B127,B130),0)</f>
        <v>0</v>
      </c>
      <c r="I130" s="725">
        <f>MAX(TREND(I126:I127,B126:B127,B130),0)</f>
        <v>1.3590183626999988</v>
      </c>
      <c r="J130" s="726">
        <f>MAX(TREND(J126:J127,B126:B127,B130),0)</f>
        <v>0.81795675771600074</v>
      </c>
      <c r="K130" s="729">
        <f>IFERROR(IF(INDEX(SafetyGroup,A120,1)=Hwy,FatValue,INDEX(PARAMETERS!$BH$26:$BK$28,1,MATCH(INDEX(SafetyGroup,A120,1),PARAMETERS!$BH$25:$BK$25,0)))*(E130-F130),0)</f>
        <v>0</v>
      </c>
      <c r="L130" s="730">
        <f>IFERROR(IF(INDEX(SafetyGroup,A120,1)=Hwy,SUMPRODUCT(PARAMETERS!$E$64:$E$66,PARAMETERS!$BC$12:$BC$14),INDEX(PARAMETERS!$BH$26:$BK$28,2,MATCH(INDEX(SafetyGroup,A120,1),PARAMETERS!$BH$25:$BK$25,0)))*(G130-H130),0)</f>
        <v>0</v>
      </c>
      <c r="M130" s="802">
        <f>IFERROR(IF(INDEX(SafetyGroup,A120,1)=Hwy,NoInjValue,INDEX(PARAMETERS!$BH$26:$BK$28,3,MATCH(INDEX(SafetyGroup,A120,1),PARAMETERS!$BH$25:$BK$25,0)))*(I130-J130),0)</f>
        <v>1677.2909754503939</v>
      </c>
      <c r="N130" s="369">
        <f>SUM(K130:M130)</f>
        <v>1677.2909754503939</v>
      </c>
      <c r="O130" s="370">
        <f t="shared" si="35"/>
        <v>1378.6109186455128</v>
      </c>
      <c r="Q130" s="812">
        <f t="shared" ref="Q130:Q148" si="37">E130-F130</f>
        <v>0</v>
      </c>
      <c r="R130" s="785">
        <f t="shared" ref="R130:R148" si="38">G130-H130</f>
        <v>0</v>
      </c>
      <c r="S130" s="788">
        <f t="shared" ref="S130:S148" si="39">I130-J130</f>
        <v>0.54106160498399802</v>
      </c>
      <c r="U130" s="77" t="s">
        <v>34</v>
      </c>
      <c r="V130" s="1778"/>
      <c r="W130" s="1778"/>
      <c r="X130" s="1778"/>
      <c r="Y130" s="1778"/>
      <c r="Z130" s="1778"/>
      <c r="AA130" s="1778"/>
      <c r="AC130"/>
      <c r="AD130"/>
      <c r="AE130"/>
    </row>
    <row r="131" spans="2:31" x14ac:dyDescent="0.25">
      <c r="B131" s="375">
        <f t="shared" ref="B131:B148" si="40">B130+1</f>
        <v>2028</v>
      </c>
      <c r="C131" s="401">
        <f>MAX(TREND(C126:C127,B126:B127,B131),0)</f>
        <v>940860.5</v>
      </c>
      <c r="D131" s="402">
        <f>MAX(TREND(D126:D127,B126:B127,B131),0)</f>
        <v>775698</v>
      </c>
      <c r="E131" s="725">
        <f>MAX(TREND(E126:E127,B126:B127,B131),0)</f>
        <v>0</v>
      </c>
      <c r="F131" s="726">
        <f>MAX(TREND(F126:F127,B126:B127,B131),0)</f>
        <v>0</v>
      </c>
      <c r="G131" s="725">
        <f>MAX(TREND(G126:G127,B126:B127,B131),0)</f>
        <v>0</v>
      </c>
      <c r="H131" s="726">
        <f>MAX(TREND(H126:H127,B126:B127,B131),0)</f>
        <v>0</v>
      </c>
      <c r="I131" s="725">
        <f>MAX(TREND(I126:I127,B126:B127,B131),0)</f>
        <v>1.3762907393999981</v>
      </c>
      <c r="J131" s="726">
        <f>MAX(TREND(J126:J127,B126:B127,B131),0)</f>
        <v>0.82832445511199992</v>
      </c>
      <c r="K131" s="729">
        <f>IFERROR(IF(INDEX(SafetyGroup,A120,1)=Hwy,FatValue,INDEX(PARAMETERS!$BH$26:$BK$28,1,MATCH(INDEX(SafetyGroup,A120,1),PARAMETERS!$BH$25:$BK$25,0)))*(E131-F131),0)</f>
        <v>0</v>
      </c>
      <c r="L131" s="730">
        <f>IFERROR(IF(INDEX(SafetyGroup,A120,1)=Hwy,SUMPRODUCT(PARAMETERS!$E$64:$E$66,PARAMETERS!$BC$12:$BC$14),INDEX(PARAMETERS!$BH$26:$BK$28,2,MATCH(INDEX(SafetyGroup,A120,1),PARAMETERS!$BH$25:$BK$25,0)))*(G131-H131),0)</f>
        <v>0</v>
      </c>
      <c r="M131" s="802">
        <f>IFERROR(IF(INDEX(SafetyGroup,A120,1)=Hwy,NoInjValue,INDEX(PARAMETERS!$BH$26:$BK$28,3,MATCH(INDEX(SafetyGroup,A120,1),PARAMETERS!$BH$25:$BK$25,0)))*(I131-J131),0)</f>
        <v>1698.6954812927945</v>
      </c>
      <c r="N131" s="369">
        <f>SUM(K131:M131)</f>
        <v>1698.6954812927945</v>
      </c>
      <c r="O131" s="370">
        <f t="shared" si="35"/>
        <v>1342.5037136578565</v>
      </c>
      <c r="Q131" s="812">
        <f t="shared" si="37"/>
        <v>0</v>
      </c>
      <c r="R131" s="785">
        <f t="shared" si="38"/>
        <v>0</v>
      </c>
      <c r="S131" s="788">
        <f t="shared" si="39"/>
        <v>0.54796628428799821</v>
      </c>
      <c r="U131" s="355"/>
      <c r="V131" s="1779"/>
      <c r="W131" s="1779"/>
      <c r="X131" s="1779"/>
      <c r="Y131" s="1779"/>
      <c r="Z131" s="1779"/>
      <c r="AA131" s="1779"/>
      <c r="AC131"/>
      <c r="AD131"/>
      <c r="AE131"/>
    </row>
    <row r="132" spans="2:31" x14ac:dyDescent="0.25">
      <c r="B132" s="375">
        <f t="shared" si="40"/>
        <v>2029</v>
      </c>
      <c r="C132" s="401">
        <f>MAX(TREND(C126:C127,B126:B127,B132),0)</f>
        <v>952668.25</v>
      </c>
      <c r="D132" s="402">
        <f>MAX(TREND(D126:D127,B126:B127,B132),0)</f>
        <v>785407</v>
      </c>
      <c r="E132" s="725">
        <f>MAX(TREND(E126:E127,B126:B127,B132),0)</f>
        <v>0</v>
      </c>
      <c r="F132" s="726">
        <f>MAX(TREND(F126:F127,B126:B127,B132),0)</f>
        <v>0</v>
      </c>
      <c r="G132" s="725">
        <f>MAX(TREND(G126:G127,B126:B127,B132),0)</f>
        <v>0</v>
      </c>
      <c r="H132" s="726">
        <f>MAX(TREND(H126:H127,B126:B127,B132),0)</f>
        <v>0</v>
      </c>
      <c r="I132" s="725">
        <f>MAX(TREND(I126:I127,B126:B127,B132),0)</f>
        <v>1.3935631160999975</v>
      </c>
      <c r="J132" s="726">
        <f>MAX(TREND(J126:J127,B126:B127,B132),0)</f>
        <v>0.83869215250800266</v>
      </c>
      <c r="K132" s="729">
        <f>IFERROR(IF(INDEX(SafetyGroup,A120,1)=Hwy,FatValue,INDEX(PARAMETERS!$BH$26:$BK$28,1,MATCH(INDEX(SafetyGroup,A120,1),PARAMETERS!$BH$25:$BK$25,0)))*(E132-F132),0)</f>
        <v>0</v>
      </c>
      <c r="L132" s="730">
        <f>IFERROR(IF(INDEX(SafetyGroup,A120,1)=Hwy,SUMPRODUCT(PARAMETERS!$E$64:$E$66,PARAMETERS!$BC$12:$BC$14),INDEX(PARAMETERS!$BH$26:$BK$28,2,MATCH(INDEX(SafetyGroup,A120,1),PARAMETERS!$BH$25:$BK$25,0)))*(G132-H132),0)</f>
        <v>0</v>
      </c>
      <c r="M132" s="802">
        <f>IFERROR(IF(INDEX(SafetyGroup,A120,1)=Hwy,NoInjValue,INDEX(PARAMETERS!$BH$26:$BK$28,3,MATCH(INDEX(SafetyGroup,A120,1),PARAMETERS!$BH$25:$BK$25,0)))*(I132-J132),0)</f>
        <v>1720.0999871351839</v>
      </c>
      <c r="N132" s="369">
        <f t="shared" ref="N132:N148" si="41">SUM(K132:M132)</f>
        <v>1720.0999871351839</v>
      </c>
      <c r="O132" s="370">
        <f t="shared" si="35"/>
        <v>1307.1346207126662</v>
      </c>
      <c r="Q132" s="812">
        <f t="shared" si="37"/>
        <v>0</v>
      </c>
      <c r="R132" s="785">
        <f t="shared" si="38"/>
        <v>0</v>
      </c>
      <c r="S132" s="788">
        <f t="shared" si="39"/>
        <v>0.55487096359199484</v>
      </c>
      <c r="U132" s="375">
        <f>YearOpen</f>
        <v>2026</v>
      </c>
      <c r="V132" s="378">
        <f t="shared" ref="V132:V151" ca="1" si="42">OFFSET($S9,MATCH(V$128,$A:$A),0)</f>
        <v>2.1456043243800309</v>
      </c>
      <c r="W132" s="378">
        <f t="shared" ref="W132:AA141" ca="1" si="43">OFFSET($S9,MATCH(W$128,$A:$A),0)</f>
        <v>0.54246126990000221</v>
      </c>
      <c r="X132" s="378">
        <f t="shared" ca="1" si="43"/>
        <v>0.23939437499999983</v>
      </c>
      <c r="Y132" s="378">
        <f t="shared" ca="1" si="43"/>
        <v>0.53415692567999784</v>
      </c>
      <c r="Z132" s="378">
        <f t="shared" ca="1" si="43"/>
        <v>13.816711642499968</v>
      </c>
      <c r="AA132" s="378">
        <f t="shared" ca="1" si="43"/>
        <v>14.675230861750151</v>
      </c>
      <c r="AC132"/>
      <c r="AD132"/>
      <c r="AE132"/>
    </row>
    <row r="133" spans="2:31" x14ac:dyDescent="0.25">
      <c r="B133" s="375">
        <f t="shared" si="40"/>
        <v>2030</v>
      </c>
      <c r="C133" s="401">
        <f>MAX(TREND(C126:C127,B126:B127,B133),0)</f>
        <v>964476</v>
      </c>
      <c r="D133" s="402">
        <f>MAX(TREND(D126:D127,B126:B127,B133),0)</f>
        <v>795116</v>
      </c>
      <c r="E133" s="725">
        <f>MAX(TREND(E126:E127,B126:B127,B133),0)</f>
        <v>0</v>
      </c>
      <c r="F133" s="726">
        <f>MAX(TREND(F126:F127,B126:B127,B133),0)</f>
        <v>0</v>
      </c>
      <c r="G133" s="725">
        <f>MAX(TREND(G126:G127,B126:B127,B133),0)</f>
        <v>0</v>
      </c>
      <c r="H133" s="726">
        <f>MAX(TREND(H126:H127,B126:B127,B133),0)</f>
        <v>0</v>
      </c>
      <c r="I133" s="725">
        <f>MAX(TREND(I126:I127,B126:B127,B133),0)</f>
        <v>1.4108354927999969</v>
      </c>
      <c r="J133" s="726">
        <f>MAX(TREND(J126:J127,B126:B127,B133),0)</f>
        <v>0.84905984990400185</v>
      </c>
      <c r="K133" s="729">
        <f>IFERROR(IF(INDEX(SafetyGroup,A120,1)=Hwy,FatValue,INDEX(PARAMETERS!$BH$26:$BK$28,1,MATCH(INDEX(SafetyGroup,A120,1),PARAMETERS!$BH$25:$BK$25,0)))*(E133-F133),0)</f>
        <v>0</v>
      </c>
      <c r="L133" s="730">
        <f>IFERROR(IF(INDEX(SafetyGroup,A120,1)=Hwy,SUMPRODUCT(PARAMETERS!$E$64:$E$66,PARAMETERS!$BC$12:$BC$14),INDEX(PARAMETERS!$BH$26:$BK$28,2,MATCH(INDEX(SafetyGroup,A120,1),PARAMETERS!$BH$25:$BK$25,0)))*(G133-H133),0)</f>
        <v>0</v>
      </c>
      <c r="M133" s="802">
        <f>IFERROR(IF(INDEX(SafetyGroup,A120,1)=Hwy,NoInjValue,INDEX(PARAMETERS!$BH$26:$BK$28,3,MATCH(INDEX(SafetyGroup,A120,1),PARAMETERS!$BH$25:$BK$25,0)))*(I133-J133),0)</f>
        <v>1741.5044929775845</v>
      </c>
      <c r="N133" s="369">
        <f t="shared" si="41"/>
        <v>1741.5044929775845</v>
      </c>
      <c r="O133" s="370">
        <f t="shared" si="35"/>
        <v>1272.5002749856671</v>
      </c>
      <c r="Q133" s="812">
        <f t="shared" si="37"/>
        <v>0</v>
      </c>
      <c r="R133" s="785">
        <f t="shared" si="38"/>
        <v>0</v>
      </c>
      <c r="S133" s="788">
        <f t="shared" si="39"/>
        <v>0.56177564289599502</v>
      </c>
      <c r="U133" s="375">
        <f>U132+1</f>
        <v>2027</v>
      </c>
      <c r="V133" s="378">
        <f t="shared" ca="1" si="42"/>
        <v>2.1419258977785489</v>
      </c>
      <c r="W133" s="378">
        <f t="shared" ca="1" si="43"/>
        <v>0.55286855877299956</v>
      </c>
      <c r="X133" s="378">
        <f t="shared" ca="1" si="43"/>
        <v>0.24397057983749981</v>
      </c>
      <c r="Y133" s="378">
        <f t="shared" ca="1" si="43"/>
        <v>0.54106160498399802</v>
      </c>
      <c r="Z133" s="378">
        <f t="shared" ca="1" si="43"/>
        <v>14.104068462900045</v>
      </c>
      <c r="AA133" s="378">
        <f t="shared" ca="1" si="43"/>
        <v>14.934276717030002</v>
      </c>
      <c r="AC133"/>
      <c r="AD133"/>
      <c r="AE133"/>
    </row>
    <row r="134" spans="2:31" x14ac:dyDescent="0.25">
      <c r="B134" s="375">
        <f t="shared" si="40"/>
        <v>2031</v>
      </c>
      <c r="C134" s="401">
        <f>MAX(TREND(C126:C127,B126:B127,B134),0)</f>
        <v>976283.75</v>
      </c>
      <c r="D134" s="402">
        <f>MAX(TREND(D126:D127,B126:B127,B134),0)</f>
        <v>804825</v>
      </c>
      <c r="E134" s="725">
        <f>MAX(TREND(E126:E127,B126:B127,B134),0)</f>
        <v>0</v>
      </c>
      <c r="F134" s="726">
        <f>MAX(TREND(F126:F127,B126:B127,B134),0)</f>
        <v>0</v>
      </c>
      <c r="G134" s="725">
        <f>MAX(TREND(G126:G127,B126:B127,B134),0)</f>
        <v>0</v>
      </c>
      <c r="H134" s="726">
        <f>MAX(TREND(H126:H127,B126:B127,B134),0)</f>
        <v>0</v>
      </c>
      <c r="I134" s="725">
        <f>MAX(TREND(I126:I127,B126:B127,B134),0)</f>
        <v>1.4281078694999962</v>
      </c>
      <c r="J134" s="726">
        <f>MAX(TREND(J126:J127,B126:B127,B134),0)</f>
        <v>0.85942754730000104</v>
      </c>
      <c r="K134" s="729">
        <f>IFERROR(IF(INDEX(SafetyGroup,A120,1)=Hwy,FatValue,INDEX(PARAMETERS!$BH$26:$BK$28,1,MATCH(INDEX(SafetyGroup,A120,1),PARAMETERS!$BH$25:$BK$25,0)))*(E134-F134),0)</f>
        <v>0</v>
      </c>
      <c r="L134" s="730">
        <f>IFERROR(IF(INDEX(SafetyGroup,A120,1)=Hwy,SUMPRODUCT(PARAMETERS!$E$64:$E$66,PARAMETERS!$BC$12:$BC$14),INDEX(PARAMETERS!$BH$26:$BK$28,2,MATCH(INDEX(SafetyGroup,A120,1),PARAMETERS!$BH$25:$BK$25,0)))*(G134-H134),0)</f>
        <v>0</v>
      </c>
      <c r="M134" s="802">
        <f>IFERROR(IF(INDEX(SafetyGroup,A120,1)=Hwy,NoInjValue,INDEX(PARAMETERS!$BH$26:$BK$28,3,MATCH(INDEX(SafetyGroup,A120,1),PARAMETERS!$BH$25:$BK$25,0)))*(I134-J134),0)</f>
        <v>1762.9089988199851</v>
      </c>
      <c r="N134" s="369">
        <f t="shared" si="41"/>
        <v>1762.9089988199851</v>
      </c>
      <c r="O134" s="370">
        <f t="shared" si="35"/>
        <v>1238.5964786034776</v>
      </c>
      <c r="Q134" s="812">
        <f t="shared" si="37"/>
        <v>0</v>
      </c>
      <c r="R134" s="785">
        <f t="shared" si="38"/>
        <v>0</v>
      </c>
      <c r="S134" s="788">
        <f t="shared" si="39"/>
        <v>0.5686803221999952</v>
      </c>
      <c r="U134" s="375">
        <f t="shared" ref="U134:U151" si="44">U133+1</f>
        <v>2028</v>
      </c>
      <c r="V134" s="378">
        <f t="shared" ca="1" si="42"/>
        <v>2.1382474711770101</v>
      </c>
      <c r="W134" s="378">
        <f t="shared" ca="1" si="43"/>
        <v>0.56327584764600402</v>
      </c>
      <c r="X134" s="378">
        <f t="shared" ca="1" si="43"/>
        <v>0.24854678467499802</v>
      </c>
      <c r="Y134" s="378">
        <f t="shared" ca="1" si="43"/>
        <v>0.54796628428799821</v>
      </c>
      <c r="Z134" s="378">
        <f t="shared" ca="1" si="43"/>
        <v>14.391425283299895</v>
      </c>
      <c r="AA134" s="378">
        <f t="shared" ca="1" si="43"/>
        <v>15.193322572309967</v>
      </c>
      <c r="AC134"/>
      <c r="AD134"/>
      <c r="AE134"/>
    </row>
    <row r="135" spans="2:31" x14ac:dyDescent="0.25">
      <c r="B135" s="375">
        <f t="shared" si="40"/>
        <v>2032</v>
      </c>
      <c r="C135" s="401">
        <f>MAX(TREND(C126:C127,B126:B127,B135),0)</f>
        <v>988091.5</v>
      </c>
      <c r="D135" s="402">
        <f>MAX(TREND(D126:D127,B126:B127,B135),0)</f>
        <v>814534</v>
      </c>
      <c r="E135" s="725">
        <f>MAX(TREND(E126:E127,B126:B127,B135),0)</f>
        <v>0</v>
      </c>
      <c r="F135" s="726">
        <f>MAX(TREND(F126:F127,B126:B127,B135),0)</f>
        <v>0</v>
      </c>
      <c r="G135" s="725">
        <f>MAX(TREND(G126:G127,B126:B127,B135),0)</f>
        <v>0</v>
      </c>
      <c r="H135" s="726">
        <f>MAX(TREND(H126:H127,B126:B127,B135),0)</f>
        <v>0</v>
      </c>
      <c r="I135" s="725">
        <f>MAX(TREND(I126:I127,B126:B127,B135),0)</f>
        <v>1.4453802462000027</v>
      </c>
      <c r="J135" s="726">
        <f>MAX(TREND(J126:J127,B126:B127,B135),0)</f>
        <v>0.86979524469600022</v>
      </c>
      <c r="K135" s="729">
        <f>IFERROR(IF(INDEX(SafetyGroup,A120,1)=Hwy,FatValue,INDEX(PARAMETERS!$BH$26:$BK$28,1,MATCH(INDEX(SafetyGroup,A120,1),PARAMETERS!$BH$25:$BK$25,0)))*(E135-F135),0)</f>
        <v>0</v>
      </c>
      <c r="L135" s="730">
        <f>IFERROR(IF(INDEX(SafetyGroup,A120,1)=Hwy,SUMPRODUCT(PARAMETERS!$E$64:$E$66,PARAMETERS!$BC$12:$BC$14),INDEX(PARAMETERS!$BH$26:$BK$28,2,MATCH(INDEX(SafetyGroup,A120,1),PARAMETERS!$BH$25:$BK$25,0)))*(G135-H135),0)</f>
        <v>0</v>
      </c>
      <c r="M135" s="802">
        <f>IFERROR(IF(INDEX(SafetyGroup,A120,1)=Hwy,NoInjValue,INDEX(PARAMETERS!$BH$26:$BK$28,3,MATCH(INDEX(SafetyGroup,A120,1),PARAMETERS!$BH$25:$BK$25,0)))*(I135-J135),0)</f>
        <v>1784.3135046624077</v>
      </c>
      <c r="N135" s="369">
        <f t="shared" si="41"/>
        <v>1784.3135046624077</v>
      </c>
      <c r="O135" s="370">
        <f t="shared" si="35"/>
        <v>1205.4182697019071</v>
      </c>
      <c r="Q135" s="812">
        <f t="shared" si="37"/>
        <v>0</v>
      </c>
      <c r="R135" s="785">
        <f t="shared" si="38"/>
        <v>0</v>
      </c>
      <c r="S135" s="788">
        <f t="shared" si="39"/>
        <v>0.57558500150400249</v>
      </c>
      <c r="U135" s="375">
        <f t="shared" si="44"/>
        <v>2029</v>
      </c>
      <c r="V135" s="378">
        <f t="shared" ca="1" si="42"/>
        <v>2.1345690445755281</v>
      </c>
      <c r="W135" s="378">
        <f t="shared" ca="1" si="43"/>
        <v>0.57368313651900138</v>
      </c>
      <c r="X135" s="378">
        <f t="shared" ca="1" si="43"/>
        <v>0.25312298951250156</v>
      </c>
      <c r="Y135" s="378">
        <f t="shared" ca="1" si="43"/>
        <v>0.55487096359199484</v>
      </c>
      <c r="Z135" s="378">
        <f t="shared" ca="1" si="43"/>
        <v>14.678782103699973</v>
      </c>
      <c r="AA135" s="378">
        <f t="shared" ca="1" si="43"/>
        <v>15.452368427590159</v>
      </c>
      <c r="AC135"/>
      <c r="AD135"/>
      <c r="AE135"/>
    </row>
    <row r="136" spans="2:31" x14ac:dyDescent="0.25">
      <c r="B136" s="375">
        <f t="shared" si="40"/>
        <v>2033</v>
      </c>
      <c r="C136" s="401">
        <f>MAX(TREND(C126:C127,B126:B127,B136),0)</f>
        <v>999899.25</v>
      </c>
      <c r="D136" s="402">
        <f>MAX(TREND(D126:D127,B126:B127,B136),0)</f>
        <v>824243</v>
      </c>
      <c r="E136" s="725">
        <f>MAX(TREND(E126:E127,B126:B127,B136),0)</f>
        <v>0</v>
      </c>
      <c r="F136" s="726">
        <f>MAX(TREND(F126:F127,B126:B127,B136),0)</f>
        <v>0</v>
      </c>
      <c r="G136" s="725">
        <f>MAX(TREND(G126:G127,B126:B127,B136),0)</f>
        <v>0</v>
      </c>
      <c r="H136" s="726">
        <f>MAX(TREND(H126:H127,B126:B127,B136),0)</f>
        <v>0</v>
      </c>
      <c r="I136" s="725">
        <f>MAX(TREND(I126:I127,B126:B127,B136),0)</f>
        <v>1.4626526229000021</v>
      </c>
      <c r="J136" s="726">
        <f>MAX(TREND(J126:J127,B126:B127,B136),0)</f>
        <v>0.88016294209200296</v>
      </c>
      <c r="K136" s="729">
        <f>IFERROR(IF(INDEX(SafetyGroup,A120,1)=Hwy,FatValue,INDEX(PARAMETERS!$BH$26:$BK$28,1,MATCH(INDEX(SafetyGroup,A120,1),PARAMETERS!$BH$25:$BK$25,0)))*(E136-F136),0)</f>
        <v>0</v>
      </c>
      <c r="L136" s="730">
        <f>IFERROR(IF(INDEX(SafetyGroup,A120,1)=Hwy,SUMPRODUCT(PARAMETERS!$E$64:$E$66,PARAMETERS!$BC$12:$BC$14),INDEX(PARAMETERS!$BH$26:$BK$28,2,MATCH(INDEX(SafetyGroup,A120,1),PARAMETERS!$BH$25:$BK$25,0)))*(G136-H136),0)</f>
        <v>0</v>
      </c>
      <c r="M136" s="802">
        <f>IFERROR(IF(INDEX(SafetyGroup,A120,1)=Hwy,NoInjValue,INDEX(PARAMETERS!$BH$26:$BK$28,3,MATCH(INDEX(SafetyGroup,A120,1),PARAMETERS!$BH$25:$BK$25,0)))*(I136-J136),0)</f>
        <v>1805.7180105047973</v>
      </c>
      <c r="N136" s="369">
        <f t="shared" si="41"/>
        <v>1805.7180105047973</v>
      </c>
      <c r="O136" s="370">
        <f t="shared" si="35"/>
        <v>1172.9599874042769</v>
      </c>
      <c r="Q136" s="812">
        <f t="shared" si="37"/>
        <v>0</v>
      </c>
      <c r="R136" s="785">
        <f t="shared" si="38"/>
        <v>0</v>
      </c>
      <c r="S136" s="788">
        <f t="shared" si="39"/>
        <v>0.58248968080799912</v>
      </c>
      <c r="U136" s="375">
        <f t="shared" si="44"/>
        <v>2030</v>
      </c>
      <c r="V136" s="378">
        <f t="shared" ca="1" si="42"/>
        <v>2.1308906179740177</v>
      </c>
      <c r="W136" s="378">
        <f t="shared" ca="1" si="43"/>
        <v>0.58409042539199874</v>
      </c>
      <c r="X136" s="378">
        <f t="shared" ca="1" si="43"/>
        <v>0.25769919434999977</v>
      </c>
      <c r="Y136" s="378">
        <f t="shared" ca="1" si="43"/>
        <v>0.56177564289599502</v>
      </c>
      <c r="Z136" s="378">
        <f t="shared" ca="1" si="43"/>
        <v>14.966138924100051</v>
      </c>
      <c r="AA136" s="378">
        <f t="shared" ca="1" si="43"/>
        <v>15.711414282870123</v>
      </c>
      <c r="AC136"/>
      <c r="AD136"/>
      <c r="AE136"/>
    </row>
    <row r="137" spans="2:31" x14ac:dyDescent="0.25">
      <c r="B137" s="375">
        <f t="shared" si="40"/>
        <v>2034</v>
      </c>
      <c r="C137" s="401">
        <f>MAX(TREND(C126:C127,B126:B127,B137),0)</f>
        <v>1011707</v>
      </c>
      <c r="D137" s="402">
        <f>MAX(TREND(D126:D127,B126:B127,B137),0)</f>
        <v>833952</v>
      </c>
      <c r="E137" s="725">
        <f>MAX(TREND(E126:E127,B126:B127,B137),0)</f>
        <v>0</v>
      </c>
      <c r="F137" s="726">
        <f>MAX(TREND(F126:F127,B126:B127,B137),0)</f>
        <v>0</v>
      </c>
      <c r="G137" s="725">
        <f>MAX(TREND(G126:G127,B126:B127,B137),0)</f>
        <v>0</v>
      </c>
      <c r="H137" s="726">
        <f>MAX(TREND(H126:H127,B126:B127,B137),0)</f>
        <v>0</v>
      </c>
      <c r="I137" s="725">
        <f>MAX(TREND(I126:I127,B126:B127,B137),0)</f>
        <v>1.4799249996000015</v>
      </c>
      <c r="J137" s="726">
        <f>MAX(TREND(J126:J127,B126:B127,B137),0)</f>
        <v>0.89053063948800215</v>
      </c>
      <c r="K137" s="729">
        <f>IFERROR(IF(INDEX(SafetyGroup,A120,1)=Hwy,FatValue,INDEX(PARAMETERS!$BH$26:$BK$28,1,MATCH(INDEX(SafetyGroup,A120,1),PARAMETERS!$BH$25:$BK$25,0)))*(E137-F137),0)</f>
        <v>0</v>
      </c>
      <c r="L137" s="730">
        <f>IFERROR(IF(INDEX(SafetyGroup,A120,1)=Hwy,SUMPRODUCT(PARAMETERS!$E$64:$E$66,PARAMETERS!$BC$12:$BC$14),INDEX(PARAMETERS!$BH$26:$BK$28,2,MATCH(INDEX(SafetyGroup,A120,1),PARAMETERS!$BH$25:$BK$25,0)))*(G137-H137),0)</f>
        <v>0</v>
      </c>
      <c r="M137" s="802">
        <f>IFERROR(IF(INDEX(SafetyGroup,A120,1)=Hwy,NoInjValue,INDEX(PARAMETERS!$BH$26:$BK$28,3,MATCH(INDEX(SafetyGroup,A120,1),PARAMETERS!$BH$25:$BK$25,0)))*(I137-J137),0)</f>
        <v>1827.1225163471979</v>
      </c>
      <c r="N137" s="369">
        <f t="shared" si="41"/>
        <v>1827.1225163471979</v>
      </c>
      <c r="O137" s="370">
        <f t="shared" si="35"/>
        <v>1141.2153329317641</v>
      </c>
      <c r="Q137" s="812">
        <f t="shared" si="37"/>
        <v>0</v>
      </c>
      <c r="R137" s="785">
        <f t="shared" si="38"/>
        <v>0</v>
      </c>
      <c r="S137" s="788">
        <f t="shared" si="39"/>
        <v>0.5893943601119993</v>
      </c>
      <c r="U137" s="375">
        <f t="shared" si="44"/>
        <v>2031</v>
      </c>
      <c r="V137" s="378">
        <f t="shared" ca="1" si="42"/>
        <v>2.1272121913725357</v>
      </c>
      <c r="W137" s="378">
        <f t="shared" ca="1" si="43"/>
        <v>0.59449771426499609</v>
      </c>
      <c r="X137" s="378">
        <f t="shared" ca="1" si="43"/>
        <v>0.26227539918749976</v>
      </c>
      <c r="Y137" s="378">
        <f t="shared" ca="1" si="43"/>
        <v>0.5686803221999952</v>
      </c>
      <c r="Z137" s="378">
        <f t="shared" ca="1" si="43"/>
        <v>15.253495744499901</v>
      </c>
      <c r="AA137" s="378">
        <f t="shared" ca="1" si="43"/>
        <v>15.970460138149974</v>
      </c>
      <c r="AC137"/>
      <c r="AD137"/>
      <c r="AE137"/>
    </row>
    <row r="138" spans="2:31" x14ac:dyDescent="0.25">
      <c r="B138" s="375">
        <f t="shared" si="40"/>
        <v>2035</v>
      </c>
      <c r="C138" s="401">
        <f>MAX(TREND(C126:C127,B126:B127,B138),0)</f>
        <v>1023514.75</v>
      </c>
      <c r="D138" s="402">
        <f>MAX(TREND(D126:D127,B126:B127,B138),0)</f>
        <v>843661</v>
      </c>
      <c r="E138" s="725">
        <f>MAX(TREND(E126:E127,B126:B127,B138),0)</f>
        <v>0</v>
      </c>
      <c r="F138" s="726">
        <f>MAX(TREND(F126:F127,B126:B127,B138),0)</f>
        <v>0</v>
      </c>
      <c r="G138" s="725">
        <f>MAX(TREND(G126:G127,B126:B127,B138),0)</f>
        <v>0</v>
      </c>
      <c r="H138" s="726">
        <f>MAX(TREND(H126:H127,B126:B127,B138),0)</f>
        <v>0</v>
      </c>
      <c r="I138" s="725">
        <f>MAX(TREND(I126:I127,B126:B127,B138),0)</f>
        <v>1.4971973763000008</v>
      </c>
      <c r="J138" s="726">
        <f>MAX(TREND(J126:J127,B126:B127,B138),0)</f>
        <v>0.90089833688400134</v>
      </c>
      <c r="K138" s="729">
        <f>IFERROR(IF(INDEX(SafetyGroup,A120,1)=Hwy,FatValue,INDEX(PARAMETERS!$BH$26:$BK$28,1,MATCH(INDEX(SafetyGroup,A120,1),PARAMETERS!$BH$25:$BK$25,0)))*(E138-F138),0)</f>
        <v>0</v>
      </c>
      <c r="L138" s="730">
        <f>IFERROR(IF(INDEX(SafetyGroup,A120,1)=Hwy,SUMPRODUCT(PARAMETERS!$E$64:$E$66,PARAMETERS!$BC$12:$BC$14),INDEX(PARAMETERS!$BH$26:$BK$28,2,MATCH(INDEX(SafetyGroup,A120,1),PARAMETERS!$BH$25:$BK$25,0)))*(G138-H138),0)</f>
        <v>0</v>
      </c>
      <c r="M138" s="802">
        <f>IFERROR(IF(INDEX(SafetyGroup,A120,1)=Hwy,NoInjValue,INDEX(PARAMETERS!$BH$26:$BK$28,3,MATCH(INDEX(SafetyGroup,A120,1),PARAMETERS!$BH$25:$BK$25,0)))*(I138-J138),0)</f>
        <v>1848.5270221895985</v>
      </c>
      <c r="N138" s="369">
        <f t="shared" si="41"/>
        <v>1848.5270221895985</v>
      </c>
      <c r="O138" s="370">
        <f t="shared" si="35"/>
        <v>1110.1774270467758</v>
      </c>
      <c r="Q138" s="812">
        <f t="shared" si="37"/>
        <v>0</v>
      </c>
      <c r="R138" s="785">
        <f t="shared" si="38"/>
        <v>0</v>
      </c>
      <c r="S138" s="788">
        <f t="shared" si="39"/>
        <v>0.59629903941599949</v>
      </c>
      <c r="U138" s="375">
        <f t="shared" si="44"/>
        <v>2032</v>
      </c>
      <c r="V138" s="378">
        <f t="shared" ca="1" si="42"/>
        <v>2.1235337647710253</v>
      </c>
      <c r="W138" s="378">
        <f t="shared" ca="1" si="43"/>
        <v>0.60490500313800055</v>
      </c>
      <c r="X138" s="378">
        <f t="shared" ca="1" si="43"/>
        <v>0.26685160402499797</v>
      </c>
      <c r="Y138" s="378">
        <f t="shared" ca="1" si="43"/>
        <v>0.57558500150400249</v>
      </c>
      <c r="Z138" s="378">
        <f t="shared" ca="1" si="43"/>
        <v>15.540852564899978</v>
      </c>
      <c r="AA138" s="378">
        <f t="shared" ca="1" si="43"/>
        <v>16.229505993429939</v>
      </c>
      <c r="AC138"/>
      <c r="AD138"/>
      <c r="AE138"/>
    </row>
    <row r="139" spans="2:31" x14ac:dyDescent="0.25">
      <c r="B139" s="375">
        <f t="shared" si="40"/>
        <v>2036</v>
      </c>
      <c r="C139" s="401">
        <f>MAX(TREND(C126:C127,B126:B127,B139),0)</f>
        <v>1035322.5</v>
      </c>
      <c r="D139" s="402">
        <f>MAX(TREND(D126:D127,B126:B127,B139),0)</f>
        <v>853370</v>
      </c>
      <c r="E139" s="725">
        <f>MAX(TREND(E126:E127,B126:B127,B139),0)</f>
        <v>0</v>
      </c>
      <c r="F139" s="726">
        <f>MAX(TREND(F126:F127,B126:B127,B139),0)</f>
        <v>0</v>
      </c>
      <c r="G139" s="725">
        <f>MAX(TREND(G126:G127,B126:B127,B139),0)</f>
        <v>0</v>
      </c>
      <c r="H139" s="726">
        <f>MAX(TREND(H126:H127,B126:B127,B139),0)</f>
        <v>0</v>
      </c>
      <c r="I139" s="725">
        <f>MAX(TREND(I126:I127,B126:B127,B139),0)</f>
        <v>1.5144697530000002</v>
      </c>
      <c r="J139" s="726">
        <f>MAX(TREND(J126:J127,B126:B127,B139),0)</f>
        <v>0.91126603428000053</v>
      </c>
      <c r="K139" s="729">
        <f>IFERROR(IF(INDEX(SafetyGroup,A120,1)=Hwy,FatValue,INDEX(PARAMETERS!$BH$26:$BK$28,1,MATCH(INDEX(SafetyGroup,A120,1),PARAMETERS!$BH$25:$BK$25,0)))*(E139-F139),0)</f>
        <v>0</v>
      </c>
      <c r="L139" s="730">
        <f>IFERROR(IF(INDEX(SafetyGroup,A120,1)=Hwy,SUMPRODUCT(PARAMETERS!$E$64:$E$66,PARAMETERS!$BC$12:$BC$14),INDEX(PARAMETERS!$BH$26:$BK$28,2,MATCH(INDEX(SafetyGroup,A120,1),PARAMETERS!$BH$25:$BK$25,0)))*(G139-H139),0)</f>
        <v>0</v>
      </c>
      <c r="M139" s="802">
        <f>IFERROR(IF(INDEX(SafetyGroup,A120,1)=Hwy,NoInjValue,INDEX(PARAMETERS!$BH$26:$BK$28,3,MATCH(INDEX(SafetyGroup,A120,1),PARAMETERS!$BH$25:$BK$25,0)))*(I139-J139),0)</f>
        <v>1869.9315280319991</v>
      </c>
      <c r="N139" s="369">
        <f t="shared" si="41"/>
        <v>1869.9315280319991</v>
      </c>
      <c r="O139" s="370">
        <f t="shared" si="35"/>
        <v>1079.8388640213846</v>
      </c>
      <c r="Q139" s="812">
        <f t="shared" si="37"/>
        <v>0</v>
      </c>
      <c r="R139" s="785">
        <f t="shared" si="38"/>
        <v>0</v>
      </c>
      <c r="S139" s="788">
        <f t="shared" si="39"/>
        <v>0.60320371871999967</v>
      </c>
      <c r="U139" s="375">
        <f t="shared" si="44"/>
        <v>2033</v>
      </c>
      <c r="V139" s="378">
        <f t="shared" ca="1" si="42"/>
        <v>2.1198553381695149</v>
      </c>
      <c r="W139" s="378">
        <f t="shared" ca="1" si="43"/>
        <v>0.61531229201099791</v>
      </c>
      <c r="X139" s="378">
        <f t="shared" ca="1" si="43"/>
        <v>0.27142780886250151</v>
      </c>
      <c r="Y139" s="378">
        <f t="shared" ca="1" si="43"/>
        <v>0.58248968080799912</v>
      </c>
      <c r="Z139" s="378">
        <f t="shared" ca="1" si="43"/>
        <v>15.828209385300056</v>
      </c>
      <c r="AA139" s="378">
        <f t="shared" ca="1" si="43"/>
        <v>16.488551848710131</v>
      </c>
      <c r="AC139"/>
      <c r="AD139"/>
      <c r="AE139"/>
    </row>
    <row r="140" spans="2:31" x14ac:dyDescent="0.25">
      <c r="B140" s="375">
        <f t="shared" si="40"/>
        <v>2037</v>
      </c>
      <c r="C140" s="401">
        <f>MAX(TREND(C126:C127,B126:B127,B140),0)</f>
        <v>1047130.25</v>
      </c>
      <c r="D140" s="402">
        <f>MAX(TREND(D126:D127,B126:B127,B140),0)</f>
        <v>863079</v>
      </c>
      <c r="E140" s="725">
        <f>MAX(TREND(E126:E127,B126:B127,B140),0)</f>
        <v>0</v>
      </c>
      <c r="F140" s="726">
        <f>MAX(TREND(F126:F127,B126:B127,B140),0)</f>
        <v>0</v>
      </c>
      <c r="G140" s="725">
        <f>MAX(TREND(G126:G127,B126:B127,B140),0)</f>
        <v>0</v>
      </c>
      <c r="H140" s="726">
        <f>MAX(TREND(H126:H127,B126:B127,B140),0)</f>
        <v>0</v>
      </c>
      <c r="I140" s="725">
        <f>MAX(TREND(I126:I127,B126:B127,B140),0)</f>
        <v>1.5317421296999996</v>
      </c>
      <c r="J140" s="726">
        <f>MAX(TREND(J126:J127,B126:B127,B140),0)</f>
        <v>0.92163373167599971</v>
      </c>
      <c r="K140" s="729">
        <f>IFERROR(IF(INDEX(SafetyGroup,A120,1)=Hwy,FatValue,INDEX(PARAMETERS!$BH$26:$BK$28,1,MATCH(INDEX(SafetyGroup,A120,1),PARAMETERS!$BH$25:$BK$25,0)))*(E140-F140),0)</f>
        <v>0</v>
      </c>
      <c r="L140" s="730">
        <f>IFERROR(IF(INDEX(SafetyGroup,A120,1)=Hwy,SUMPRODUCT(PARAMETERS!$E$64:$E$66,PARAMETERS!$BC$12:$BC$14),INDEX(PARAMETERS!$BH$26:$BK$28,2,MATCH(INDEX(SafetyGroup,A120,1),PARAMETERS!$BH$25:$BK$25,0)))*(G140-H140),0)</f>
        <v>0</v>
      </c>
      <c r="M140" s="802">
        <f>IFERROR(IF(INDEX(SafetyGroup,A120,1)=Hwy,NoInjValue,INDEX(PARAMETERS!$BH$26:$BK$28,3,MATCH(INDEX(SafetyGroup,A120,1),PARAMETERS!$BH$25:$BK$25,0)))*(I140-J140),0)</f>
        <v>1891.3360338743996</v>
      </c>
      <c r="N140" s="369">
        <f t="shared" si="41"/>
        <v>1891.3360338743996</v>
      </c>
      <c r="O140" s="370">
        <f t="shared" si="35"/>
        <v>1050.1917623129659</v>
      </c>
      <c r="Q140" s="812">
        <f t="shared" si="37"/>
        <v>0</v>
      </c>
      <c r="R140" s="785">
        <f t="shared" si="38"/>
        <v>0</v>
      </c>
      <c r="S140" s="788">
        <f t="shared" si="39"/>
        <v>0.61010839802399985</v>
      </c>
      <c r="U140" s="375">
        <f t="shared" si="44"/>
        <v>2034</v>
      </c>
      <c r="V140" s="378">
        <f t="shared" ca="1" si="42"/>
        <v>2.1161769115680329</v>
      </c>
      <c r="W140" s="378">
        <f t="shared" ca="1" si="43"/>
        <v>0.62571958088400237</v>
      </c>
      <c r="X140" s="378">
        <f t="shared" ca="1" si="43"/>
        <v>0.27600401369999972</v>
      </c>
      <c r="Y140" s="378">
        <f t="shared" ca="1" si="43"/>
        <v>0.5893943601119993</v>
      </c>
      <c r="Z140" s="378">
        <f t="shared" ca="1" si="43"/>
        <v>16.115566205699906</v>
      </c>
      <c r="AA140" s="378">
        <f t="shared" ca="1" si="43"/>
        <v>16.747597703990095</v>
      </c>
      <c r="AC140"/>
      <c r="AD140"/>
      <c r="AE140"/>
    </row>
    <row r="141" spans="2:31" x14ac:dyDescent="0.25">
      <c r="B141" s="375">
        <f t="shared" si="40"/>
        <v>2038</v>
      </c>
      <c r="C141" s="401">
        <f>MAX(TREND(C126:C127,B126:B127,B141),0)</f>
        <v>1058938</v>
      </c>
      <c r="D141" s="402">
        <f>MAX(TREND(D126:D127,B126:B127,B141),0)</f>
        <v>872788</v>
      </c>
      <c r="E141" s="725">
        <f>MAX(TREND(E126:E127,B126:B127,B141),0)</f>
        <v>0</v>
      </c>
      <c r="F141" s="726">
        <f>MAX(TREND(F126:F127,B126:B127,B141),0)</f>
        <v>0</v>
      </c>
      <c r="G141" s="725">
        <f>MAX(TREND(G126:G127,B126:B127,B141),0)</f>
        <v>0</v>
      </c>
      <c r="H141" s="726">
        <f>MAX(TREND(H126:H127,B126:B127,B141),0)</f>
        <v>0</v>
      </c>
      <c r="I141" s="725">
        <f>MAX(TREND(I126:I127,B126:B127,B141),0)</f>
        <v>1.5490145063999989</v>
      </c>
      <c r="J141" s="726">
        <f>MAX(TREND(J126:J127,B126:B127,B141),0)</f>
        <v>0.93200142907200245</v>
      </c>
      <c r="K141" s="729">
        <f>IFERROR(IF(INDEX(SafetyGroup,A120,1)=Hwy,FatValue,INDEX(PARAMETERS!$BH$26:$BK$28,1,MATCH(INDEX(SafetyGroup,A120,1),PARAMETERS!$BH$25:$BK$25,0)))*(E141-F141),0)</f>
        <v>0</v>
      </c>
      <c r="L141" s="730">
        <f>IFERROR(IF(INDEX(SafetyGroup,A120,1)=Hwy,SUMPRODUCT(PARAMETERS!$E$64:$E$66,PARAMETERS!$BC$12:$BC$14),INDEX(PARAMETERS!$BH$26:$BK$28,2,MATCH(INDEX(SafetyGroup,A120,1),PARAMETERS!$BH$25:$BK$25,0)))*(G141-H141),0)</f>
        <v>0</v>
      </c>
      <c r="M141" s="802">
        <f>IFERROR(IF(INDEX(SafetyGroup,A120,1)=Hwy,NoInjValue,INDEX(PARAMETERS!$BH$26:$BK$28,3,MATCH(INDEX(SafetyGroup,A120,1),PARAMETERS!$BH$25:$BK$25,0)))*(I141-J141),0)</f>
        <v>1912.740539716789</v>
      </c>
      <c r="N141" s="369">
        <f t="shared" si="41"/>
        <v>1912.740539716789</v>
      </c>
      <c r="O141" s="370">
        <f t="shared" si="35"/>
        <v>1021.2278121205419</v>
      </c>
      <c r="Q141" s="812">
        <f t="shared" si="37"/>
        <v>0</v>
      </c>
      <c r="R141" s="785">
        <f t="shared" si="38"/>
        <v>0</v>
      </c>
      <c r="S141" s="788">
        <f t="shared" si="39"/>
        <v>0.61701307732799648</v>
      </c>
      <c r="U141" s="375">
        <f t="shared" si="44"/>
        <v>2035</v>
      </c>
      <c r="V141" s="378">
        <f t="shared" ca="1" si="42"/>
        <v>2.1124984849665509</v>
      </c>
      <c r="W141" s="378">
        <f t="shared" ca="1" si="43"/>
        <v>0.63612686975699972</v>
      </c>
      <c r="X141" s="378">
        <f t="shared" ca="1" si="43"/>
        <v>0.2805802185374997</v>
      </c>
      <c r="Y141" s="378">
        <f t="shared" ca="1" si="43"/>
        <v>0.59629903941599949</v>
      </c>
      <c r="Z141" s="378">
        <f t="shared" ca="1" si="43"/>
        <v>16.402923026099984</v>
      </c>
      <c r="AA141" s="378">
        <f t="shared" ca="1" si="43"/>
        <v>17.006643559269946</v>
      </c>
      <c r="AC141"/>
      <c r="AD141"/>
      <c r="AE141"/>
    </row>
    <row r="142" spans="2:31" x14ac:dyDescent="0.25">
      <c r="B142" s="375">
        <f t="shared" si="40"/>
        <v>2039</v>
      </c>
      <c r="C142" s="401">
        <f>MAX(TREND(C126:C127,B126:B127,B142),0)</f>
        <v>1070745.75</v>
      </c>
      <c r="D142" s="402">
        <f>MAX(TREND(D126:D127,B126:B127,B142),0)</f>
        <v>882497</v>
      </c>
      <c r="E142" s="725">
        <f>MAX(TREND(E126:E127,B126:B127,B142),0)</f>
        <v>0</v>
      </c>
      <c r="F142" s="726">
        <f>MAX(TREND(F126:F127,B126:B127,B142),0)</f>
        <v>0</v>
      </c>
      <c r="G142" s="725">
        <f>MAX(TREND(G126:G127,B126:B127,B142),0)</f>
        <v>0</v>
      </c>
      <c r="H142" s="726">
        <f>MAX(TREND(H126:H127,B126:B127,B142),0)</f>
        <v>0</v>
      </c>
      <c r="I142" s="725">
        <f>MAX(TREND(I126:I127,B126:B127,B142),0)</f>
        <v>1.5662868830999983</v>
      </c>
      <c r="J142" s="726">
        <f>MAX(TREND(J126:J127,B126:B127,B142),0)</f>
        <v>0.94236912646800164</v>
      </c>
      <c r="K142" s="729">
        <f>IFERROR(IF(INDEX(SafetyGroup,A120,1)=Hwy,FatValue,INDEX(PARAMETERS!$BH$26:$BK$28,1,MATCH(INDEX(SafetyGroup,A120,1),PARAMETERS!$BH$25:$BK$25,0)))*(E142-F142),0)</f>
        <v>0</v>
      </c>
      <c r="L142" s="730">
        <f>IFERROR(IF(INDEX(SafetyGroup,A120,1)=Hwy,SUMPRODUCT(PARAMETERS!$E$64:$E$66,PARAMETERS!$BC$12:$BC$14),INDEX(PARAMETERS!$BH$26:$BK$28,2,MATCH(INDEX(SafetyGroup,A120,1),PARAMETERS!$BH$25:$BK$25,0)))*(G142-H142),0)</f>
        <v>0</v>
      </c>
      <c r="M142" s="802">
        <f>IFERROR(IF(INDEX(SafetyGroup,A120,1)=Hwy,NoInjValue,INDEX(PARAMETERS!$BH$26:$BK$28,3,MATCH(INDEX(SafetyGroup,A120,1),PARAMETERS!$BH$25:$BK$25,0)))*(I142-J142),0)</f>
        <v>1934.1450455591896</v>
      </c>
      <c r="N142" s="369">
        <f t="shared" si="41"/>
        <v>1934.1450455591896</v>
      </c>
      <c r="O142" s="370">
        <f t="shared" si="35"/>
        <v>992.93831998684118</v>
      </c>
      <c r="Q142" s="812">
        <f t="shared" si="37"/>
        <v>0</v>
      </c>
      <c r="R142" s="785">
        <f t="shared" si="38"/>
        <v>0</v>
      </c>
      <c r="S142" s="788">
        <f t="shared" si="39"/>
        <v>0.62391775663199667</v>
      </c>
      <c r="U142" s="375">
        <f t="shared" si="44"/>
        <v>2036</v>
      </c>
      <c r="V142" s="378">
        <f t="shared" ca="1" si="42"/>
        <v>2.1088200583650121</v>
      </c>
      <c r="W142" s="378">
        <f t="shared" ref="W142:AA151" ca="1" si="45">OFFSET($S19,MATCH(W$128,$A:$A),0)</f>
        <v>0.64653415863000419</v>
      </c>
      <c r="X142" s="378">
        <f t="shared" ca="1" si="45"/>
        <v>0.28515642337499791</v>
      </c>
      <c r="Y142" s="378">
        <f t="shared" ca="1" si="45"/>
        <v>0.60320371871999967</v>
      </c>
      <c r="Z142" s="378">
        <f t="shared" ca="1" si="45"/>
        <v>16.690279846500061</v>
      </c>
      <c r="AA142" s="378">
        <f t="shared" ca="1" si="45"/>
        <v>17.265689414550138</v>
      </c>
      <c r="AC142"/>
      <c r="AD142"/>
      <c r="AE142"/>
    </row>
    <row r="143" spans="2:31" x14ac:dyDescent="0.25">
      <c r="B143" s="375">
        <f t="shared" si="40"/>
        <v>2040</v>
      </c>
      <c r="C143" s="401">
        <f>MAX(TREND(C126:C127,B126:B127,B143),0)</f>
        <v>1082553.5</v>
      </c>
      <c r="D143" s="402">
        <f>MAX(TREND(D126:D127,B126:B127,B143),0)</f>
        <v>892206</v>
      </c>
      <c r="E143" s="725">
        <f>MAX(TREND(E126:E127,B126:B127,B143),0)</f>
        <v>0</v>
      </c>
      <c r="F143" s="726">
        <f>MAX(TREND(F126:F127,B126:B127,B143),0)</f>
        <v>0</v>
      </c>
      <c r="G143" s="725">
        <f>MAX(TREND(G126:G127,B126:B127,B143),0)</f>
        <v>0</v>
      </c>
      <c r="H143" s="726">
        <f>MAX(TREND(H126:H127,B126:B127,B143),0)</f>
        <v>0</v>
      </c>
      <c r="I143" s="725">
        <f>MAX(TREND(I126:I127,B126:B127,B143),0)</f>
        <v>1.5835592597999977</v>
      </c>
      <c r="J143" s="726">
        <f>MAX(TREND(J126:J127,B126:B127,B143),0)</f>
        <v>0.95273682386400083</v>
      </c>
      <c r="K143" s="729">
        <f>IFERROR(IF(INDEX(SafetyGroup,A120,1)=Hwy,FatValue,INDEX(PARAMETERS!$BH$26:$BK$28,1,MATCH(INDEX(SafetyGroup,A120,1),PARAMETERS!$BH$25:$BK$25,0)))*(E143-F143),0)</f>
        <v>0</v>
      </c>
      <c r="L143" s="730">
        <f>IFERROR(IF(INDEX(SafetyGroup,A120,1)=Hwy,SUMPRODUCT(PARAMETERS!$E$64:$E$66,PARAMETERS!$BC$12:$BC$14),INDEX(PARAMETERS!$BH$26:$BK$28,2,MATCH(INDEX(SafetyGroup,A120,1),PARAMETERS!$BH$25:$BK$25,0)))*(G143-H143),0)</f>
        <v>0</v>
      </c>
      <c r="M143" s="802">
        <f>IFERROR(IF(INDEX(SafetyGroup,A120,1)=Hwy,NoInjValue,INDEX(PARAMETERS!$BH$26:$BK$28,3,MATCH(INDEX(SafetyGroup,A120,1),PARAMETERS!$BH$25:$BK$25,0)))*(I143-J143),0)</f>
        <v>1955.5495514015902</v>
      </c>
      <c r="N143" s="369">
        <f t="shared" si="41"/>
        <v>1955.5495514015902</v>
      </c>
      <c r="O143" s="370">
        <f t="shared" si="35"/>
        <v>965.31425060289178</v>
      </c>
      <c r="Q143" s="812">
        <f t="shared" si="37"/>
        <v>0</v>
      </c>
      <c r="R143" s="785">
        <f t="shared" si="38"/>
        <v>0</v>
      </c>
      <c r="S143" s="788">
        <f t="shared" si="39"/>
        <v>0.63082243593599685</v>
      </c>
      <c r="U143" s="375">
        <f t="shared" si="44"/>
        <v>2037</v>
      </c>
      <c r="V143" s="378">
        <f t="shared" ca="1" si="42"/>
        <v>2.1051416317635301</v>
      </c>
      <c r="W143" s="378">
        <f t="shared" ca="1" si="45"/>
        <v>0.65694144750299444</v>
      </c>
      <c r="X143" s="378">
        <f t="shared" ca="1" si="45"/>
        <v>0.2897326282124979</v>
      </c>
      <c r="Y143" s="378">
        <f t="shared" ca="1" si="45"/>
        <v>0.61010839802399985</v>
      </c>
      <c r="Z143" s="378">
        <f t="shared" ca="1" si="45"/>
        <v>16.977636666899912</v>
      </c>
      <c r="AA143" s="378">
        <f t="shared" ca="1" si="45"/>
        <v>17.524735269830103</v>
      </c>
      <c r="AC143"/>
      <c r="AD143"/>
      <c r="AE143"/>
    </row>
    <row r="144" spans="2:31" x14ac:dyDescent="0.25">
      <c r="B144" s="375">
        <f t="shared" si="40"/>
        <v>2041</v>
      </c>
      <c r="C144" s="401">
        <f>MAX(TREND(C126:C127,B126:B127,B144),0)</f>
        <v>1094361.25</v>
      </c>
      <c r="D144" s="402">
        <f>MAX(TREND(D126:D127,B126:B127,B144),0)</f>
        <v>901915</v>
      </c>
      <c r="E144" s="725">
        <f>MAX(TREND(E126:E127,B126:B127,B144),0)</f>
        <v>0</v>
      </c>
      <c r="F144" s="726">
        <f>MAX(TREND(F126:F127,B126:B127,B144),0)</f>
        <v>0</v>
      </c>
      <c r="G144" s="725">
        <f>MAX(TREND(G126:G127,B126:B127,B144),0)</f>
        <v>0</v>
      </c>
      <c r="H144" s="726">
        <f>MAX(TREND(H126:H127,B126:B127,B144),0)</f>
        <v>0</v>
      </c>
      <c r="I144" s="725">
        <f>MAX(TREND(I126:I127,B126:B127,B144),0)</f>
        <v>1.600831636499997</v>
      </c>
      <c r="J144" s="726">
        <f>MAX(TREND(J126:J127,B126:B127,B144),0)</f>
        <v>0.96310452126000001</v>
      </c>
      <c r="K144" s="729">
        <f>IFERROR(IF(INDEX(SafetyGroup,A120,1)=Hwy,FatValue,INDEX(PARAMETERS!$BH$26:$BK$28,1,MATCH(INDEX(SafetyGroup,A120,1),PARAMETERS!$BH$25:$BK$25,0)))*(E144-F144),0)</f>
        <v>0</v>
      </c>
      <c r="L144" s="730">
        <f>IFERROR(IF(INDEX(SafetyGroup,A120,1)=Hwy,SUMPRODUCT(PARAMETERS!$E$64:$E$66,PARAMETERS!$BC$12:$BC$14),INDEX(PARAMETERS!$BH$26:$BK$28,2,MATCH(INDEX(SafetyGroup,A120,1),PARAMETERS!$BH$25:$BK$25,0)))*(G144-H144),0)</f>
        <v>0</v>
      </c>
      <c r="M144" s="802">
        <f>IFERROR(IF(INDEX(SafetyGroup,A120,1)=Hwy,NoInjValue,INDEX(PARAMETERS!$BH$26:$BK$28,3,MATCH(INDEX(SafetyGroup,A120,1),PARAMETERS!$BH$25:$BK$25,0)))*(I144-J144),0)</f>
        <v>1976.9540572439907</v>
      </c>
      <c r="N144" s="369">
        <f t="shared" si="41"/>
        <v>1976.9540572439907</v>
      </c>
      <c r="O144" s="370">
        <f t="shared" si="35"/>
        <v>938.34626596447288</v>
      </c>
      <c r="Q144" s="812">
        <f t="shared" si="37"/>
        <v>0</v>
      </c>
      <c r="R144" s="785">
        <f t="shared" si="38"/>
        <v>0</v>
      </c>
      <c r="S144" s="788">
        <f t="shared" si="39"/>
        <v>0.63772711523999703</v>
      </c>
      <c r="U144" s="375">
        <f t="shared" si="44"/>
        <v>2038</v>
      </c>
      <c r="V144" s="378">
        <f t="shared" ca="1" si="42"/>
        <v>2.1014632051620481</v>
      </c>
      <c r="W144" s="378">
        <f t="shared" ca="1" si="45"/>
        <v>0.6673487363759989</v>
      </c>
      <c r="X144" s="378">
        <f t="shared" ca="1" si="45"/>
        <v>0.29430883305000144</v>
      </c>
      <c r="Y144" s="378">
        <f t="shared" ca="1" si="45"/>
        <v>0.61701307732799648</v>
      </c>
      <c r="Z144" s="378">
        <f t="shared" ca="1" si="45"/>
        <v>17.264993487299989</v>
      </c>
      <c r="AA144" s="378">
        <f t="shared" ca="1" si="45"/>
        <v>17.783781125110067</v>
      </c>
      <c r="AC144"/>
      <c r="AD144"/>
      <c r="AE144"/>
    </row>
    <row r="145" spans="1:31" x14ac:dyDescent="0.25">
      <c r="B145" s="375">
        <f t="shared" si="40"/>
        <v>2042</v>
      </c>
      <c r="C145" s="401">
        <f>MAX(TREND(C126:C127,B126:B127,B145),0)</f>
        <v>1106169</v>
      </c>
      <c r="D145" s="402">
        <f>MAX(TREND(D126:D127,B126:B127,B145),0)</f>
        <v>911624</v>
      </c>
      <c r="E145" s="725">
        <f>MAX(TREND(E126:E127,B126:B127,B145),0)</f>
        <v>0</v>
      </c>
      <c r="F145" s="726">
        <f>MAX(TREND(F126:F127,B126:B127,B145),0)</f>
        <v>0</v>
      </c>
      <c r="G145" s="725">
        <f>MAX(TREND(G126:G127,B126:B127,B145),0)</f>
        <v>0</v>
      </c>
      <c r="H145" s="726">
        <f>MAX(TREND(H126:H127,B126:B127,B145),0)</f>
        <v>0</v>
      </c>
      <c r="I145" s="725">
        <f>MAX(TREND(I126:I127,B126:B127,B145),0)</f>
        <v>1.6181040131999964</v>
      </c>
      <c r="J145" s="726">
        <f>MAX(TREND(J126:J127,B126:B127,B145),0)</f>
        <v>0.97347221865600275</v>
      </c>
      <c r="K145" s="729">
        <f>IFERROR(IF(INDEX(SafetyGroup,A120,1)=Hwy,FatValue,INDEX(PARAMETERS!$BH$26:$BK$28,1,MATCH(INDEX(SafetyGroup,A120,1),PARAMETERS!$BH$25:$BK$25,0)))*(E145-F145),0)</f>
        <v>0</v>
      </c>
      <c r="L145" s="730">
        <f>IFERROR(IF(INDEX(SafetyGroup,A120,1)=Hwy,SUMPRODUCT(PARAMETERS!$E$64:$E$66,PARAMETERS!$BC$12:$BC$14),INDEX(PARAMETERS!$BH$26:$BK$28,2,MATCH(INDEX(SafetyGroup,A120,1),PARAMETERS!$BH$25:$BK$25,0)))*(G145-H145),0)</f>
        <v>0</v>
      </c>
      <c r="M145" s="802">
        <f>IFERROR(IF(INDEX(SafetyGroup,A120,1)=Hwy,NoInjValue,INDEX(PARAMETERS!$BH$26:$BK$28,3,MATCH(INDEX(SafetyGroup,A120,1),PARAMETERS!$BH$25:$BK$25,0)))*(I145-J145),0)</f>
        <v>1998.3585630863804</v>
      </c>
      <c r="N145" s="369">
        <f t="shared" si="41"/>
        <v>1998.3585630863804</v>
      </c>
      <c r="O145" s="370">
        <f t="shared" si="35"/>
        <v>912.0247620221952</v>
      </c>
      <c r="Q145" s="812">
        <f t="shared" si="37"/>
        <v>0</v>
      </c>
      <c r="R145" s="785">
        <f t="shared" si="38"/>
        <v>0</v>
      </c>
      <c r="S145" s="788">
        <f t="shared" si="39"/>
        <v>0.64463179454399366</v>
      </c>
      <c r="U145" s="375">
        <f t="shared" si="44"/>
        <v>2039</v>
      </c>
      <c r="V145" s="378">
        <f t="shared" ca="1" si="42"/>
        <v>2.0977847785605093</v>
      </c>
      <c r="W145" s="378">
        <f t="shared" ca="1" si="45"/>
        <v>0.67775602524899625</v>
      </c>
      <c r="X145" s="378">
        <f t="shared" ca="1" si="45"/>
        <v>0.29888503788749965</v>
      </c>
      <c r="Y145" s="378">
        <f t="shared" ca="1" si="45"/>
        <v>0.62391775663199667</v>
      </c>
      <c r="Z145" s="378">
        <f t="shared" ca="1" si="45"/>
        <v>17.552350307699953</v>
      </c>
      <c r="AA145" s="378">
        <f t="shared" ca="1" si="45"/>
        <v>18.042826980389918</v>
      </c>
      <c r="AC145"/>
      <c r="AD145"/>
      <c r="AE145"/>
    </row>
    <row r="146" spans="1:31" x14ac:dyDescent="0.25">
      <c r="B146" s="375">
        <f t="shared" si="40"/>
        <v>2043</v>
      </c>
      <c r="C146" s="401">
        <f>MAX(TREND(C126:C127,B126:B127,B146),0)</f>
        <v>1117976.75</v>
      </c>
      <c r="D146" s="402">
        <f>MAX(TREND(D126:D127,B126:B127,B146),0)</f>
        <v>921333</v>
      </c>
      <c r="E146" s="725">
        <f>MAX(TREND(E126:E127,B126:B127,B146),0)</f>
        <v>0</v>
      </c>
      <c r="F146" s="726">
        <f>MAX(TREND(F126:F127,B126:B127,B146),0)</f>
        <v>0</v>
      </c>
      <c r="G146" s="725">
        <f>MAX(TREND(G126:G127,B126:B127,B146),0)</f>
        <v>0</v>
      </c>
      <c r="H146" s="726">
        <f>MAX(TREND(H126:H127,B126:B127,B146),0)</f>
        <v>0</v>
      </c>
      <c r="I146" s="725">
        <f>MAX(TREND(I126:I127,B126:B127,B146),0)</f>
        <v>1.6353763899000029</v>
      </c>
      <c r="J146" s="726">
        <f>MAX(TREND(J126:J127,B126:B127,B146),0)</f>
        <v>0.98383991605200194</v>
      </c>
      <c r="K146" s="729">
        <f>IFERROR(IF(INDEX(SafetyGroup,A120,1)=Hwy,FatValue,INDEX(PARAMETERS!$BH$26:$BK$28,1,MATCH(INDEX(SafetyGroup,A120,1),PARAMETERS!$BH$25:$BK$25,0)))*(E146-F146),0)</f>
        <v>0</v>
      </c>
      <c r="L146" s="730">
        <f>IFERROR(IF(INDEX(SafetyGroup,A120,1)=Hwy,SUMPRODUCT(PARAMETERS!$E$64:$E$66,PARAMETERS!$BC$12:$BC$14),INDEX(PARAMETERS!$BH$26:$BK$28,2,MATCH(INDEX(SafetyGroup,A120,1),PARAMETERS!$BH$25:$BK$25,0)))*(G146-H146),0)</f>
        <v>0</v>
      </c>
      <c r="M146" s="802">
        <f>IFERROR(IF(INDEX(SafetyGroup,A120,1)=Hwy,NoInjValue,INDEX(PARAMETERS!$BH$26:$BK$28,3,MATCH(INDEX(SafetyGroup,A120,1),PARAMETERS!$BH$25:$BK$25,0)))*(I146-J146),0)</f>
        <v>2019.763068928803</v>
      </c>
      <c r="N146" s="369">
        <f t="shared" si="41"/>
        <v>2019.763068928803</v>
      </c>
      <c r="O146" s="370">
        <f t="shared" si="35"/>
        <v>886.33990296015952</v>
      </c>
      <c r="Q146" s="812">
        <f t="shared" si="37"/>
        <v>0</v>
      </c>
      <c r="R146" s="785">
        <f t="shared" si="38"/>
        <v>0</v>
      </c>
      <c r="S146" s="788">
        <f t="shared" si="39"/>
        <v>0.65153647384800095</v>
      </c>
      <c r="U146" s="375">
        <f t="shared" si="44"/>
        <v>2040</v>
      </c>
      <c r="V146" s="378">
        <f t="shared" ca="1" si="42"/>
        <v>2.0941063519590273</v>
      </c>
      <c r="W146" s="378">
        <f t="shared" ca="1" si="45"/>
        <v>0.68816331412200071</v>
      </c>
      <c r="X146" s="378">
        <f t="shared" ca="1" si="45"/>
        <v>0.30346124272499964</v>
      </c>
      <c r="Y146" s="378">
        <f t="shared" ca="1" si="45"/>
        <v>0.63082243593599685</v>
      </c>
      <c r="Z146" s="378">
        <f t="shared" ca="1" si="45"/>
        <v>17.839707128099803</v>
      </c>
      <c r="AA146" s="378">
        <f t="shared" ca="1" si="45"/>
        <v>18.30187283567011</v>
      </c>
      <c r="AC146"/>
      <c r="AD146"/>
      <c r="AE146"/>
    </row>
    <row r="147" spans="1:31" x14ac:dyDescent="0.25">
      <c r="B147" s="375">
        <f t="shared" si="40"/>
        <v>2044</v>
      </c>
      <c r="C147" s="401">
        <f>MAX(TREND(C126:C127,B126:B127,B147),0)</f>
        <v>1129784.5</v>
      </c>
      <c r="D147" s="402">
        <f>MAX(TREND(D126:D127,B126:B127,B147),0)</f>
        <v>931042</v>
      </c>
      <c r="E147" s="725">
        <f>MAX(TREND(E126:E127,B126:B127,B147),0)</f>
        <v>0</v>
      </c>
      <c r="F147" s="726">
        <f>MAX(TREND(F126:F127,B126:B127,B147),0)</f>
        <v>0</v>
      </c>
      <c r="G147" s="725">
        <f>MAX(TREND(G126:G127,B126:B127,B147),0)</f>
        <v>0</v>
      </c>
      <c r="H147" s="726">
        <f>MAX(TREND(H126:H127,B126:B127,B147),0)</f>
        <v>0</v>
      </c>
      <c r="I147" s="725">
        <f>MAX(TREND(I126:I127,B126:B127,B147),0)</f>
        <v>1.6526487666000023</v>
      </c>
      <c r="J147" s="726">
        <f>MAX(TREND(J126:J127,B126:B127,B147),0)</f>
        <v>0.99420761344800113</v>
      </c>
      <c r="K147" s="729">
        <f>IFERROR(IF(INDEX(SafetyGroup,A120,1)=Hwy,FatValue,INDEX(PARAMETERS!$BH$26:$BK$28,1,MATCH(INDEX(SafetyGroup,A120,1),PARAMETERS!$BH$25:$BK$25,0)))*(E147-F147),0)</f>
        <v>0</v>
      </c>
      <c r="L147" s="730">
        <f>IFERROR(IF(INDEX(SafetyGroup,A120,1)=Hwy,SUMPRODUCT(PARAMETERS!$E$64:$E$66,PARAMETERS!$BC$12:$BC$14),INDEX(PARAMETERS!$BH$26:$BK$28,2,MATCH(INDEX(SafetyGroup,A120,1),PARAMETERS!$BH$25:$BK$25,0)))*(G147-H147),0)</f>
        <v>0</v>
      </c>
      <c r="M147" s="802">
        <f>IFERROR(IF(INDEX(SafetyGroup,A120,1)=Hwy,NoInjValue,INDEX(PARAMETERS!$BH$26:$BK$28,3,MATCH(INDEX(SafetyGroup,A120,1),PARAMETERS!$BH$25:$BK$25,0)))*(I147-J147),0)</f>
        <v>2041.1675747712036</v>
      </c>
      <c r="N147" s="369">
        <f t="shared" si="41"/>
        <v>2041.1675747712036</v>
      </c>
      <c r="O147" s="370">
        <f t="shared" si="35"/>
        <v>861.28165323125643</v>
      </c>
      <c r="Q147" s="812">
        <f t="shared" si="37"/>
        <v>0</v>
      </c>
      <c r="R147" s="785">
        <f t="shared" si="38"/>
        <v>0</v>
      </c>
      <c r="S147" s="788">
        <f t="shared" si="39"/>
        <v>0.65844115315200114</v>
      </c>
      <c r="U147" s="375">
        <f t="shared" si="44"/>
        <v>2041</v>
      </c>
      <c r="V147" s="378">
        <f t="shared" ca="1" si="42"/>
        <v>2.0904279253575453</v>
      </c>
      <c r="W147" s="378">
        <f t="shared" ca="1" si="45"/>
        <v>0.69857060299499807</v>
      </c>
      <c r="X147" s="378">
        <f t="shared" ca="1" si="45"/>
        <v>0.30803744756249785</v>
      </c>
      <c r="Y147" s="378">
        <f t="shared" ca="1" si="45"/>
        <v>0.63772711523999703</v>
      </c>
      <c r="Z147" s="378">
        <f t="shared" ca="1" si="45"/>
        <v>18.127063948499881</v>
      </c>
      <c r="AA147" s="378">
        <f t="shared" ca="1" si="45"/>
        <v>18.560918690950075</v>
      </c>
      <c r="AC147"/>
      <c r="AD147"/>
      <c r="AE147"/>
    </row>
    <row r="148" spans="1:31" x14ac:dyDescent="0.25">
      <c r="B148" s="375">
        <f t="shared" si="40"/>
        <v>2045</v>
      </c>
      <c r="C148" s="401">
        <f>MAX(TREND(C126:C127,B126:B127,B148),0)</f>
        <v>1141592.25</v>
      </c>
      <c r="D148" s="402">
        <f>MAX(TREND(D126:D127,B126:B127,B148),0)</f>
        <v>940751</v>
      </c>
      <c r="E148" s="725">
        <f>MAX(TREND(E126:E127,B126:B127,B148),0)</f>
        <v>0</v>
      </c>
      <c r="F148" s="726">
        <f>MAX(TREND(F126:F127,B126:B127,B148),0)</f>
        <v>0</v>
      </c>
      <c r="G148" s="725">
        <f>MAX(TREND(G126:G127,B126:B127,B148),0)</f>
        <v>0</v>
      </c>
      <c r="H148" s="726">
        <f>MAX(TREND(H126:H127,B126:B127,B148),0)</f>
        <v>0</v>
      </c>
      <c r="I148" s="725">
        <f>MAX(TREND(I126:I127,B126:B127,B148),0)</f>
        <v>1.6699211433000016</v>
      </c>
      <c r="J148" s="726">
        <f>MAX(TREND(J126:J127,B126:B127,B148),0)</f>
        <v>1.0045753108440003</v>
      </c>
      <c r="K148" s="729">
        <f>IFERROR(IF(INDEX(SafetyGroup,A120,1)=Hwy,FatValue,INDEX(PARAMETERS!$BH$26:$BK$28,1,MATCH(INDEX(SafetyGroup,A120,1),PARAMETERS!$BH$25:$BK$25,0)))*(E148-F148),0)</f>
        <v>0</v>
      </c>
      <c r="L148" s="730">
        <f>IFERROR(IF(INDEX(SafetyGroup,A120,1)=Hwy,SUMPRODUCT(PARAMETERS!$E$64:$E$66,PARAMETERS!$BC$12:$BC$14),INDEX(PARAMETERS!$BH$26:$BK$28,2,MATCH(INDEX(SafetyGroup,A120,1),PARAMETERS!$BH$25:$BK$25,0)))*(G148-H148),0)</f>
        <v>0</v>
      </c>
      <c r="M148" s="802">
        <f>IFERROR(IF(INDEX(SafetyGroup,A120,1)=Hwy,NoInjValue,INDEX(PARAMETERS!$BH$26:$BK$28,3,MATCH(INDEX(SafetyGroup,A120,1),PARAMETERS!$BH$25:$BK$25,0)))*(I148-J148),0)</f>
        <v>2062.5720806136042</v>
      </c>
      <c r="N148" s="369">
        <f t="shared" si="41"/>
        <v>2062.5720806136042</v>
      </c>
      <c r="O148" s="370">
        <f t="shared" si="35"/>
        <v>836.83980747120359</v>
      </c>
      <c r="Q148" s="812">
        <f t="shared" si="37"/>
        <v>0</v>
      </c>
      <c r="R148" s="785">
        <f t="shared" si="38"/>
        <v>0</v>
      </c>
      <c r="S148" s="788">
        <f t="shared" si="39"/>
        <v>0.66534583245600132</v>
      </c>
      <c r="U148" s="375">
        <f t="shared" si="44"/>
        <v>2042</v>
      </c>
      <c r="V148" s="378">
        <f t="shared" ca="1" si="42"/>
        <v>2.0867494987560349</v>
      </c>
      <c r="W148" s="378">
        <f t="shared" ca="1" si="45"/>
        <v>0.70897789186800253</v>
      </c>
      <c r="X148" s="378">
        <f t="shared" ca="1" si="45"/>
        <v>0.31261365240000138</v>
      </c>
      <c r="Y148" s="378">
        <f t="shared" ca="1" si="45"/>
        <v>0.64463179454399366</v>
      </c>
      <c r="Z148" s="378">
        <f t="shared" ca="1" si="45"/>
        <v>18.414420768899959</v>
      </c>
      <c r="AA148" s="378">
        <f t="shared" ca="1" si="45"/>
        <v>18.81996454623004</v>
      </c>
      <c r="AC148"/>
      <c r="AD148"/>
      <c r="AE148"/>
    </row>
    <row r="149" spans="1:31" x14ac:dyDescent="0.25">
      <c r="B149" s="385"/>
      <c r="C149" s="386"/>
      <c r="D149" s="386"/>
      <c r="E149" s="386"/>
      <c r="F149" s="386"/>
      <c r="G149" s="388"/>
      <c r="H149" s="388"/>
      <c r="I149" s="388"/>
      <c r="J149" s="388"/>
      <c r="K149" s="388"/>
      <c r="L149" s="388"/>
      <c r="M149" s="388"/>
      <c r="N149" s="388"/>
      <c r="O149" s="389"/>
      <c r="Q149" s="390"/>
      <c r="R149" s="390"/>
      <c r="U149" s="375">
        <f t="shared" si="44"/>
        <v>2043</v>
      </c>
      <c r="V149" s="378">
        <f t="shared" ca="1" si="42"/>
        <v>2.0830710721545245</v>
      </c>
      <c r="W149" s="378">
        <f t="shared" ca="1" si="45"/>
        <v>0.71938518074099989</v>
      </c>
      <c r="X149" s="378">
        <f t="shared" ca="1" si="45"/>
        <v>0.3171898572374996</v>
      </c>
      <c r="Y149" s="378">
        <f t="shared" ca="1" si="45"/>
        <v>0.65153647384800095</v>
      </c>
      <c r="Z149" s="378">
        <f t="shared" ca="1" si="45"/>
        <v>18.701777589300036</v>
      </c>
      <c r="AA149" s="378">
        <f t="shared" ca="1" si="45"/>
        <v>19.079010401510118</v>
      </c>
      <c r="AC149"/>
      <c r="AD149"/>
      <c r="AE149"/>
    </row>
    <row r="150" spans="1:31" x14ac:dyDescent="0.25">
      <c r="B150" s="407" t="s">
        <v>56</v>
      </c>
      <c r="C150" s="413"/>
      <c r="D150" s="414"/>
      <c r="E150" s="414"/>
      <c r="F150" s="414"/>
      <c r="G150" s="414"/>
      <c r="H150" s="414"/>
      <c r="I150" s="414"/>
      <c r="J150" s="414"/>
      <c r="K150" s="414"/>
      <c r="L150" s="414"/>
      <c r="M150" s="415"/>
      <c r="N150" s="414"/>
      <c r="O150" s="409">
        <f>SUM(O129:O148)</f>
        <v>22128.91911847415</v>
      </c>
      <c r="Q150" s="411">
        <f>SUM(Q129:Q148)</f>
        <v>0</v>
      </c>
      <c r="R150" s="411">
        <f>SUM(R129:R148)</f>
        <v>0</v>
      </c>
      <c r="S150" s="411">
        <f>SUM(S129:S148)</f>
        <v>11.995027581359963</v>
      </c>
      <c r="U150" s="375">
        <f t="shared" si="44"/>
        <v>2044</v>
      </c>
      <c r="V150" s="378">
        <f t="shared" ca="1" si="42"/>
        <v>2.0793926455530141</v>
      </c>
      <c r="W150" s="378">
        <f t="shared" ca="1" si="45"/>
        <v>0.72979246961400435</v>
      </c>
      <c r="X150" s="378">
        <f t="shared" ca="1" si="45"/>
        <v>0.32176606207499958</v>
      </c>
      <c r="Y150" s="378">
        <f t="shared" ca="1" si="45"/>
        <v>0.65844115315200114</v>
      </c>
      <c r="Z150" s="378">
        <f t="shared" ca="1" si="45"/>
        <v>18.989134409699886</v>
      </c>
      <c r="AA150" s="378">
        <f t="shared" ca="1" si="45"/>
        <v>19.338056256790082</v>
      </c>
      <c r="AC150"/>
      <c r="AD150"/>
      <c r="AE150"/>
    </row>
    <row r="151" spans="1:31" x14ac:dyDescent="0.25">
      <c r="B151" s="2"/>
      <c r="C151" s="418"/>
      <c r="D151" s="2"/>
      <c r="E151" s="2"/>
      <c r="F151" s="2"/>
      <c r="G151" s="2"/>
      <c r="H151" s="2"/>
      <c r="I151" s="2"/>
      <c r="J151" s="2"/>
      <c r="K151" s="2"/>
      <c r="L151" s="2"/>
      <c r="M151" s="2"/>
      <c r="N151" s="2"/>
      <c r="O151" s="2"/>
      <c r="U151" s="375">
        <f t="shared" si="44"/>
        <v>2045</v>
      </c>
      <c r="V151" s="378">
        <f t="shared" ca="1" si="42"/>
        <v>2.0757142189515321</v>
      </c>
      <c r="W151" s="378">
        <f t="shared" ca="1" si="45"/>
        <v>0.7401997584869946</v>
      </c>
      <c r="X151" s="378">
        <f t="shared" ca="1" si="45"/>
        <v>0.32634226691249779</v>
      </c>
      <c r="Y151" s="378">
        <f t="shared" ca="1" si="45"/>
        <v>0.66534583245600132</v>
      </c>
      <c r="Z151" s="378">
        <f t="shared" ca="1" si="45"/>
        <v>19.276491230099964</v>
      </c>
      <c r="AA151" s="378">
        <f t="shared" ca="1" si="45"/>
        <v>19.597102112070047</v>
      </c>
      <c r="AC151"/>
      <c r="AD151"/>
      <c r="AE151"/>
    </row>
    <row r="152" spans="1:31" x14ac:dyDescent="0.25">
      <c r="A152" s="1">
        <f>MAX($A$1:A151)+1</f>
        <v>5</v>
      </c>
      <c r="B152" s="319" t="str">
        <f>IF(ISBLANK(INDEX(SafetyModelGroup,A152,1)),"Not Used",INDEX(SafetyModelGroup,A152,1))</f>
        <v>NB Mainline</v>
      </c>
      <c r="C152" s="2"/>
      <c r="D152" s="2"/>
      <c r="E152" s="2"/>
      <c r="F152" s="2"/>
      <c r="G152" s="2"/>
      <c r="H152" s="2"/>
      <c r="I152" s="2"/>
      <c r="J152" s="2"/>
      <c r="K152" s="320"/>
      <c r="L152" s="320"/>
      <c r="M152" s="2"/>
      <c r="N152" s="2"/>
      <c r="O152" s="2"/>
      <c r="U152" s="385"/>
      <c r="V152" s="389"/>
      <c r="W152" s="389"/>
      <c r="X152" s="389"/>
      <c r="Y152" s="389"/>
      <c r="Z152" s="389"/>
      <c r="AA152" s="389"/>
    </row>
    <row r="153" spans="1:31" x14ac:dyDescent="0.25">
      <c r="B153" s="2"/>
      <c r="C153" s="1787"/>
      <c r="D153" s="1787"/>
      <c r="E153" s="831"/>
      <c r="F153" s="831"/>
      <c r="G153" s="831"/>
      <c r="H153" s="831"/>
      <c r="I153" s="831"/>
      <c r="J153" s="831"/>
      <c r="K153" s="831"/>
      <c r="L153" s="831"/>
      <c r="M153" s="831"/>
      <c r="N153" s="2"/>
      <c r="O153" s="149"/>
      <c r="U153" s="407" t="s">
        <v>56</v>
      </c>
      <c r="V153" s="411">
        <f t="shared" ref="V153:AA153" ca="1" si="46">SUM(V132:V151)</f>
        <v>42.213185433315573</v>
      </c>
      <c r="W153" s="411">
        <f t="shared" ca="1" si="46"/>
        <v>12.826610283869996</v>
      </c>
      <c r="X153" s="411">
        <f t="shared" ca="1" si="46"/>
        <v>5.6573664191249904</v>
      </c>
      <c r="Y153" s="411">
        <f t="shared" ca="1" si="46"/>
        <v>11.995027581359963</v>
      </c>
      <c r="Z153" s="411">
        <f t="shared" ca="1" si="46"/>
        <v>330.9320287259992</v>
      </c>
      <c r="AA153" s="411">
        <f t="shared" ca="1" si="46"/>
        <v>342.72332973820119</v>
      </c>
    </row>
    <row r="154" spans="1:31" ht="15.75" x14ac:dyDescent="0.25">
      <c r="B154" s="322"/>
      <c r="C154" s="325" t="s">
        <v>271</v>
      </c>
      <c r="D154" s="326"/>
      <c r="E154" s="325" t="s">
        <v>304</v>
      </c>
      <c r="F154" s="326"/>
      <c r="G154" s="325" t="s">
        <v>305</v>
      </c>
      <c r="H154" s="324"/>
      <c r="I154" s="323" t="s">
        <v>306</v>
      </c>
      <c r="J154" s="326"/>
      <c r="K154" s="327" t="s">
        <v>307</v>
      </c>
      <c r="L154" s="323"/>
      <c r="M154" s="328"/>
      <c r="N154" s="329"/>
      <c r="O154" s="330"/>
      <c r="Q154" s="331" t="s">
        <v>308</v>
      </c>
      <c r="R154" s="791"/>
      <c r="S154" s="792"/>
    </row>
    <row r="155" spans="1:31" x14ac:dyDescent="0.25">
      <c r="B155" s="335"/>
      <c r="C155" s="338" t="s">
        <v>274</v>
      </c>
      <c r="D155" s="339"/>
      <c r="E155" s="338" t="s">
        <v>309</v>
      </c>
      <c r="F155" s="339"/>
      <c r="G155" s="338" t="s">
        <v>309</v>
      </c>
      <c r="H155" s="337"/>
      <c r="I155" s="336" t="s">
        <v>309</v>
      </c>
      <c r="J155" s="339"/>
      <c r="K155" s="340" t="s">
        <v>203</v>
      </c>
      <c r="L155" s="336"/>
      <c r="M155" s="341"/>
      <c r="N155" s="342"/>
      <c r="O155" s="343"/>
      <c r="Q155" s="784" t="s">
        <v>309</v>
      </c>
      <c r="R155" s="450"/>
      <c r="S155" s="451"/>
    </row>
    <row r="156" spans="1:31" x14ac:dyDescent="0.25">
      <c r="B156" s="77" t="s">
        <v>34</v>
      </c>
      <c r="C156" s="348"/>
      <c r="D156" s="349"/>
      <c r="E156" s="348"/>
      <c r="F156" s="349"/>
      <c r="G156" s="723"/>
      <c r="H156" s="349"/>
      <c r="I156" s="348"/>
      <c r="J156" s="349"/>
      <c r="K156" s="350" t="s">
        <v>312</v>
      </c>
      <c r="L156" s="348" t="s">
        <v>313</v>
      </c>
      <c r="M156" s="349" t="s">
        <v>314</v>
      </c>
      <c r="N156" s="351" t="s">
        <v>208</v>
      </c>
      <c r="O156" s="347" t="s">
        <v>39</v>
      </c>
      <c r="Q156" s="793"/>
      <c r="R156" s="797"/>
      <c r="S156" s="795"/>
    </row>
    <row r="157" spans="1:31" x14ac:dyDescent="0.25">
      <c r="B157" s="355"/>
      <c r="C157" s="356" t="s">
        <v>74</v>
      </c>
      <c r="D157" s="357" t="s">
        <v>125</v>
      </c>
      <c r="E157" s="356" t="s">
        <v>74</v>
      </c>
      <c r="F157" s="357" t="s">
        <v>125</v>
      </c>
      <c r="G157" s="724" t="s">
        <v>74</v>
      </c>
      <c r="H157" s="357" t="s">
        <v>125</v>
      </c>
      <c r="I157" s="356" t="s">
        <v>74</v>
      </c>
      <c r="J157" s="357" t="s">
        <v>125</v>
      </c>
      <c r="K157" s="358" t="s">
        <v>47</v>
      </c>
      <c r="L157" s="356" t="s">
        <v>47</v>
      </c>
      <c r="M157" s="357" t="s">
        <v>47</v>
      </c>
      <c r="N157" s="359" t="s">
        <v>48</v>
      </c>
      <c r="O157" s="360" t="s">
        <v>49</v>
      </c>
      <c r="Q157" s="794" t="s">
        <v>310</v>
      </c>
      <c r="R157" s="798" t="s">
        <v>311</v>
      </c>
      <c r="S157" s="796" t="s">
        <v>97</v>
      </c>
    </row>
    <row r="158" spans="1:31" x14ac:dyDescent="0.25">
      <c r="B158" s="363">
        <f>SafetyYearFirst</f>
        <v>2026</v>
      </c>
      <c r="C158" s="364">
        <f>INDEX(SafetyData1NB,A152,1)*AnnualFactor</f>
        <v>18439070</v>
      </c>
      <c r="D158" s="365">
        <f>INDEX(SafetyData1B,A152,1)*AnnualFactor</f>
        <v>17158285</v>
      </c>
      <c r="E158" s="1019" cm="1">
        <f t="array" ref="E158">IFERROR(IF(_xlfn.SINGLE(INDEX(SafetyGroup,A152,1))=Hwy,_xlfn.SINGLE(INDEX(SafetyData1NB,A152,5))*IF(ProjLoc=3,PARAMETERS!$BB$26,PARAMETERS!$AZ$26),_xlfn.SINGLE(INDEX(SafetyData1NB,A152,1))*INDEX(PARAMETERS!$BH$12:$BK$14/10^6,1,MATCH(_xlfn.SINGLE(INDEX(SafetyGroup,A152,1)),PARAMETERS!$BH$11:$BK$11,0)))*AnnualFactor,0)</f>
        <v>0</v>
      </c>
      <c r="F158" s="1020" cm="1">
        <f t="array" ref="F158">IFERROR(IF(_xlfn.SINGLE(INDEX(SafetyGroup,A152,1))=Hwy,_xlfn.SINGLE(INDEX(SafetyData1B,A152,5))*IF(ProjLoc=3,PARAMETERS!$BB$26,PARAMETERS!$AZ$26),_xlfn.SINGLE(INDEX(SafetyData1B,A152,1))*INDEX(PARAMETERS!$BH$12:$BK$14/10^6,1,MATCH(_xlfn.SINGLE(INDEX(SafetyGroup,A152,1)),PARAMETERS!$BH$11:$BK$11,0))*(1-_xlfn.SINGLE(INDEX(SafetyGroup,A152,6))))*AnnualFactor,0)</f>
        <v>0</v>
      </c>
      <c r="G158" s="1019" cm="1">
        <f t="array" ref="G158">IFERROR(IF(_xlfn.SINGLE(INDEX(SafetyGroup,A152,1))=Hwy,(_xlfn.SINGLE(INDEX(SafetyData1NB,A152,5))*IF(ProjLoc=3,PARAMETERS!$BB$33,PARAMETERS!$AZ$33)+_xlfn.SINGLE(INDEX(SafetyData1NB,A152,6))*IF(ProjLoc=3,PARAMETERS!$BB$34,PARAMETERS!$AZ$34)),_xlfn.SINGLE(INDEX(SafetyData1NB,A152,1))*INDEX(PARAMETERS!$BH$12:$BK$14/10^6,2,MATCH(_xlfn.SINGLE(INDEX(SafetyGroup,A152,1)),PARAMETERS!$BH$11:$BK$11,0)))*AnnualFactor,0)</f>
        <v>5.5317210000000001</v>
      </c>
      <c r="H158" s="1020" cm="1">
        <f t="array" ref="H158">IFERROR(IF(_xlfn.SINGLE(INDEX(SafetyGroup,A152,1))=Hwy,(_xlfn.SINGLE(INDEX(SafetyData1B,A152,5))*IF(ProjLoc=3,PARAMETERS!$BB$33,PARAMETERS!$AZ$33)+_xlfn.SINGLE(INDEX(SafetyData1B,A152,6))*IF(ProjLoc=3,PARAMETERS!$BB$34,PARAMETERS!$AZ$34)),_xlfn.SINGLE(INDEX(SafetyData1B,A152,1))*INDEX(PARAMETERS!$BH$12:$BK$14/10^6,2,MATCH(_xlfn.SINGLE(INDEX(SafetyGroup,A152,1)),PARAMETERS!$BH$11:$BK$11,0))*(1-_xlfn.SINGLE(INDEX(SafetyGroup,A152,7))))*AnnualFactor,0)</f>
        <v>3.8606141250000006</v>
      </c>
      <c r="I158" s="1019" cm="1">
        <f t="array" ref="I158">IFERROR(IF(_xlfn.SINGLE(INDEX(SafetyGroup,A152,1))=Hwy,(_xlfn.SINGLE(INDEX(SafetyData1NB,A152,5))*IF(ProjLoc=3,PARAMETERS!$BB$41,PARAMETERS!$AZ$41)+_xlfn.SINGLE(INDEX(SafetyData1NB,A152,6))*IF(ProjLoc=3,PARAMETERS!$BB$42,PARAMETERS!$AZ$42)+_xlfn.SINGLE(INDEX(SafetyData1NB,A152,7))*IF(ProjLoc=3,PARAMETERS!$BB$43,PARAMETERS!$AZ$43)*2),_xlfn.SINGLE(INDEX(SafetyData1NB,A152,1))*INDEX(PARAMETERS!$BH$12:$BK$14/10^6,3,MATCH(_xlfn.SINGLE(INDEX(SafetyGroup,A152,1)),PARAMETERS!$BH$11:$BK$11,0)))*AnnualFactor,0)</f>
        <v>45.736269228000005</v>
      </c>
      <c r="J158" s="1020" cm="1">
        <f t="array" ref="J158">IFERROR(IF(_xlfn.SINGLE(INDEX(SafetyGroup,A152,1))=Hwy,(_xlfn.SINGLE(INDEX(SafetyData1B,A152,5))*IF(ProjLoc=3,PARAMETERS!$BB$41,PARAMETERS!$AZ$41)+_xlfn.SINGLE(INDEX(SafetyData1B,A152,6))*IF(ProjLoc=3,PARAMETERS!$BB$42,PARAMETERS!$AZ$42)+_xlfn.SINGLE(INDEX(SafetyData1B,A152,7))*IF(ProjLoc=3,PARAMETERS!$BB$43,PARAMETERS!$AZ$43)*2),_xlfn.SINGLE(INDEX(SafetyData1B,A152,1))*INDEX(PARAMETERS!$BH$12:$BK$14/10^6,3,MATCH(_xlfn.SINGLE(INDEX(SafetyGroup,A152,1)),PARAMETERS!$BH$11:$BK$11,0))*(1-_xlfn.SINGLE(INDEX(SafetyGroup,A152,8))))*AnnualFactor,0)</f>
        <v>31.919557585500005</v>
      </c>
      <c r="K158" s="367">
        <f>IFERROR(IF(INDEX(SafetyGroup,A152,1)=Hwy,FatValue,INDEX(PARAMETERS!$BH$26:$BK$28,1,MATCH(INDEX(SafetyGroup,A152,1),PARAMETERS!$BH$25:$BK$25,0)))*(E158-F158),0)</f>
        <v>0</v>
      </c>
      <c r="L158" s="701">
        <f>IFERROR(IF(INDEX(SafetyGroup,A152,1)=Hwy,SUMPRODUCT(PARAMETERS!$E$64:$E$66,PARAMETERS!$BC$12:$BC$14),INDEX(PARAMETERS!$BH$26:$BK$28,2,MATCH(INDEX(SafetyGroup,A152,1),PARAMETERS!$BH$25:$BK$25,0)))*(G158-H158),0)</f>
        <v>194586.27474065617</v>
      </c>
      <c r="M158" s="832">
        <f>IFERROR(IF(INDEX(SafetyGroup,A152,1)=Hwy,NoInjValue,INDEX(PARAMETERS!$BH$26:$BK$28,3,MATCH(INDEX(SafetyGroup,A152,1),PARAMETERS!$BH$25:$BK$25,0)))*(I158-J158),0)</f>
        <v>42831.806091749997</v>
      </c>
      <c r="N158" s="369">
        <f>SUM(K158:M158)</f>
        <v>237418.08083240618</v>
      </c>
      <c r="O158" s="370">
        <f>N158/(1+DiscRate)^(B158-YearCurrent)</f>
        <v>202945.97052177499</v>
      </c>
      <c r="Q158" s="809">
        <f>E158-F158</f>
        <v>0</v>
      </c>
      <c r="R158" s="786">
        <f>G158-H158</f>
        <v>1.6711068749999995</v>
      </c>
      <c r="S158" s="787">
        <f>I158-J158</f>
        <v>13.8167116425</v>
      </c>
    </row>
    <row r="159" spans="1:31" x14ac:dyDescent="0.25">
      <c r="B159" s="379">
        <f>SafetyYearLast</f>
        <v>2046</v>
      </c>
      <c r="C159" s="380">
        <f>INDEX(SafetyData20NB,A152,1)*AnnualFactor</f>
        <v>23407085</v>
      </c>
      <c r="D159" s="381">
        <f>INDEX(SafetyData20B,A152,1)*AnnualFactor</f>
        <v>20692945</v>
      </c>
      <c r="E159" s="1021" cm="1">
        <f t="array" ref="E159">IFERROR(IF(_xlfn.SINGLE(INDEX(SafetyGroup,A152,1))=Hwy,_xlfn.SINGLE(INDEX(SafetyData20NB,A152,5))*IF(ProjLoc=3,PARAMETERS!$BB$26,PARAMETERS!$AZ$26),_xlfn.SINGLE(INDEX(SafetyData20NB,A152,1))*INDEX(PARAMETERS!$BH$12:$BK$14/10^6,1,MATCH(_xlfn.SINGLE(INDEX(SafetyGroup,A152,1)),PARAMETERS!$BH$11:$BK$11,0)))*AnnualFactor,0)</f>
        <v>0</v>
      </c>
      <c r="F159" s="1022" cm="1">
        <f t="array" ref="F159">IFERROR(IF(_xlfn.SINGLE(INDEX(SafetyGroup,A152,1))=Hwy,_xlfn.SINGLE(INDEX(SafetyData20B,A152,5))*IF(ProjLoc=3,PARAMETERS!$BB$26,PARAMETERS!$AZ$26),_xlfn.SINGLE(INDEX(SafetyData20B,A152,1))*INDEX(PARAMETERS!$BH$12:$BK$14/10^6,1,MATCH(_xlfn.SINGLE(INDEX(SafetyGroup,A152,1)),PARAMETERS!$BH$11:$BK$11,0))*(1-_xlfn.SINGLE(INDEX(SafetyGroup,A152,6))))*AnnualFactor,0)</f>
        <v>0</v>
      </c>
      <c r="G159" s="1021" cm="1">
        <f t="array" ref="G159">IFERROR(IF(_xlfn.SINGLE(INDEX(SafetyGroup,A152,1))=Hwy,(_xlfn.SINGLE(INDEX(SafetyData20NB,A152,5))*IF(ProjLoc=3,PARAMETERS!$BB$33,PARAMETERS!$AZ$33)+_xlfn.SINGLE(INDEX(SafetyData20NB,A152,6))*IF(ProjLoc=3,PARAMETERS!$BB$34,PARAMETERS!$AZ$34)),_xlfn.SINGLE(INDEX(SafetyData20NB,A152,1))*INDEX(PARAMETERS!$BH$12:$BK$14/10^6,2,MATCH(_xlfn.SINGLE(INDEX(SafetyGroup,A152,1)),PARAMETERS!$BH$11:$BK$11,0)))*AnnualFactor,0)</f>
        <v>7.0221255000000014</v>
      </c>
      <c r="H159" s="1022" cm="1">
        <f t="array" ref="H159">IFERROR(IF(_xlfn.SINGLE(INDEX(SafetyGroup,A152,1))=Hwy,(_xlfn.SINGLE(INDEX(SafetyData20B,A152,5))*IF(ProjLoc=3,PARAMETERS!$BB$33,PARAMETERS!$AZ$33)+_xlfn.SINGLE(INDEX(SafetyData20B,A152,6))*IF(ProjLoc=3,PARAMETERS!$BB$34,PARAMETERS!$AZ$34)),_xlfn.SINGLE(INDEX(SafetyData20B,A152,1))*INDEX(PARAMETERS!$BH$12:$BK$14/10^6,2,MATCH(_xlfn.SINGLE(INDEX(SafetyGroup,A152,1)),PARAMETERS!$BH$11:$BK$11,0))*(1-_xlfn.SINGLE(INDEX(SafetyGroup,A152,7))))*AnnualFactor,0)</f>
        <v>4.6559126250000009</v>
      </c>
      <c r="I159" s="1021" cm="1">
        <f t="array" ref="I159">IFERROR(IF(_xlfn.SINGLE(INDEX(SafetyGroup,A152,1))=Hwy,(_xlfn.SINGLE(INDEX(SafetyData20NB,A152,5))*IF(ProjLoc=3,PARAMETERS!$BB$41,PARAMETERS!$AZ$41)+_xlfn.SINGLE(INDEX(SafetyData20NB,A152,6))*IF(ProjLoc=3,PARAMETERS!$BB$42,PARAMETERS!$AZ$42)+_xlfn.SINGLE(INDEX(SafetyData20NB,A152,7))*IF(ProjLoc=3,PARAMETERS!$BB$43,PARAMETERS!$AZ$43)*2),_xlfn.SINGLE(INDEX(SafetyData20NB,A152,1))*INDEX(PARAMETERS!$BH$12:$BK$14/10^6,3,MATCH(_xlfn.SINGLE(INDEX(SafetyGroup,A152,1)),PARAMETERS!$BH$11:$BK$11,0)))*AnnualFactor,0)</f>
        <v>58.058933634000013</v>
      </c>
      <c r="J159" s="1022" cm="1">
        <f t="array" ref="J159">IFERROR(IF(_xlfn.SINGLE(INDEX(SafetyGroup,A152,1))=Hwy,(_xlfn.SINGLE(INDEX(SafetyData20B,A152,5))*IF(ProjLoc=3,PARAMETERS!$BB$41,PARAMETERS!$AZ$41)+_xlfn.SINGLE(INDEX(SafetyData20B,A152,6))*IF(ProjLoc=3,PARAMETERS!$BB$42,PARAMETERS!$AZ$42)+_xlfn.SINGLE(INDEX(SafetyData20B,A152,7))*IF(ProjLoc=3,PARAMETERS!$BB$43,PARAMETERS!$AZ$43)*2),_xlfn.SINGLE(INDEX(SafetyData20B,A152,1))*INDEX(PARAMETERS!$BH$12:$BK$14/10^6,3,MATCH(_xlfn.SINGLE(INDEX(SafetyGroup,A152,1)),PARAMETERS!$BH$11:$BK$11,0))*(1-_xlfn.SINGLE(INDEX(SafetyGroup,A152,8))))*AnnualFactor,0)</f>
        <v>38.4950855835</v>
      </c>
      <c r="K159" s="782">
        <f>IFERROR(IF(INDEX(SafetyGroup,A152,1)=Hwy,FatValue,INDEX(PARAMETERS!$BH$26:$BK$28,1,MATCH(INDEX(SafetyGroup,A152,1),PARAMETERS!$BH$25:$BK$25,0)))*(E159-F159),0)</f>
        <v>0</v>
      </c>
      <c r="L159" s="833">
        <f>IFERROR(IF(INDEX(SafetyGroup,A152,1)=Hwy,SUMPRODUCT(PARAMETERS!$E$64:$E$66,PARAMETERS!$BC$12:$BC$14),INDEX(PARAMETERS!$BH$26:$BK$28,2,MATCH(INDEX(SafetyGroup,A152,1),PARAMETERS!$BH$25:$BK$25,0)))*(G159-H159),0)</f>
        <v>275525.49479495629</v>
      </c>
      <c r="M159" s="830">
        <f>IFERROR(IF(INDEX(SafetyGroup,A152,1)=Hwy,NoInjValue,INDEX(PARAMETERS!$BH$26:$BK$28,3,MATCH(INDEX(SafetyGroup,A152,1),PARAMETERS!$BH$25:$BK$25,0)))*(I159-J159),0)</f>
        <v>60647.928956550044</v>
      </c>
      <c r="N159" s="369">
        <f>SUM(K159:M159)</f>
        <v>336173.42375150631</v>
      </c>
      <c r="O159" s="370">
        <f>N159/(1+DiscRate)^(B159-YearCurrent)</f>
        <v>131148.47170924905</v>
      </c>
      <c r="Q159" s="810">
        <f>E159-F159</f>
        <v>0</v>
      </c>
      <c r="R159" s="789">
        <f>G159-H159</f>
        <v>2.3662128750000004</v>
      </c>
      <c r="S159" s="790">
        <f>I159-J159</f>
        <v>19.563848050500013</v>
      </c>
    </row>
    <row r="160" spans="1:31" x14ac:dyDescent="0.25">
      <c r="B160" s="385"/>
      <c r="C160" s="388"/>
      <c r="D160" s="388"/>
      <c r="E160" s="388"/>
      <c r="F160" s="388"/>
      <c r="G160" s="434"/>
      <c r="H160" s="434"/>
      <c r="I160" s="434"/>
      <c r="J160" s="434"/>
      <c r="K160" s="388"/>
      <c r="L160" s="388"/>
      <c r="M160" s="388"/>
      <c r="N160" s="388"/>
      <c r="O160" s="389"/>
      <c r="Q160" s="391"/>
      <c r="R160" s="391"/>
      <c r="S160" s="391"/>
    </row>
    <row r="161" spans="2:19" x14ac:dyDescent="0.25">
      <c r="B161" s="375">
        <f>YearOpen</f>
        <v>2026</v>
      </c>
      <c r="C161" s="401">
        <f>MAX(TREND(C158:C159,B158:B159,B161),0)</f>
        <v>18439070</v>
      </c>
      <c r="D161" s="402">
        <f>MAX(TREND(D158:D159,B158:B159,B161),0)</f>
        <v>17158285</v>
      </c>
      <c r="E161" s="725">
        <f>MAX(TREND(E158:E159,B158:B159,B161),0)</f>
        <v>0</v>
      </c>
      <c r="F161" s="726">
        <f>MAX(TREND(F158:F159,B158:B159,B161),0)</f>
        <v>0</v>
      </c>
      <c r="G161" s="725">
        <f>MAX(TREND(G158:G159,B158:B159,B161),0)</f>
        <v>5.5317210000000046</v>
      </c>
      <c r="H161" s="726">
        <f>MAX(TREND(H158:H159,B158:B159,B161),0)</f>
        <v>3.8606141249999979</v>
      </c>
      <c r="I161" s="725">
        <f>MAX(TREND(I158:I159,B158:B159,B161),0)</f>
        <v>45.736269228000083</v>
      </c>
      <c r="J161" s="726">
        <f>MAX(TREND(J158:J159,B158:B159,B161),0)</f>
        <v>31.919557585500115</v>
      </c>
      <c r="K161" s="729">
        <f>IFERROR(IF(INDEX(SafetyGroup,A152,1)=Hwy,FatValue,INDEX(PARAMETERS!$BH$26:$BK$28,1,MATCH(INDEX(SafetyGroup,A152,1),PARAMETERS!$BH$25:$BK$25,0)))*(E161-F161),0)</f>
        <v>0</v>
      </c>
      <c r="L161" s="728">
        <f>IFERROR(IF(INDEX(SafetyGroup,A152,1)=Hwy,SUMPRODUCT(PARAMETERS!$E$64:$E$66,PARAMETERS!$BC$12:$BC$14),INDEX(PARAMETERS!$BH$26:$BK$28,2,MATCH(INDEX(SafetyGroup,A152,1),PARAMETERS!$BH$25:$BK$25,0)))*(G161-H161),0)</f>
        <v>194586.27474065701</v>
      </c>
      <c r="M161" s="802">
        <f>IFERROR(IF(INDEX(SafetyGroup,A152,1)=Hwy,NoInjValue,INDEX(PARAMETERS!$BH$26:$BK$28,3,MATCH(INDEX(SafetyGroup,A152,1),PARAMETERS!$BH$25:$BK$25,0)))*(I161-J161),0)</f>
        <v>42831.806091749902</v>
      </c>
      <c r="N161" s="369">
        <f>SUM(K161:M161)</f>
        <v>237418.08083240691</v>
      </c>
      <c r="O161" s="370">
        <f t="shared" ref="O161:O180" si="47">N161/(1+DiscRate)^(B161-YearCurrent)</f>
        <v>202945.9705217756</v>
      </c>
      <c r="Q161" s="811">
        <f>E161-F161</f>
        <v>0</v>
      </c>
      <c r="R161" s="786">
        <f>G161-H161</f>
        <v>1.6711068750000067</v>
      </c>
      <c r="S161" s="787">
        <f>I161-J161</f>
        <v>13.816711642499968</v>
      </c>
    </row>
    <row r="162" spans="2:19" x14ac:dyDescent="0.25">
      <c r="B162" s="375">
        <f>B161+1</f>
        <v>2027</v>
      </c>
      <c r="C162" s="401">
        <f>MAX(TREND(C158:C159,B158:B159,B162),0)</f>
        <v>18687470.75</v>
      </c>
      <c r="D162" s="402">
        <f>MAX(TREND(D158:D159,B158:B159,B162),0)</f>
        <v>17335018</v>
      </c>
      <c r="E162" s="725">
        <f>MAX(TREND(E158:E159,B158:B159,B162),0)</f>
        <v>0</v>
      </c>
      <c r="F162" s="726">
        <f>MAX(TREND(F158:F159,B158:B159,B162),0)</f>
        <v>0</v>
      </c>
      <c r="G162" s="725">
        <f>MAX(TREND(G158:G159,B158:B159,B162),0)</f>
        <v>5.6062412250000193</v>
      </c>
      <c r="H162" s="726">
        <f>MAX(TREND(H158:H159,B158:B159,B162),0)</f>
        <v>3.900379049999998</v>
      </c>
      <c r="I162" s="725">
        <f>MAX(TREND(I158:I159,B158:B159,B162),0)</f>
        <v>46.352402448300154</v>
      </c>
      <c r="J162" s="726">
        <f>MAX(TREND(J158:J159,B158:B159,B162),0)</f>
        <v>32.248333985400109</v>
      </c>
      <c r="K162" s="729">
        <f>IFERROR(IF(INDEX(SafetyGroup,A152,1)=Hwy,FatValue,INDEX(PARAMETERS!$BH$26:$BK$28,1,MATCH(INDEX(SafetyGroup,A152,1),PARAMETERS!$BH$25:$BK$25,0)))*(E162-F162),0)</f>
        <v>0</v>
      </c>
      <c r="L162" s="730">
        <f>IFERROR(IF(INDEX(SafetyGroup,A152,1)=Hwy,SUMPRODUCT(PARAMETERS!$E$64:$E$66,PARAMETERS!$BC$12:$BC$14),INDEX(PARAMETERS!$BH$26:$BK$28,2,MATCH(INDEX(SafetyGroup,A152,1),PARAMETERS!$BH$25:$BK$25,0)))*(G162-H162),0)</f>
        <v>198633.23574337372</v>
      </c>
      <c r="M162" s="802">
        <f>IFERROR(IF(INDEX(SafetyGroup,A152,1)=Hwy,NoInjValue,INDEX(PARAMETERS!$BH$26:$BK$28,3,MATCH(INDEX(SafetyGroup,A152,1),PARAMETERS!$BH$25:$BK$25,0)))*(I162-J162),0)</f>
        <v>43722.612234990142</v>
      </c>
      <c r="N162" s="369">
        <f>SUM(K162:M162)</f>
        <v>242355.84797836386</v>
      </c>
      <c r="O162" s="370">
        <f t="shared" si="47"/>
        <v>199198.84093506585</v>
      </c>
      <c r="Q162" s="812">
        <f t="shared" ref="Q162:Q180" si="48">E162-F162</f>
        <v>0</v>
      </c>
      <c r="R162" s="785">
        <f t="shared" ref="R162:R180" si="49">G162-H162</f>
        <v>1.7058621750000214</v>
      </c>
      <c r="S162" s="788">
        <f t="shared" ref="S162:S180" si="50">I162-J162</f>
        <v>14.104068462900045</v>
      </c>
    </row>
    <row r="163" spans="2:19" x14ac:dyDescent="0.25">
      <c r="B163" s="375">
        <f t="shared" ref="B163:B180" si="51">B162+1</f>
        <v>2028</v>
      </c>
      <c r="C163" s="401">
        <f>MAX(TREND(C158:C159,B158:B159,B163),0)</f>
        <v>18935871.5</v>
      </c>
      <c r="D163" s="402">
        <f>MAX(TREND(D158:D159,B158:B159,B163),0)</f>
        <v>17511751</v>
      </c>
      <c r="E163" s="725">
        <f>MAX(TREND(E158:E159,B158:B159,B163),0)</f>
        <v>0</v>
      </c>
      <c r="F163" s="726">
        <f>MAX(TREND(F158:F159,B158:B159,B163),0)</f>
        <v>0</v>
      </c>
      <c r="G163" s="725">
        <f>MAX(TREND(G158:G159,B158:B159,B163),0)</f>
        <v>5.6807614500000057</v>
      </c>
      <c r="H163" s="726">
        <f>MAX(TREND(H158:H159,B158:B159,B163),0)</f>
        <v>3.940143974999998</v>
      </c>
      <c r="I163" s="725">
        <f>MAX(TREND(I158:I159,B158:B159,B163),0)</f>
        <v>46.968535668599998</v>
      </c>
      <c r="J163" s="726">
        <f>MAX(TREND(J158:J159,B158:B159,B163),0)</f>
        <v>32.577110385300102</v>
      </c>
      <c r="K163" s="729">
        <f>IFERROR(IF(INDEX(SafetyGroup,A152,1)=Hwy,FatValue,INDEX(PARAMETERS!$BH$26:$BK$28,1,MATCH(INDEX(SafetyGroup,A152,1),PARAMETERS!$BH$25:$BK$25,0)))*(E163-F163),0)</f>
        <v>0</v>
      </c>
      <c r="L163" s="730">
        <f>IFERROR(IF(INDEX(SafetyGroup,A152,1)=Hwy,SUMPRODUCT(PARAMETERS!$E$64:$E$66,PARAMETERS!$BC$12:$BC$14),INDEX(PARAMETERS!$BH$26:$BK$28,2,MATCH(INDEX(SafetyGroup,A152,1),PARAMETERS!$BH$25:$BK$25,0)))*(G163-H163),0)</f>
        <v>202680.19674608711</v>
      </c>
      <c r="M163" s="802">
        <f>IFERROR(IF(INDEX(SafetyGroup,A152,1)=Hwy,NoInjValue,INDEX(PARAMETERS!$BH$26:$BK$28,3,MATCH(INDEX(SafetyGroup,A152,1),PARAMETERS!$BH$25:$BK$25,0)))*(I163-J163),0)</f>
        <v>44613.418378229675</v>
      </c>
      <c r="N163" s="369">
        <f>SUM(K163:M163)</f>
        <v>247293.61512431677</v>
      </c>
      <c r="O163" s="370">
        <f t="shared" si="47"/>
        <v>195439.73615306758</v>
      </c>
      <c r="Q163" s="812">
        <f t="shared" si="48"/>
        <v>0</v>
      </c>
      <c r="R163" s="785">
        <f t="shared" si="49"/>
        <v>1.7406174750000076</v>
      </c>
      <c r="S163" s="788">
        <f t="shared" si="50"/>
        <v>14.391425283299895</v>
      </c>
    </row>
    <row r="164" spans="2:19" x14ac:dyDescent="0.25">
      <c r="B164" s="375">
        <f t="shared" si="51"/>
        <v>2029</v>
      </c>
      <c r="C164" s="401">
        <f>MAX(TREND(C158:C159,B158:B159,B164),0)</f>
        <v>19184272.25</v>
      </c>
      <c r="D164" s="402">
        <f>MAX(TREND(D158:D159,B158:B159,B164),0)</f>
        <v>17688484</v>
      </c>
      <c r="E164" s="725">
        <f>MAX(TREND(E158:E159,B158:B159,B164),0)</f>
        <v>0</v>
      </c>
      <c r="F164" s="726">
        <f>MAX(TREND(F158:F159,B158:B159,B164),0)</f>
        <v>0</v>
      </c>
      <c r="G164" s="725">
        <f>MAX(TREND(G158:G159,B158:B159,B164),0)</f>
        <v>5.7552816750000204</v>
      </c>
      <c r="H164" s="726">
        <f>MAX(TREND(H158:H159,B158:B159,B164),0)</f>
        <v>3.9799088999999981</v>
      </c>
      <c r="I164" s="725">
        <f>MAX(TREND(I158:I159,B158:B159,B164),0)</f>
        <v>47.584668888900069</v>
      </c>
      <c r="J164" s="726">
        <f>MAX(TREND(J158:J159,B158:B159,B164),0)</f>
        <v>32.905886785200096</v>
      </c>
      <c r="K164" s="729">
        <f>IFERROR(IF(INDEX(SafetyGroup,A152,1)=Hwy,FatValue,INDEX(PARAMETERS!$BH$26:$BK$28,1,MATCH(INDEX(SafetyGroup,A152,1),PARAMETERS!$BH$25:$BK$25,0)))*(E164-F164),0)</f>
        <v>0</v>
      </c>
      <c r="L164" s="730">
        <f>IFERROR(IF(INDEX(SafetyGroup,A152,1)=Hwy,SUMPRODUCT(PARAMETERS!$E$64:$E$66,PARAMETERS!$BC$12:$BC$14),INDEX(PARAMETERS!$BH$26:$BK$28,2,MATCH(INDEX(SafetyGroup,A152,1),PARAMETERS!$BH$25:$BK$25,0)))*(G164-H164),0)</f>
        <v>206727.15774880382</v>
      </c>
      <c r="M164" s="802">
        <f>IFERROR(IF(INDEX(SafetyGroup,A152,1)=Hwy,NoInjValue,INDEX(PARAMETERS!$BH$26:$BK$28,3,MATCH(INDEX(SafetyGroup,A152,1),PARAMETERS!$BH$25:$BK$25,0)))*(I164-J164),0)</f>
        <v>45504.224521469914</v>
      </c>
      <c r="N164" s="369">
        <f t="shared" ref="N164:N180" si="52">SUM(K164:M164)</f>
        <v>252231.38227027372</v>
      </c>
      <c r="O164" s="370">
        <f t="shared" si="47"/>
        <v>191675.12043576007</v>
      </c>
      <c r="Q164" s="812">
        <f t="shared" si="48"/>
        <v>0</v>
      </c>
      <c r="R164" s="785">
        <f t="shared" si="49"/>
        <v>1.7753727750000223</v>
      </c>
      <c r="S164" s="788">
        <f t="shared" si="50"/>
        <v>14.678782103699973</v>
      </c>
    </row>
    <row r="165" spans="2:19" x14ac:dyDescent="0.25">
      <c r="B165" s="375">
        <f t="shared" si="51"/>
        <v>2030</v>
      </c>
      <c r="C165" s="401">
        <f>MAX(TREND(C158:C159,B158:B159,B165),0)</f>
        <v>19432673</v>
      </c>
      <c r="D165" s="402">
        <f>MAX(TREND(D158:D159,B158:B159,B165),0)</f>
        <v>17865217</v>
      </c>
      <c r="E165" s="725">
        <f>MAX(TREND(E158:E159,B158:B159,B165),0)</f>
        <v>0</v>
      </c>
      <c r="F165" s="726">
        <f>MAX(TREND(F158:F159,B158:B159,B165),0)</f>
        <v>0</v>
      </c>
      <c r="G165" s="725">
        <f>MAX(TREND(G158:G159,B158:B159,B165),0)</f>
        <v>5.8298019000000068</v>
      </c>
      <c r="H165" s="726">
        <f>MAX(TREND(H158:H159,B158:B159,B165),0)</f>
        <v>4.0196738249999981</v>
      </c>
      <c r="I165" s="725">
        <f>MAX(TREND(I158:I159,B158:B159,B165),0)</f>
        <v>48.20080210920014</v>
      </c>
      <c r="J165" s="726">
        <f>MAX(TREND(J158:J159,B158:B159,B165),0)</f>
        <v>33.234663185100089</v>
      </c>
      <c r="K165" s="729">
        <f>IFERROR(IF(INDEX(SafetyGroup,A152,1)=Hwy,FatValue,INDEX(PARAMETERS!$BH$26:$BK$28,1,MATCH(INDEX(SafetyGroup,A152,1),PARAMETERS!$BH$25:$BK$25,0)))*(E165-F165),0)</f>
        <v>0</v>
      </c>
      <c r="L165" s="730">
        <f>IFERROR(IF(INDEX(SafetyGroup,A152,1)=Hwy,SUMPRODUCT(PARAMETERS!$E$64:$E$66,PARAMETERS!$BC$12:$BC$14),INDEX(PARAMETERS!$BH$26:$BK$28,2,MATCH(INDEX(SafetyGroup,A152,1),PARAMETERS!$BH$25:$BK$25,0)))*(G165-H165),0)</f>
        <v>210774.11875151724</v>
      </c>
      <c r="M165" s="802">
        <f>IFERROR(IF(INDEX(SafetyGroup,A152,1)=Hwy,NoInjValue,INDEX(PARAMETERS!$BH$26:$BK$28,3,MATCH(INDEX(SafetyGroup,A152,1),PARAMETERS!$BH$25:$BK$25,0)))*(I165-J165),0)</f>
        <v>46395.030664710153</v>
      </c>
      <c r="N165" s="369">
        <f t="shared" si="52"/>
        <v>257169.14941622739</v>
      </c>
      <c r="O165" s="370">
        <f t="shared" si="47"/>
        <v>187910.97850712898</v>
      </c>
      <c r="Q165" s="812">
        <f t="shared" si="48"/>
        <v>0</v>
      </c>
      <c r="R165" s="785">
        <f t="shared" si="49"/>
        <v>1.8101280750000086</v>
      </c>
      <c r="S165" s="788">
        <f t="shared" si="50"/>
        <v>14.966138924100051</v>
      </c>
    </row>
    <row r="166" spans="2:19" x14ac:dyDescent="0.25">
      <c r="B166" s="375">
        <f t="shared" si="51"/>
        <v>2031</v>
      </c>
      <c r="C166" s="401">
        <f>MAX(TREND(C158:C159,B158:B159,B166),0)</f>
        <v>19681073.75</v>
      </c>
      <c r="D166" s="402">
        <f>MAX(TREND(D158:D159,B158:B159,B166),0)</f>
        <v>18041950</v>
      </c>
      <c r="E166" s="725">
        <f>MAX(TREND(E158:E159,B158:B159,B166),0)</f>
        <v>0</v>
      </c>
      <c r="F166" s="726">
        <f>MAX(TREND(F158:F159,B158:B159,B166),0)</f>
        <v>0</v>
      </c>
      <c r="G166" s="725">
        <f>MAX(TREND(G158:G159,B158:B159,B166),0)</f>
        <v>5.9043221250000215</v>
      </c>
      <c r="H166" s="726">
        <f>MAX(TREND(H158:H159,B158:B159,B166),0)</f>
        <v>4.0594387499999982</v>
      </c>
      <c r="I166" s="725">
        <f>MAX(TREND(I158:I159,B158:B159,B166),0)</f>
        <v>48.816935329499984</v>
      </c>
      <c r="J166" s="726">
        <f>MAX(TREND(J158:J159,B158:B159,B166),0)</f>
        <v>33.563439585000083</v>
      </c>
      <c r="K166" s="729">
        <f>IFERROR(IF(INDEX(SafetyGroup,A152,1)=Hwy,FatValue,INDEX(PARAMETERS!$BH$26:$BK$28,1,MATCH(INDEX(SafetyGroup,A152,1),PARAMETERS!$BH$25:$BK$25,0)))*(E166-F166),0)</f>
        <v>0</v>
      </c>
      <c r="L166" s="730">
        <f>IFERROR(IF(INDEX(SafetyGroup,A152,1)=Hwy,SUMPRODUCT(PARAMETERS!$E$64:$E$66,PARAMETERS!$BC$12:$BC$14),INDEX(PARAMETERS!$BH$26:$BK$28,2,MATCH(INDEX(SafetyGroup,A152,1),PARAMETERS!$BH$25:$BK$25,0)))*(G166-H166),0)</f>
        <v>214821.07975423394</v>
      </c>
      <c r="M166" s="802">
        <f>IFERROR(IF(INDEX(SafetyGroup,A152,1)=Hwy,NoInjValue,INDEX(PARAMETERS!$BH$26:$BK$28,3,MATCH(INDEX(SafetyGroup,A152,1),PARAMETERS!$BH$25:$BK$25,0)))*(I166-J166),0)</f>
        <v>47285.836807949694</v>
      </c>
      <c r="N166" s="369">
        <f t="shared" si="52"/>
        <v>262106.91656218364</v>
      </c>
      <c r="O166" s="370">
        <f t="shared" si="47"/>
        <v>184152.84288005752</v>
      </c>
      <c r="Q166" s="812">
        <f t="shared" si="48"/>
        <v>0</v>
      </c>
      <c r="R166" s="785">
        <f t="shared" si="49"/>
        <v>1.8448833750000233</v>
      </c>
      <c r="S166" s="788">
        <f t="shared" si="50"/>
        <v>15.253495744499901</v>
      </c>
    </row>
    <row r="167" spans="2:19" x14ac:dyDescent="0.25">
      <c r="B167" s="375">
        <f t="shared" si="51"/>
        <v>2032</v>
      </c>
      <c r="C167" s="401">
        <f>MAX(TREND(C158:C159,B158:B159,B167),0)</f>
        <v>19929474.5</v>
      </c>
      <c r="D167" s="402">
        <f>MAX(TREND(D158:D159,B158:B159,B167),0)</f>
        <v>18218683</v>
      </c>
      <c r="E167" s="725">
        <f>MAX(TREND(E158:E159,B158:B159,B167),0)</f>
        <v>0</v>
      </c>
      <c r="F167" s="726">
        <f>MAX(TREND(F158:F159,B158:B159,B167),0)</f>
        <v>0</v>
      </c>
      <c r="G167" s="725">
        <f>MAX(TREND(G158:G159,B158:B159,B167),0)</f>
        <v>5.9788423500000079</v>
      </c>
      <c r="H167" s="726">
        <f>MAX(TREND(H158:H159,B158:B159,B167),0)</f>
        <v>4.0992036749999983</v>
      </c>
      <c r="I167" s="725">
        <f>MAX(TREND(I158:I159,B158:B159,B167),0)</f>
        <v>49.433068549800055</v>
      </c>
      <c r="J167" s="726">
        <f>MAX(TREND(J158:J159,B158:B159,B167),0)</f>
        <v>33.892215984900076</v>
      </c>
      <c r="K167" s="729">
        <f>IFERROR(IF(INDEX(SafetyGroup,A152,1)=Hwy,FatValue,INDEX(PARAMETERS!$BH$26:$BK$28,1,MATCH(INDEX(SafetyGroup,A152,1),PARAMETERS!$BH$25:$BK$25,0)))*(E167-F167),0)</f>
        <v>0</v>
      </c>
      <c r="L167" s="730">
        <f>IFERROR(IF(INDEX(SafetyGroup,A152,1)=Hwy,SUMPRODUCT(PARAMETERS!$E$64:$E$66,PARAMETERS!$BC$12:$BC$14),INDEX(PARAMETERS!$BH$26:$BK$28,2,MATCH(INDEX(SafetyGroup,A152,1),PARAMETERS!$BH$25:$BK$25,0)))*(G167-H167),0)</f>
        <v>218868.04075694733</v>
      </c>
      <c r="M167" s="802">
        <f>IFERROR(IF(INDEX(SafetyGroup,A152,1)=Hwy,NoInjValue,INDEX(PARAMETERS!$BH$26:$BK$28,3,MATCH(INDEX(SafetyGroup,A152,1),PARAMETERS!$BH$25:$BK$25,0)))*(I167-J167),0)</f>
        <v>48176.642951189933</v>
      </c>
      <c r="N167" s="369">
        <f t="shared" si="52"/>
        <v>267044.68370813725</v>
      </c>
      <c r="O167" s="370">
        <f t="shared" si="47"/>
        <v>180405.819788636</v>
      </c>
      <c r="Q167" s="812">
        <f t="shared" si="48"/>
        <v>0</v>
      </c>
      <c r="R167" s="785">
        <f t="shared" si="49"/>
        <v>1.8796386750000096</v>
      </c>
      <c r="S167" s="788">
        <f t="shared" si="50"/>
        <v>15.540852564899978</v>
      </c>
    </row>
    <row r="168" spans="2:19" x14ac:dyDescent="0.25">
      <c r="B168" s="375">
        <f t="shared" si="51"/>
        <v>2033</v>
      </c>
      <c r="C168" s="401">
        <f>MAX(TREND(C158:C159,B158:B159,B168),0)</f>
        <v>20177875.25</v>
      </c>
      <c r="D168" s="402">
        <f>MAX(TREND(D158:D159,B158:B159,B168),0)</f>
        <v>18395416</v>
      </c>
      <c r="E168" s="725">
        <f>MAX(TREND(E158:E159,B158:B159,B168),0)</f>
        <v>0</v>
      </c>
      <c r="F168" s="726">
        <f>MAX(TREND(F158:F159,B158:B159,B168),0)</f>
        <v>0</v>
      </c>
      <c r="G168" s="725">
        <f>MAX(TREND(G158:G159,B158:B159,B168),0)</f>
        <v>6.0533625750000226</v>
      </c>
      <c r="H168" s="726">
        <f>MAX(TREND(H158:H159,B158:B159,B168),0)</f>
        <v>4.1389685999999983</v>
      </c>
      <c r="I168" s="725">
        <f>MAX(TREND(I158:I159,B158:B159,B168),0)</f>
        <v>50.049201770100126</v>
      </c>
      <c r="J168" s="726">
        <f>MAX(TREND(J158:J159,B158:B159,B168),0)</f>
        <v>34.22099238480007</v>
      </c>
      <c r="K168" s="729">
        <f>IFERROR(IF(INDEX(SafetyGroup,A152,1)=Hwy,FatValue,INDEX(PARAMETERS!$BH$26:$BK$28,1,MATCH(INDEX(SafetyGroup,A152,1),PARAMETERS!$BH$25:$BK$25,0)))*(E168-F168),0)</f>
        <v>0</v>
      </c>
      <c r="L168" s="730">
        <f>IFERROR(IF(INDEX(SafetyGroup,A152,1)=Hwy,SUMPRODUCT(PARAMETERS!$E$64:$E$66,PARAMETERS!$BC$12:$BC$14),INDEX(PARAMETERS!$BH$26:$BK$28,2,MATCH(INDEX(SafetyGroup,A152,1),PARAMETERS!$BH$25:$BK$25,0)))*(G168-H168),0)</f>
        <v>222915.00175966407</v>
      </c>
      <c r="M168" s="802">
        <f>IFERROR(IF(INDEX(SafetyGroup,A152,1)=Hwy,NoInjValue,INDEX(PARAMETERS!$BH$26:$BK$28,3,MATCH(INDEX(SafetyGroup,A152,1),PARAMETERS!$BH$25:$BK$25,0)))*(I168-J168),0)</f>
        <v>49067.449094430172</v>
      </c>
      <c r="N168" s="369">
        <f t="shared" si="52"/>
        <v>271982.45085409423</v>
      </c>
      <c r="O168" s="370">
        <f t="shared" si="47"/>
        <v>176674.61379466325</v>
      </c>
      <c r="Q168" s="812">
        <f t="shared" si="48"/>
        <v>0</v>
      </c>
      <c r="R168" s="785">
        <f t="shared" si="49"/>
        <v>1.9143939750000243</v>
      </c>
      <c r="S168" s="788">
        <f t="shared" si="50"/>
        <v>15.828209385300056</v>
      </c>
    </row>
    <row r="169" spans="2:19" x14ac:dyDescent="0.25">
      <c r="B169" s="375">
        <f t="shared" si="51"/>
        <v>2034</v>
      </c>
      <c r="C169" s="401">
        <f>MAX(TREND(C158:C159,B158:B159,B169),0)</f>
        <v>20426276</v>
      </c>
      <c r="D169" s="402">
        <f>MAX(TREND(D158:D159,B158:B159,B169),0)</f>
        <v>18572149</v>
      </c>
      <c r="E169" s="725">
        <f>MAX(TREND(E158:E159,B158:B159,B169),0)</f>
        <v>0</v>
      </c>
      <c r="F169" s="726">
        <f>MAX(TREND(F158:F159,B158:B159,B169),0)</f>
        <v>0</v>
      </c>
      <c r="G169" s="725">
        <f>MAX(TREND(G158:G159,B158:B159,B169),0)</f>
        <v>6.127882800000009</v>
      </c>
      <c r="H169" s="726">
        <f>MAX(TREND(H158:H159,B158:B159,B169),0)</f>
        <v>4.1787335249999984</v>
      </c>
      <c r="I169" s="725">
        <f>MAX(TREND(I158:I159,B158:B159,B169),0)</f>
        <v>50.66533499039997</v>
      </c>
      <c r="J169" s="726">
        <f>MAX(TREND(J158:J159,B158:B159,B169),0)</f>
        <v>34.549768784700063</v>
      </c>
      <c r="K169" s="729">
        <f>IFERROR(IF(INDEX(SafetyGroup,A152,1)=Hwy,FatValue,INDEX(PARAMETERS!$BH$26:$BK$28,1,MATCH(INDEX(SafetyGroup,A152,1),PARAMETERS!$BH$25:$BK$25,0)))*(E169-F169),0)</f>
        <v>0</v>
      </c>
      <c r="L169" s="730">
        <f>IFERROR(IF(INDEX(SafetyGroup,A152,1)=Hwy,SUMPRODUCT(PARAMETERS!$E$64:$E$66,PARAMETERS!$BC$12:$BC$14),INDEX(PARAMETERS!$BH$26:$BK$28,2,MATCH(INDEX(SafetyGroup,A152,1),PARAMETERS!$BH$25:$BK$25,0)))*(G169-H169),0)</f>
        <v>226961.96276237746</v>
      </c>
      <c r="M169" s="802">
        <f>IFERROR(IF(INDEX(SafetyGroup,A152,1)=Hwy,NoInjValue,INDEX(PARAMETERS!$BH$26:$BK$28,3,MATCH(INDEX(SafetyGroup,A152,1),PARAMETERS!$BH$25:$BK$25,0)))*(I169-J169),0)</f>
        <v>49958.255237669713</v>
      </c>
      <c r="N169" s="369">
        <f t="shared" si="52"/>
        <v>276920.21800004714</v>
      </c>
      <c r="O169" s="370">
        <f t="shared" si="47"/>
        <v>172963.5511318979</v>
      </c>
      <c r="Q169" s="812">
        <f t="shared" si="48"/>
        <v>0</v>
      </c>
      <c r="R169" s="785">
        <f t="shared" si="49"/>
        <v>1.9491492750000106</v>
      </c>
      <c r="S169" s="788">
        <f t="shared" si="50"/>
        <v>16.115566205699906</v>
      </c>
    </row>
    <row r="170" spans="2:19" x14ac:dyDescent="0.25">
      <c r="B170" s="375">
        <f t="shared" si="51"/>
        <v>2035</v>
      </c>
      <c r="C170" s="401">
        <f>MAX(TREND(C158:C159,B158:B159,B170),0)</f>
        <v>20674676.75</v>
      </c>
      <c r="D170" s="402">
        <f>MAX(TREND(D158:D159,B158:B159,B170),0)</f>
        <v>18748882</v>
      </c>
      <c r="E170" s="725">
        <f>MAX(TREND(E158:E159,B158:B159,B170),0)</f>
        <v>0</v>
      </c>
      <c r="F170" s="726">
        <f>MAX(TREND(F158:F159,B158:B159,B170),0)</f>
        <v>0</v>
      </c>
      <c r="G170" s="725">
        <f>MAX(TREND(G158:G159,B158:B159,B170),0)</f>
        <v>6.2024030250000237</v>
      </c>
      <c r="H170" s="726">
        <f>MAX(TREND(H158:H159,B158:B159,B170),0)</f>
        <v>4.2184984499999985</v>
      </c>
      <c r="I170" s="725">
        <f>MAX(TREND(I158:I159,B158:B159,B170),0)</f>
        <v>51.281468210700041</v>
      </c>
      <c r="J170" s="726">
        <f>MAX(TREND(J158:J159,B158:B159,B170),0)</f>
        <v>34.878545184600057</v>
      </c>
      <c r="K170" s="729">
        <f>IFERROR(IF(INDEX(SafetyGroup,A152,1)=Hwy,FatValue,INDEX(PARAMETERS!$BH$26:$BK$28,1,MATCH(INDEX(SafetyGroup,A152,1),PARAMETERS!$BH$25:$BK$25,0)))*(E170-F170),0)</f>
        <v>0</v>
      </c>
      <c r="L170" s="730">
        <f>IFERROR(IF(INDEX(SafetyGroup,A152,1)=Hwy,SUMPRODUCT(PARAMETERS!$E$64:$E$66,PARAMETERS!$BC$12:$BC$14),INDEX(PARAMETERS!$BH$26:$BK$28,2,MATCH(INDEX(SafetyGroup,A152,1),PARAMETERS!$BH$25:$BK$25,0)))*(G170-H170),0)</f>
        <v>231008.92376509416</v>
      </c>
      <c r="M170" s="802">
        <f>IFERROR(IF(INDEX(SafetyGroup,A152,1)=Hwy,NoInjValue,INDEX(PARAMETERS!$BH$26:$BK$28,3,MATCH(INDEX(SafetyGroup,A152,1),PARAMETERS!$BH$25:$BK$25,0)))*(I170-J170),0)</f>
        <v>50849.061380909952</v>
      </c>
      <c r="N170" s="369">
        <f t="shared" si="52"/>
        <v>281857.98514600412</v>
      </c>
      <c r="O170" s="370">
        <f t="shared" si="47"/>
        <v>169276.60184882308</v>
      </c>
      <c r="Q170" s="812">
        <f t="shared" si="48"/>
        <v>0</v>
      </c>
      <c r="R170" s="785">
        <f t="shared" si="49"/>
        <v>1.9839045750000253</v>
      </c>
      <c r="S170" s="788">
        <f t="shared" si="50"/>
        <v>16.402923026099984</v>
      </c>
    </row>
    <row r="171" spans="2:19" x14ac:dyDescent="0.25">
      <c r="B171" s="375">
        <f t="shared" si="51"/>
        <v>2036</v>
      </c>
      <c r="C171" s="401">
        <f>MAX(TREND(C158:C159,B158:B159,B171),0)</f>
        <v>20923077.5</v>
      </c>
      <c r="D171" s="402">
        <f>MAX(TREND(D158:D159,B158:B159,B171),0)</f>
        <v>18925615</v>
      </c>
      <c r="E171" s="725">
        <f>MAX(TREND(E158:E159,B158:B159,B171),0)</f>
        <v>0</v>
      </c>
      <c r="F171" s="726">
        <f>MAX(TREND(F158:F159,B158:B159,B171),0)</f>
        <v>0</v>
      </c>
      <c r="G171" s="725">
        <f>MAX(TREND(G158:G159,B158:B159,B171),0)</f>
        <v>6.2769232500000101</v>
      </c>
      <c r="H171" s="726">
        <f>MAX(TREND(H158:H159,B158:B159,B171),0)</f>
        <v>4.2582633749999985</v>
      </c>
      <c r="I171" s="725">
        <f>MAX(TREND(I158:I159,B158:B159,B171),0)</f>
        <v>51.897601431000112</v>
      </c>
      <c r="J171" s="726">
        <f>MAX(TREND(J158:J159,B158:B159,B171),0)</f>
        <v>35.20732158450005</v>
      </c>
      <c r="K171" s="729">
        <f>IFERROR(IF(INDEX(SafetyGroup,A152,1)=Hwy,FatValue,INDEX(PARAMETERS!$BH$26:$BK$28,1,MATCH(INDEX(SafetyGroup,A152,1),PARAMETERS!$BH$25:$BK$25,0)))*(E171-F171),0)</f>
        <v>0</v>
      </c>
      <c r="L171" s="730">
        <f>IFERROR(IF(INDEX(SafetyGroup,A152,1)=Hwy,SUMPRODUCT(PARAMETERS!$E$64:$E$66,PARAMETERS!$BC$12:$BC$14),INDEX(PARAMETERS!$BH$26:$BK$28,2,MATCH(INDEX(SafetyGroup,A152,1),PARAMETERS!$BH$25:$BK$25,0)))*(G171-H171),0)</f>
        <v>235055.88476780758</v>
      </c>
      <c r="M171" s="802">
        <f>IFERROR(IF(INDEX(SafetyGroup,A152,1)=Hwy,NoInjValue,INDEX(PARAMETERS!$BH$26:$BK$28,3,MATCH(INDEX(SafetyGroup,A152,1),PARAMETERS!$BH$25:$BK$25,0)))*(I171-J171),0)</f>
        <v>51739.867524150191</v>
      </c>
      <c r="N171" s="369">
        <f t="shared" si="52"/>
        <v>286795.75229195779</v>
      </c>
      <c r="O171" s="370">
        <f t="shared" si="47"/>
        <v>165617.40080774043</v>
      </c>
      <c r="Q171" s="812">
        <f t="shared" si="48"/>
        <v>0</v>
      </c>
      <c r="R171" s="785">
        <f t="shared" si="49"/>
        <v>2.0186598750000115</v>
      </c>
      <c r="S171" s="788">
        <f t="shared" si="50"/>
        <v>16.690279846500061</v>
      </c>
    </row>
    <row r="172" spans="2:19" x14ac:dyDescent="0.25">
      <c r="B172" s="375">
        <f t="shared" si="51"/>
        <v>2037</v>
      </c>
      <c r="C172" s="401">
        <f>MAX(TREND(C158:C159,B158:B159,B172),0)</f>
        <v>21171478.25</v>
      </c>
      <c r="D172" s="402">
        <f>MAX(TREND(D158:D159,B158:B159,B172),0)</f>
        <v>19102348</v>
      </c>
      <c r="E172" s="725">
        <f>MAX(TREND(E158:E159,B158:B159,B172),0)</f>
        <v>0</v>
      </c>
      <c r="F172" s="726">
        <f>MAX(TREND(F158:F159,B158:B159,B172),0)</f>
        <v>0</v>
      </c>
      <c r="G172" s="725">
        <f>MAX(TREND(G158:G159,B158:B159,B172),0)</f>
        <v>6.3514434750000248</v>
      </c>
      <c r="H172" s="726">
        <f>MAX(TREND(H158:H159,B158:B159,B172),0)</f>
        <v>4.2980282999999986</v>
      </c>
      <c r="I172" s="725">
        <f>MAX(TREND(I158:I159,B158:B159,B172),0)</f>
        <v>52.513734651299956</v>
      </c>
      <c r="J172" s="726">
        <f>MAX(TREND(J158:J159,B158:B159,B172),0)</f>
        <v>35.536097984400044</v>
      </c>
      <c r="K172" s="729">
        <f>IFERROR(IF(INDEX(SafetyGroup,A152,1)=Hwy,FatValue,INDEX(PARAMETERS!$BH$26:$BK$28,1,MATCH(INDEX(SafetyGroup,A152,1),PARAMETERS!$BH$25:$BK$25,0)))*(E172-F172),0)</f>
        <v>0</v>
      </c>
      <c r="L172" s="730">
        <f>IFERROR(IF(INDEX(SafetyGroup,A152,1)=Hwy,SUMPRODUCT(PARAMETERS!$E$64:$E$66,PARAMETERS!$BC$12:$BC$14),INDEX(PARAMETERS!$BH$26:$BK$28,2,MATCH(INDEX(SafetyGroup,A152,1),PARAMETERS!$BH$25:$BK$25,0)))*(G172-H172),0)</f>
        <v>239102.84577052429</v>
      </c>
      <c r="M172" s="802">
        <f>IFERROR(IF(INDEX(SafetyGroup,A152,1)=Hwy,NoInjValue,INDEX(PARAMETERS!$BH$26:$BK$28,3,MATCH(INDEX(SafetyGroup,A152,1),PARAMETERS!$BH$25:$BK$25,0)))*(I172-J172),0)</f>
        <v>52630.673667389725</v>
      </c>
      <c r="N172" s="369">
        <f t="shared" si="52"/>
        <v>291733.51943791402</v>
      </c>
      <c r="O172" s="370">
        <f t="shared" si="47"/>
        <v>161989.2675954868</v>
      </c>
      <c r="Q172" s="812">
        <f t="shared" si="48"/>
        <v>0</v>
      </c>
      <c r="R172" s="785">
        <f t="shared" si="49"/>
        <v>2.0534151750000262</v>
      </c>
      <c r="S172" s="788">
        <f t="shared" si="50"/>
        <v>16.977636666899912</v>
      </c>
    </row>
    <row r="173" spans="2:19" x14ac:dyDescent="0.25">
      <c r="B173" s="375">
        <f t="shared" si="51"/>
        <v>2038</v>
      </c>
      <c r="C173" s="401">
        <f>MAX(TREND(C158:C159,B158:B159,B173),0)</f>
        <v>21419879</v>
      </c>
      <c r="D173" s="402">
        <f>MAX(TREND(D158:D159,B158:B159,B173),0)</f>
        <v>19279081</v>
      </c>
      <c r="E173" s="725">
        <f>MAX(TREND(E158:E159,B158:B159,B173),0)</f>
        <v>0</v>
      </c>
      <c r="F173" s="726">
        <f>MAX(TREND(F158:F159,B158:B159,B173),0)</f>
        <v>0</v>
      </c>
      <c r="G173" s="725">
        <f>MAX(TREND(G158:G159,B158:B159,B173),0)</f>
        <v>6.4259637000000112</v>
      </c>
      <c r="H173" s="726">
        <f>MAX(TREND(H158:H159,B158:B159,B173),0)</f>
        <v>4.3377932249999986</v>
      </c>
      <c r="I173" s="725">
        <f>MAX(TREND(I158:I159,B158:B159,B173),0)</f>
        <v>53.129867871600027</v>
      </c>
      <c r="J173" s="726">
        <f>MAX(TREND(J158:J159,B158:B159,B173),0)</f>
        <v>35.864874384300037</v>
      </c>
      <c r="K173" s="729">
        <f>IFERROR(IF(INDEX(SafetyGroup,A152,1)=Hwy,FatValue,INDEX(PARAMETERS!$BH$26:$BK$28,1,MATCH(INDEX(SafetyGroup,A152,1),PARAMETERS!$BH$25:$BK$25,0)))*(E173-F173),0)</f>
        <v>0</v>
      </c>
      <c r="L173" s="730">
        <f>IFERROR(IF(INDEX(SafetyGroup,A152,1)=Hwy,SUMPRODUCT(PARAMETERS!$E$64:$E$66,PARAMETERS!$BC$12:$BC$14),INDEX(PARAMETERS!$BH$26:$BK$28,2,MATCH(INDEX(SafetyGroup,A152,1),PARAMETERS!$BH$25:$BK$25,0)))*(G173-H173),0)</f>
        <v>243149.80677323768</v>
      </c>
      <c r="M173" s="802">
        <f>IFERROR(IF(INDEX(SafetyGroup,A152,1)=Hwy,NoInjValue,INDEX(PARAMETERS!$BH$26:$BK$28,3,MATCH(INDEX(SafetyGroup,A152,1),PARAMETERS!$BH$25:$BK$25,0)))*(I173-J173),0)</f>
        <v>53521.479810629964</v>
      </c>
      <c r="N173" s="369">
        <f t="shared" si="52"/>
        <v>296671.28658386762</v>
      </c>
      <c r="O173" s="370">
        <f t="shared" si="47"/>
        <v>158395.2253983641</v>
      </c>
      <c r="Q173" s="812">
        <f t="shared" si="48"/>
        <v>0</v>
      </c>
      <c r="R173" s="785">
        <f t="shared" si="49"/>
        <v>2.0881704750000125</v>
      </c>
      <c r="S173" s="788">
        <f t="shared" si="50"/>
        <v>17.264993487299989</v>
      </c>
    </row>
    <row r="174" spans="2:19" x14ac:dyDescent="0.25">
      <c r="B174" s="375">
        <f t="shared" si="51"/>
        <v>2039</v>
      </c>
      <c r="C174" s="401">
        <f>MAX(TREND(C158:C159,B158:B159,B174),0)</f>
        <v>21668279.75</v>
      </c>
      <c r="D174" s="402">
        <f>MAX(TREND(D158:D159,B158:B159,B174),0)</f>
        <v>19455814</v>
      </c>
      <c r="E174" s="725">
        <f>MAX(TREND(E158:E159,B158:B159,B174),0)</f>
        <v>0</v>
      </c>
      <c r="F174" s="726">
        <f>MAX(TREND(F158:F159,B158:B159,B174),0)</f>
        <v>0</v>
      </c>
      <c r="G174" s="725">
        <f>MAX(TREND(G158:G159,B158:B159,B174),0)</f>
        <v>6.5004839250000259</v>
      </c>
      <c r="H174" s="726">
        <f>MAX(TREND(H158:H159,B158:B159,B174),0)</f>
        <v>4.3775581499999987</v>
      </c>
      <c r="I174" s="725">
        <f>MAX(TREND(I158:I159,B158:B159,B174),0)</f>
        <v>53.746001091900098</v>
      </c>
      <c r="J174" s="726">
        <f>MAX(TREND(J158:J159,B158:B159,B174),0)</f>
        <v>36.193650784200145</v>
      </c>
      <c r="K174" s="729">
        <f>IFERROR(IF(INDEX(SafetyGroup,A152,1)=Hwy,FatValue,INDEX(PARAMETERS!$BH$26:$BK$28,1,MATCH(INDEX(SafetyGroup,A152,1),PARAMETERS!$BH$25:$BK$25,0)))*(E174-F174),0)</f>
        <v>0</v>
      </c>
      <c r="L174" s="730">
        <f>IFERROR(IF(INDEX(SafetyGroup,A152,1)=Hwy,SUMPRODUCT(PARAMETERS!$E$64:$E$66,PARAMETERS!$BC$12:$BC$14),INDEX(PARAMETERS!$BH$26:$BK$28,2,MATCH(INDEX(SafetyGroup,A152,1),PARAMETERS!$BH$25:$BK$25,0)))*(G174-H174),0)</f>
        <v>247196.76777595439</v>
      </c>
      <c r="M174" s="802">
        <f>IFERROR(IF(INDEX(SafetyGroup,A152,1)=Hwy,NoInjValue,INDEX(PARAMETERS!$BH$26:$BK$28,3,MATCH(INDEX(SafetyGroup,A152,1),PARAMETERS!$BH$25:$BK$25,0)))*(I174-J174),0)</f>
        <v>54412.285953869854</v>
      </c>
      <c r="N174" s="369">
        <f t="shared" si="52"/>
        <v>301609.05372982426</v>
      </c>
      <c r="O174" s="370">
        <f t="shared" si="47"/>
        <v>154838.01889156085</v>
      </c>
      <c r="Q174" s="812">
        <f t="shared" si="48"/>
        <v>0</v>
      </c>
      <c r="R174" s="785">
        <f t="shared" si="49"/>
        <v>2.1229257750000272</v>
      </c>
      <c r="S174" s="788">
        <f t="shared" si="50"/>
        <v>17.552350307699953</v>
      </c>
    </row>
    <row r="175" spans="2:19" x14ac:dyDescent="0.25">
      <c r="B175" s="375">
        <f t="shared" si="51"/>
        <v>2040</v>
      </c>
      <c r="C175" s="401">
        <f>MAX(TREND(C158:C159,B158:B159,B175),0)</f>
        <v>21916680.5</v>
      </c>
      <c r="D175" s="402">
        <f>MAX(TREND(D158:D159,B158:B159,B175),0)</f>
        <v>19632547</v>
      </c>
      <c r="E175" s="725">
        <f>MAX(TREND(E158:E159,B158:B159,B175),0)</f>
        <v>0</v>
      </c>
      <c r="F175" s="726">
        <f>MAX(TREND(F158:F159,B158:B159,B175),0)</f>
        <v>0</v>
      </c>
      <c r="G175" s="725">
        <f>MAX(TREND(G158:G159,B158:B159,B175),0)</f>
        <v>6.5750041500000123</v>
      </c>
      <c r="H175" s="726">
        <f>MAX(TREND(H158:H159,B158:B159,B175),0)</f>
        <v>4.4173230749999988</v>
      </c>
      <c r="I175" s="725">
        <f>MAX(TREND(I158:I159,B158:B159,B175),0)</f>
        <v>54.362134312199942</v>
      </c>
      <c r="J175" s="726">
        <f>MAX(TREND(J158:J159,B158:B159,B175),0)</f>
        <v>36.522427184100138</v>
      </c>
      <c r="K175" s="729">
        <f>IFERROR(IF(INDEX(SafetyGroup,A152,1)=Hwy,FatValue,INDEX(PARAMETERS!$BH$26:$BK$28,1,MATCH(INDEX(SafetyGroup,A152,1),PARAMETERS!$BH$25:$BK$25,0)))*(E175-F175),0)</f>
        <v>0</v>
      </c>
      <c r="L175" s="730">
        <f>IFERROR(IF(INDEX(SafetyGroup,A152,1)=Hwy,SUMPRODUCT(PARAMETERS!$E$64:$E$66,PARAMETERS!$BC$12:$BC$14),INDEX(PARAMETERS!$BH$26:$BK$28,2,MATCH(INDEX(SafetyGroup,A152,1),PARAMETERS!$BH$25:$BK$25,0)))*(G175-H175),0)</f>
        <v>251243.72877866781</v>
      </c>
      <c r="M175" s="802">
        <f>IFERROR(IF(INDEX(SafetyGroup,A152,1)=Hwy,NoInjValue,INDEX(PARAMETERS!$BH$26:$BK$28,3,MATCH(INDEX(SafetyGroup,A152,1),PARAMETERS!$BH$25:$BK$25,0)))*(I175-J175),0)</f>
        <v>55303.092097109387</v>
      </c>
      <c r="N175" s="369">
        <f t="shared" si="52"/>
        <v>306546.82087577716</v>
      </c>
      <c r="O175" s="370">
        <f t="shared" si="47"/>
        <v>151320.13119090279</v>
      </c>
      <c r="Q175" s="812">
        <f t="shared" si="48"/>
        <v>0</v>
      </c>
      <c r="R175" s="785">
        <f t="shared" si="49"/>
        <v>2.1576810750000135</v>
      </c>
      <c r="S175" s="788">
        <f t="shared" si="50"/>
        <v>17.839707128099803</v>
      </c>
    </row>
    <row r="176" spans="2:19" x14ac:dyDescent="0.25">
      <c r="B176" s="375">
        <f t="shared" si="51"/>
        <v>2041</v>
      </c>
      <c r="C176" s="401">
        <f>MAX(TREND(C158:C159,B158:B159,B176),0)</f>
        <v>22165081.25</v>
      </c>
      <c r="D176" s="402">
        <f>MAX(TREND(D158:D159,B158:B159,B176),0)</f>
        <v>19809280</v>
      </c>
      <c r="E176" s="725">
        <f>MAX(TREND(E158:E159,B158:B159,B176),0)</f>
        <v>0</v>
      </c>
      <c r="F176" s="726">
        <f>MAX(TREND(F158:F159,B158:B159,B176),0)</f>
        <v>0</v>
      </c>
      <c r="G176" s="725">
        <f>MAX(TREND(G158:G159,B158:B159,B176),0)</f>
        <v>6.649524375000027</v>
      </c>
      <c r="H176" s="726">
        <f>MAX(TREND(H158:H159,B158:B159,B176),0)</f>
        <v>4.4570879999999988</v>
      </c>
      <c r="I176" s="725">
        <f>MAX(TREND(I158:I159,B158:B159,B176),0)</f>
        <v>54.978267532500013</v>
      </c>
      <c r="J176" s="726">
        <f>MAX(TREND(J158:J159,B158:B159,B176),0)</f>
        <v>36.851203584000132</v>
      </c>
      <c r="K176" s="729">
        <f>IFERROR(IF(INDEX(SafetyGroup,A152,1)=Hwy,FatValue,INDEX(PARAMETERS!$BH$26:$BK$28,1,MATCH(INDEX(SafetyGroup,A152,1),PARAMETERS!$BH$25:$BK$25,0)))*(E176-F176),0)</f>
        <v>0</v>
      </c>
      <c r="L176" s="730">
        <f>IFERROR(IF(INDEX(SafetyGroup,A152,1)=Hwy,SUMPRODUCT(PARAMETERS!$E$64:$E$66,PARAMETERS!$BC$12:$BC$14),INDEX(PARAMETERS!$BH$26:$BK$28,2,MATCH(INDEX(SafetyGroup,A152,1),PARAMETERS!$BH$25:$BK$25,0)))*(G176-H176),0)</f>
        <v>255290.68978138451</v>
      </c>
      <c r="M176" s="802">
        <f>IFERROR(IF(INDEX(SafetyGroup,A152,1)=Hwy,NoInjValue,INDEX(PARAMETERS!$BH$26:$BK$28,3,MATCH(INDEX(SafetyGroup,A152,1),PARAMETERS!$BH$25:$BK$25,0)))*(I176-J176),0)</f>
        <v>56193.898240349634</v>
      </c>
      <c r="N176" s="369">
        <f t="shared" si="52"/>
        <v>311484.58802173415</v>
      </c>
      <c r="O176" s="370">
        <f t="shared" si="47"/>
        <v>147843.79991264708</v>
      </c>
      <c r="Q176" s="812">
        <f t="shared" si="48"/>
        <v>0</v>
      </c>
      <c r="R176" s="785">
        <f t="shared" si="49"/>
        <v>2.1924363750000282</v>
      </c>
      <c r="S176" s="788">
        <f t="shared" si="50"/>
        <v>18.127063948499881</v>
      </c>
    </row>
    <row r="177" spans="1:19" x14ac:dyDescent="0.25">
      <c r="B177" s="375">
        <f t="shared" si="51"/>
        <v>2042</v>
      </c>
      <c r="C177" s="401">
        <f>MAX(TREND(C158:C159,B158:B159,B177),0)</f>
        <v>22413482</v>
      </c>
      <c r="D177" s="402">
        <f>MAX(TREND(D158:D159,B158:B159,B177),0)</f>
        <v>19986013</v>
      </c>
      <c r="E177" s="725">
        <f>MAX(TREND(E158:E159,B158:B159,B177),0)</f>
        <v>0</v>
      </c>
      <c r="F177" s="726">
        <f>MAX(TREND(F158:F159,B158:B159,B177),0)</f>
        <v>0</v>
      </c>
      <c r="G177" s="725">
        <f>MAX(TREND(G158:G159,B158:B159,B177),0)</f>
        <v>6.7240446000000134</v>
      </c>
      <c r="H177" s="726">
        <f>MAX(TREND(H158:H159,B158:B159,B177),0)</f>
        <v>4.4968529249999989</v>
      </c>
      <c r="I177" s="725">
        <f>MAX(TREND(I158:I159,B158:B159,B177),0)</f>
        <v>55.594400752800084</v>
      </c>
      <c r="J177" s="726">
        <f>MAX(TREND(J158:J159,B158:B159,B177),0)</f>
        <v>37.179979983900125</v>
      </c>
      <c r="K177" s="729">
        <f>IFERROR(IF(INDEX(SafetyGroup,A152,1)=Hwy,FatValue,INDEX(PARAMETERS!$BH$26:$BK$28,1,MATCH(INDEX(SafetyGroup,A152,1),PARAMETERS!$BH$25:$BK$25,0)))*(E177-F177),0)</f>
        <v>0</v>
      </c>
      <c r="L177" s="730">
        <f>IFERROR(IF(INDEX(SafetyGroup,A152,1)=Hwy,SUMPRODUCT(PARAMETERS!$E$64:$E$66,PARAMETERS!$BC$12:$BC$14),INDEX(PARAMETERS!$BH$26:$BK$28,2,MATCH(INDEX(SafetyGroup,A152,1),PARAMETERS!$BH$25:$BK$25,0)))*(G177-H177),0)</f>
        <v>259337.6507840979</v>
      </c>
      <c r="M177" s="802">
        <f>IFERROR(IF(INDEX(SafetyGroup,A152,1)=Hwy,NoInjValue,INDEX(PARAMETERS!$BH$26:$BK$28,3,MATCH(INDEX(SafetyGroup,A152,1),PARAMETERS!$BH$25:$BK$25,0)))*(I177-J177),0)</f>
        <v>57084.704383589873</v>
      </c>
      <c r="N177" s="369">
        <f t="shared" si="52"/>
        <v>316422.35516768775</v>
      </c>
      <c r="O177" s="370">
        <f t="shared" si="47"/>
        <v>144411.03238480163</v>
      </c>
      <c r="Q177" s="812">
        <f t="shared" si="48"/>
        <v>0</v>
      </c>
      <c r="R177" s="785">
        <f t="shared" si="49"/>
        <v>2.2271916750000145</v>
      </c>
      <c r="S177" s="788">
        <f t="shared" si="50"/>
        <v>18.414420768899959</v>
      </c>
    </row>
    <row r="178" spans="1:19" x14ac:dyDescent="0.25">
      <c r="B178" s="375">
        <f t="shared" si="51"/>
        <v>2043</v>
      </c>
      <c r="C178" s="401">
        <f>MAX(TREND(C158:C159,B158:B159,B178),0)</f>
        <v>22661882.75</v>
      </c>
      <c r="D178" s="402">
        <f>MAX(TREND(D158:D159,B158:B159,B178),0)</f>
        <v>20162746</v>
      </c>
      <c r="E178" s="725">
        <f>MAX(TREND(E158:E159,B158:B159,B178),0)</f>
        <v>0</v>
      </c>
      <c r="F178" s="726">
        <f>MAX(TREND(F158:F159,B158:B159,B178),0)</f>
        <v>0</v>
      </c>
      <c r="G178" s="725">
        <f>MAX(TREND(G158:G159,B158:B159,B178),0)</f>
        <v>6.7985648250000281</v>
      </c>
      <c r="H178" s="726">
        <f>MAX(TREND(H158:H159,B158:B159,B178),0)</f>
        <v>4.536617849999999</v>
      </c>
      <c r="I178" s="725">
        <f>MAX(TREND(I158:I159,B158:B159,B178),0)</f>
        <v>56.210533973100155</v>
      </c>
      <c r="J178" s="726">
        <f>MAX(TREND(J158:J159,B158:B159,B178),0)</f>
        <v>37.508756383800119</v>
      </c>
      <c r="K178" s="729">
        <f>IFERROR(IF(INDEX(SafetyGroup,A152,1)=Hwy,FatValue,INDEX(PARAMETERS!$BH$26:$BK$28,1,MATCH(INDEX(SafetyGroup,A152,1),PARAMETERS!$BH$25:$BK$25,0)))*(E178-F178),0)</f>
        <v>0</v>
      </c>
      <c r="L178" s="730">
        <f>IFERROR(IF(INDEX(SafetyGroup,A152,1)=Hwy,SUMPRODUCT(PARAMETERS!$E$64:$E$66,PARAMETERS!$BC$12:$BC$14),INDEX(PARAMETERS!$BH$26:$BK$28,2,MATCH(INDEX(SafetyGroup,A152,1),PARAMETERS!$BH$25:$BK$25,0)))*(G178-H178),0)</f>
        <v>263384.61178681464</v>
      </c>
      <c r="M178" s="802">
        <f>IFERROR(IF(INDEX(SafetyGroup,A152,1)=Hwy,NoInjValue,INDEX(PARAMETERS!$BH$26:$BK$28,3,MATCH(INDEX(SafetyGroup,A152,1),PARAMETERS!$BH$25:$BK$25,0)))*(I178-J178),0)</f>
        <v>57975.510526830112</v>
      </c>
      <c r="N178" s="369">
        <f t="shared" si="52"/>
        <v>321360.12231364474</v>
      </c>
      <c r="O178" s="370">
        <f t="shared" si="47"/>
        <v>141023.62005153651</v>
      </c>
      <c r="Q178" s="812">
        <f t="shared" si="48"/>
        <v>0</v>
      </c>
      <c r="R178" s="785">
        <f t="shared" si="49"/>
        <v>2.2619469750000292</v>
      </c>
      <c r="S178" s="788">
        <f t="shared" si="50"/>
        <v>18.701777589300036</v>
      </c>
    </row>
    <row r="179" spans="1:19" x14ac:dyDescent="0.25">
      <c r="B179" s="375">
        <f t="shared" si="51"/>
        <v>2044</v>
      </c>
      <c r="C179" s="401">
        <f>MAX(TREND(C158:C159,B158:B159,B179),0)</f>
        <v>22910283.5</v>
      </c>
      <c r="D179" s="402">
        <f>MAX(TREND(D158:D159,B158:B159,B179),0)</f>
        <v>20339479</v>
      </c>
      <c r="E179" s="725">
        <f>MAX(TREND(E158:E159,B158:B159,B179),0)</f>
        <v>0</v>
      </c>
      <c r="F179" s="726">
        <f>MAX(TREND(F158:F159,B158:B159,B179),0)</f>
        <v>0</v>
      </c>
      <c r="G179" s="725">
        <f>MAX(TREND(G158:G159,B158:B159,B179),0)</f>
        <v>6.8730850500000145</v>
      </c>
      <c r="H179" s="726">
        <f>MAX(TREND(H158:H159,B158:B159,B179),0)</f>
        <v>4.576382774999999</v>
      </c>
      <c r="I179" s="725">
        <f>MAX(TREND(I158:I159,B158:B159,B179),0)</f>
        <v>56.826667193399999</v>
      </c>
      <c r="J179" s="726">
        <f>MAX(TREND(J158:J159,B158:B159,B179),0)</f>
        <v>37.837532783700112</v>
      </c>
      <c r="K179" s="729">
        <f>IFERROR(IF(INDEX(SafetyGroup,A152,1)=Hwy,FatValue,INDEX(PARAMETERS!$BH$26:$BK$28,1,MATCH(INDEX(SafetyGroup,A152,1),PARAMETERS!$BH$25:$BK$25,0)))*(E179-F179),0)</f>
        <v>0</v>
      </c>
      <c r="L179" s="730">
        <f>IFERROR(IF(INDEX(SafetyGroup,A152,1)=Hwy,SUMPRODUCT(PARAMETERS!$E$64:$E$66,PARAMETERS!$BC$12:$BC$14),INDEX(PARAMETERS!$BH$26:$BK$28,2,MATCH(INDEX(SafetyGroup,A152,1),PARAMETERS!$BH$25:$BK$25,0)))*(G179-H179),0)</f>
        <v>267431.572789528</v>
      </c>
      <c r="M179" s="802">
        <f>IFERROR(IF(INDEX(SafetyGroup,A152,1)=Hwy,NoInjValue,INDEX(PARAMETERS!$BH$26:$BK$28,3,MATCH(INDEX(SafetyGroup,A152,1),PARAMETERS!$BH$25:$BK$25,0)))*(I179-J179),0)</f>
        <v>58866.316670069646</v>
      </c>
      <c r="N179" s="369">
        <f t="shared" si="52"/>
        <v>326297.88945959765</v>
      </c>
      <c r="O179" s="370">
        <f t="shared" si="47"/>
        <v>137683.15211020017</v>
      </c>
      <c r="Q179" s="812">
        <f t="shared" si="48"/>
        <v>0</v>
      </c>
      <c r="R179" s="785">
        <f t="shared" si="49"/>
        <v>2.2967022750000154</v>
      </c>
      <c r="S179" s="788">
        <f t="shared" si="50"/>
        <v>18.989134409699886</v>
      </c>
    </row>
    <row r="180" spans="1:19" x14ac:dyDescent="0.25">
      <c r="B180" s="375">
        <f t="shared" si="51"/>
        <v>2045</v>
      </c>
      <c r="C180" s="401">
        <f>MAX(TREND(C158:C159,B158:B159,B180),0)</f>
        <v>23158684.25</v>
      </c>
      <c r="D180" s="402">
        <f>MAX(TREND(D158:D159,B158:B159,B180),0)</f>
        <v>20516212</v>
      </c>
      <c r="E180" s="725">
        <f>MAX(TREND(E158:E159,B158:B159,B180),0)</f>
        <v>0</v>
      </c>
      <c r="F180" s="726">
        <f>MAX(TREND(F158:F159,B158:B159,B180),0)</f>
        <v>0</v>
      </c>
      <c r="G180" s="725">
        <f>MAX(TREND(G158:G159,B158:B159,B180),0)</f>
        <v>6.9476052750000292</v>
      </c>
      <c r="H180" s="726">
        <f>MAX(TREND(H158:H159,B158:B159,B180),0)</f>
        <v>4.6161476999999991</v>
      </c>
      <c r="I180" s="725">
        <f>MAX(TREND(I158:I159,B158:B159,B180),0)</f>
        <v>57.44280041370007</v>
      </c>
      <c r="J180" s="726">
        <f>MAX(TREND(J158:J159,B158:B159,B180),0)</f>
        <v>38.166309183600106</v>
      </c>
      <c r="K180" s="729">
        <f>IFERROR(IF(INDEX(SafetyGroup,A152,1)=Hwy,FatValue,INDEX(PARAMETERS!$BH$26:$BK$28,1,MATCH(INDEX(SafetyGroup,A152,1),PARAMETERS!$BH$25:$BK$25,0)))*(E180-F180),0)</f>
        <v>0</v>
      </c>
      <c r="L180" s="730">
        <f>IFERROR(IF(INDEX(SafetyGroup,A152,1)=Hwy,SUMPRODUCT(PARAMETERS!$E$64:$E$66,PARAMETERS!$BC$12:$BC$14),INDEX(PARAMETERS!$BH$26:$BK$28,2,MATCH(INDEX(SafetyGroup,A152,1),PARAMETERS!$BH$25:$BK$25,0)))*(G180-H180),0)</f>
        <v>271478.53379224474</v>
      </c>
      <c r="M180" s="802">
        <f>IFERROR(IF(INDEX(SafetyGroup,A152,1)=Hwy,NoInjValue,INDEX(PARAMETERS!$BH$26:$BK$28,3,MATCH(INDEX(SafetyGroup,A152,1),PARAMETERS!$BH$25:$BK$25,0)))*(I180-J180),0)</f>
        <v>59757.122813309892</v>
      </c>
      <c r="N180" s="369">
        <f t="shared" si="52"/>
        <v>331235.65660555463</v>
      </c>
      <c r="O180" s="370">
        <f t="shared" si="47"/>
        <v>134391.02841871453</v>
      </c>
      <c r="Q180" s="812">
        <f t="shared" si="48"/>
        <v>0</v>
      </c>
      <c r="R180" s="785">
        <f t="shared" si="49"/>
        <v>2.3314575750000301</v>
      </c>
      <c r="S180" s="788">
        <f t="shared" si="50"/>
        <v>19.276491230099964</v>
      </c>
    </row>
    <row r="181" spans="1:19" x14ac:dyDescent="0.25">
      <c r="B181" s="385"/>
      <c r="C181" s="386"/>
      <c r="D181" s="386"/>
      <c r="E181" s="386"/>
      <c r="F181" s="386"/>
      <c r="G181" s="388"/>
      <c r="H181" s="388"/>
      <c r="I181" s="388"/>
      <c r="J181" s="388"/>
      <c r="K181" s="388"/>
      <c r="L181" s="388"/>
      <c r="M181" s="388"/>
      <c r="N181" s="388"/>
      <c r="O181" s="389"/>
      <c r="Q181" s="390"/>
      <c r="R181" s="390"/>
    </row>
    <row r="182" spans="1:19" x14ac:dyDescent="0.25">
      <c r="B182" s="407" t="s">
        <v>56</v>
      </c>
      <c r="C182" s="413"/>
      <c r="D182" s="414"/>
      <c r="E182" s="414"/>
      <c r="F182" s="414"/>
      <c r="G182" s="414"/>
      <c r="H182" s="414"/>
      <c r="I182" s="414"/>
      <c r="J182" s="414"/>
      <c r="K182" s="414"/>
      <c r="L182" s="414"/>
      <c r="M182" s="415"/>
      <c r="N182" s="414"/>
      <c r="O182" s="409">
        <f>SUM(O161:O180)</f>
        <v>3358156.7527588308</v>
      </c>
      <c r="Q182" s="411">
        <f>SUM(Q161:Q180)</f>
        <v>0</v>
      </c>
      <c r="R182" s="411">
        <f>SUM(R161:R180)</f>
        <v>40.025644500000368</v>
      </c>
      <c r="S182" s="411">
        <f>SUM(S161:S180)</f>
        <v>330.9320287259992</v>
      </c>
    </row>
    <row r="183" spans="1:19" x14ac:dyDescent="0.25">
      <c r="B183" s="2"/>
      <c r="C183" s="418"/>
      <c r="D183" s="2"/>
      <c r="E183" s="2"/>
      <c r="F183" s="2"/>
      <c r="G183" s="2"/>
      <c r="H183" s="2"/>
      <c r="I183" s="2"/>
      <c r="J183" s="2"/>
      <c r="K183" s="2"/>
      <c r="L183" s="2"/>
      <c r="M183" s="2"/>
      <c r="N183" s="2"/>
      <c r="O183" s="2"/>
    </row>
    <row r="184" spans="1:19" x14ac:dyDescent="0.25">
      <c r="A184" s="1">
        <f>MAX($A$1:A183)+1</f>
        <v>6</v>
      </c>
      <c r="B184" s="319" t="str">
        <f>IF(ISBLANK(INDEX(SafetyModelGroup,A184,1)),"Not Used",INDEX(SafetyModelGroup,A184,1))</f>
        <v>SB Mainline</v>
      </c>
      <c r="C184" s="2"/>
      <c r="D184" s="2"/>
      <c r="E184" s="2"/>
      <c r="F184" s="2"/>
      <c r="G184" s="2"/>
      <c r="H184" s="2"/>
      <c r="I184" s="2"/>
      <c r="J184" s="2"/>
      <c r="K184" s="320"/>
      <c r="L184" s="320"/>
      <c r="M184" s="2"/>
      <c r="N184" s="2"/>
      <c r="O184" s="2"/>
    </row>
    <row r="185" spans="1:19" x14ac:dyDescent="0.25">
      <c r="B185" s="2"/>
      <c r="C185" s="1787"/>
      <c r="D185" s="1787"/>
      <c r="E185" s="831"/>
      <c r="F185" s="831"/>
      <c r="G185" s="831"/>
      <c r="H185" s="831"/>
      <c r="I185" s="831"/>
      <c r="J185" s="831"/>
      <c r="K185" s="831"/>
      <c r="L185" s="831"/>
      <c r="M185" s="831"/>
      <c r="N185" s="2"/>
      <c r="O185" s="149"/>
    </row>
    <row r="186" spans="1:19" ht="15.75" x14ac:dyDescent="0.25">
      <c r="B186" s="322"/>
      <c r="C186" s="325" t="s">
        <v>271</v>
      </c>
      <c r="D186" s="326"/>
      <c r="E186" s="325" t="s">
        <v>304</v>
      </c>
      <c r="F186" s="326"/>
      <c r="G186" s="325" t="s">
        <v>305</v>
      </c>
      <c r="H186" s="324"/>
      <c r="I186" s="323" t="s">
        <v>306</v>
      </c>
      <c r="J186" s="326"/>
      <c r="K186" s="327" t="s">
        <v>307</v>
      </c>
      <c r="L186" s="323"/>
      <c r="M186" s="328"/>
      <c r="N186" s="329"/>
      <c r="O186" s="330"/>
      <c r="Q186" s="331" t="s">
        <v>308</v>
      </c>
      <c r="R186" s="791"/>
      <c r="S186" s="792"/>
    </row>
    <row r="187" spans="1:19" x14ac:dyDescent="0.25">
      <c r="B187" s="335"/>
      <c r="C187" s="338" t="s">
        <v>274</v>
      </c>
      <c r="D187" s="339"/>
      <c r="E187" s="338" t="s">
        <v>309</v>
      </c>
      <c r="F187" s="339"/>
      <c r="G187" s="338" t="s">
        <v>309</v>
      </c>
      <c r="H187" s="337"/>
      <c r="I187" s="336" t="s">
        <v>309</v>
      </c>
      <c r="J187" s="339"/>
      <c r="K187" s="340" t="s">
        <v>203</v>
      </c>
      <c r="L187" s="336"/>
      <c r="M187" s="341"/>
      <c r="N187" s="342"/>
      <c r="O187" s="343"/>
      <c r="Q187" s="784" t="s">
        <v>309</v>
      </c>
      <c r="R187" s="450"/>
      <c r="S187" s="451"/>
    </row>
    <row r="188" spans="1:19" x14ac:dyDescent="0.25">
      <c r="B188" s="77" t="s">
        <v>34</v>
      </c>
      <c r="C188" s="348"/>
      <c r="D188" s="349"/>
      <c r="E188" s="348"/>
      <c r="F188" s="349"/>
      <c r="G188" s="723"/>
      <c r="H188" s="349"/>
      <c r="I188" s="348"/>
      <c r="J188" s="349"/>
      <c r="K188" s="350" t="s">
        <v>312</v>
      </c>
      <c r="L188" s="348" t="s">
        <v>313</v>
      </c>
      <c r="M188" s="349" t="s">
        <v>314</v>
      </c>
      <c r="N188" s="351" t="s">
        <v>208</v>
      </c>
      <c r="O188" s="347" t="s">
        <v>39</v>
      </c>
      <c r="Q188" s="793"/>
      <c r="R188" s="797"/>
      <c r="S188" s="795"/>
    </row>
    <row r="189" spans="1:19" x14ac:dyDescent="0.25">
      <c r="B189" s="355"/>
      <c r="C189" s="356" t="s">
        <v>74</v>
      </c>
      <c r="D189" s="357" t="s">
        <v>125</v>
      </c>
      <c r="E189" s="356" t="s">
        <v>74</v>
      </c>
      <c r="F189" s="357" t="s">
        <v>125</v>
      </c>
      <c r="G189" s="724" t="s">
        <v>74</v>
      </c>
      <c r="H189" s="357" t="s">
        <v>125</v>
      </c>
      <c r="I189" s="356" t="s">
        <v>74</v>
      </c>
      <c r="J189" s="357" t="s">
        <v>125</v>
      </c>
      <c r="K189" s="358" t="s">
        <v>47</v>
      </c>
      <c r="L189" s="356" t="s">
        <v>47</v>
      </c>
      <c r="M189" s="357" t="s">
        <v>47</v>
      </c>
      <c r="N189" s="359" t="s">
        <v>48</v>
      </c>
      <c r="O189" s="360" t="s">
        <v>49</v>
      </c>
      <c r="Q189" s="794" t="s">
        <v>310</v>
      </c>
      <c r="R189" s="798" t="s">
        <v>311</v>
      </c>
      <c r="S189" s="796" t="s">
        <v>97</v>
      </c>
    </row>
    <row r="190" spans="1:19" x14ac:dyDescent="0.25">
      <c r="B190" s="363">
        <f>SafetyYearFirst</f>
        <v>2026</v>
      </c>
      <c r="C190" s="364">
        <f>INDEX(SafetyData1NB,A184,1)*AnnualFactor</f>
        <v>17745205</v>
      </c>
      <c r="D190" s="365">
        <f>INDEX(SafetyData1B,A184,1)*AnnualFactor</f>
        <v>15841365</v>
      </c>
      <c r="E190" s="1019" cm="1">
        <f t="array" ref="E190">IFERROR(IF(_xlfn.SINGLE(INDEX(SafetyGroup,A184,1))=Hwy,_xlfn.SINGLE(INDEX(SafetyData1NB,A184,5))*IF(ProjLoc=3,PARAMETERS!$BB$26,PARAMETERS!$AZ$26),_xlfn.SINGLE(INDEX(SafetyData1NB,A184,1))*INDEX(PARAMETERS!$BH$12:$BK$14/10^6,1,MATCH(_xlfn.SINGLE(INDEX(SafetyGroup,A184,1)),PARAMETERS!$BH$11:$BK$11,0)))*AnnualFactor,0)</f>
        <v>0.28321347180000001</v>
      </c>
      <c r="F190" s="1020" cm="1">
        <f t="array" ref="F190">IFERROR(IF(_xlfn.SINGLE(INDEX(SafetyGroup,A184,1))=Hwy,_xlfn.SINGLE(INDEX(SafetyData1B,A184,5))*IF(ProjLoc=3,PARAMETERS!$BB$26,PARAMETERS!$AZ$26),_xlfn.SINGLE(INDEX(SafetyData1B,A184,1))*INDEX(PARAMETERS!$BH$12:$BK$14/10^6,1,MATCH(_xlfn.SINGLE(INDEX(SafetyGroup,A184,1)),PARAMETERS!$BH$11:$BK$11,0))*(1-_xlfn.SINGLE(INDEX(SafetyGroup,A184,6))))*AnnualFactor,0)</f>
        <v>0.18962113904999997</v>
      </c>
      <c r="G190" s="1019" cm="1">
        <f t="array" ref="G190">IFERROR(IF(_xlfn.SINGLE(INDEX(SafetyGroup,A184,1))=Hwy,(_xlfn.SINGLE(INDEX(SafetyData1NB,A184,5))*IF(ProjLoc=3,PARAMETERS!$BB$33,PARAMETERS!$AZ$33)+_xlfn.SINGLE(INDEX(SafetyData1NB,A184,6))*IF(ProjLoc=3,PARAMETERS!$BB$34,PARAMETERS!$AZ$34)),_xlfn.SINGLE(INDEX(SafetyData1NB,A184,1))*INDEX(PARAMETERS!$BH$12:$BK$14/10^6,2,MATCH(_xlfn.SINGLE(INDEX(SafetyGroup,A184,1)),PARAMETERS!$BH$11:$BK$11,0)))*AnnualFactor,0)</f>
        <v>6.1341624644000001</v>
      </c>
      <c r="H190" s="1020" cm="1">
        <f t="array" ref="H190">IFERROR(IF(_xlfn.SINGLE(INDEX(SafetyGroup,A184,1))=Hwy,(_xlfn.SINGLE(INDEX(SafetyData1B,A184,5))*IF(ProjLoc=3,PARAMETERS!$BB$33,PARAMETERS!$AZ$33)+_xlfn.SINGLE(INDEX(SafetyData1B,A184,6))*IF(ProjLoc=3,PARAMETERS!$BB$34,PARAMETERS!$AZ$34)),_xlfn.SINGLE(INDEX(SafetyData1B,A184,1))*INDEX(PARAMETERS!$BH$12:$BK$14/10^6,2,MATCH(_xlfn.SINGLE(INDEX(SafetyGroup,A184,1)),PARAMETERS!$BH$11:$BK$11,0))*(1-_xlfn.SINGLE(INDEX(SafetyGroup,A184,7))))*AnnualFactor,0)</f>
        <v>4.1070322899000002</v>
      </c>
      <c r="I190" s="1019" cm="1">
        <f t="array" ref="I190">IFERROR(IF(_xlfn.SINGLE(INDEX(SafetyGroup,A184,1))=Hwy,(_xlfn.SINGLE(INDEX(SafetyData1NB,A184,5))*IF(ProjLoc=3,PARAMETERS!$BB$41,PARAMETERS!$AZ$41)+_xlfn.SINGLE(INDEX(SafetyData1NB,A184,6))*IF(ProjLoc=3,PARAMETERS!$BB$42,PARAMETERS!$AZ$42)+_xlfn.SINGLE(INDEX(SafetyData1NB,A184,7))*IF(ProjLoc=3,PARAMETERS!$BB$43,PARAMETERS!$AZ$43)*2),_xlfn.SINGLE(INDEX(SafetyData1NB,A184,1))*INDEX(PARAMETERS!$BH$12:$BK$14/10^6,3,MATCH(_xlfn.SINGLE(INDEX(SafetyGroup,A184,1)),PARAMETERS!$BH$11:$BK$11,0)))*AnnualFactor,0)</f>
        <v>44.407730416600003</v>
      </c>
      <c r="J190" s="1020" cm="1">
        <f t="array" ref="J190">IFERROR(IF(_xlfn.SINGLE(INDEX(SafetyGroup,A184,1))=Hwy,(_xlfn.SINGLE(INDEX(SafetyData1B,A184,5))*IF(ProjLoc=3,PARAMETERS!$BB$41,PARAMETERS!$AZ$41)+_xlfn.SINGLE(INDEX(SafetyData1B,A184,6))*IF(ProjLoc=3,PARAMETERS!$BB$42,PARAMETERS!$AZ$42)+_xlfn.SINGLE(INDEX(SafetyData1B,A184,7))*IF(ProjLoc=3,PARAMETERS!$BB$43,PARAMETERS!$AZ$43)*2),_xlfn.SINGLE(INDEX(SafetyData1B,A184,1))*INDEX(PARAMETERS!$BH$12:$BK$14/10^6,3,MATCH(_xlfn.SINGLE(INDEX(SafetyGroup,A184,1)),PARAMETERS!$BH$11:$BK$11,0))*(1-_xlfn.SINGLE(INDEX(SafetyGroup,A184,8))))*AnnualFactor,0)</f>
        <v>29.732499554850005</v>
      </c>
      <c r="K190" s="367">
        <f>IFERROR(IF(INDEX(SafetyGroup,A184,1)=Hwy,FatValue,INDEX(PARAMETERS!$BH$26:$BK$28,1,MATCH(INDEX(SafetyGroup,A184,1),PARAMETERS!$BH$25:$BK$25,0)))*(E190-F190),0)</f>
        <v>1104389.5264500005</v>
      </c>
      <c r="L190" s="701">
        <f>IFERROR(IF(INDEX(SafetyGroup,A184,1)=Hwy,SUMPRODUCT(PARAMETERS!$E$64:$E$66,PARAMETERS!$BC$12:$BC$14),INDEX(PARAMETERS!$BH$26:$BK$28,2,MATCH(INDEX(SafetyGroup,A184,1),PARAMETERS!$BH$25:$BK$25,0)))*(G190-H190),0)</f>
        <v>236042.17957055045</v>
      </c>
      <c r="M190" s="832">
        <f>IFERROR(IF(INDEX(SafetyGroup,A184,1)=Hwy,NoInjValue,INDEX(PARAMETERS!$BH$26:$BK$28,3,MATCH(INDEX(SafetyGroup,A184,1),PARAMETERS!$BH$25:$BK$25,0)))*(I190-J190),0)</f>
        <v>45493.215671424994</v>
      </c>
      <c r="N190" s="369">
        <f>SUM(K190:M190)</f>
        <v>1385924.9216919758</v>
      </c>
      <c r="O190" s="370">
        <f>N190/(1+DiscRate)^(B190-YearCurrent)</f>
        <v>1184694.4315148452</v>
      </c>
      <c r="Q190" s="809">
        <f>E190-F190</f>
        <v>9.3592332750000035E-2</v>
      </c>
      <c r="R190" s="786">
        <f>G190-H190</f>
        <v>2.0271301744999999</v>
      </c>
      <c r="S190" s="787">
        <f>I190-J190</f>
        <v>14.675230861749998</v>
      </c>
    </row>
    <row r="191" spans="1:19" x14ac:dyDescent="0.25">
      <c r="B191" s="379">
        <f>SafetyYearLast</f>
        <v>2046</v>
      </c>
      <c r="C191" s="380">
        <f>INDEX(SafetyData20NB,A184,1)*AnnualFactor</f>
        <v>22525610</v>
      </c>
      <c r="D191" s="381">
        <f>INDEX(SafetyData20B,A184,1)*AnnualFactor</f>
        <v>19454865</v>
      </c>
      <c r="E191" s="1021" cm="1">
        <f t="array" ref="E191">IFERROR(IF(_xlfn.SINGLE(INDEX(SafetyGroup,A184,1))=Hwy,_xlfn.SINGLE(INDEX(SafetyData20NB,A184,5))*IF(ProjLoc=3,PARAMETERS!$BB$26,PARAMETERS!$AZ$26),_xlfn.SINGLE(INDEX(SafetyData20NB,A184,1))*INDEX(PARAMETERS!$BH$12:$BK$14/10^6,1,MATCH(_xlfn.SINGLE(INDEX(SafetyGroup,A184,1)),PARAMETERS!$BH$11:$BK$11,0)))*AnnualFactor,0)</f>
        <v>0.35950873560000002</v>
      </c>
      <c r="F191" s="1022" cm="1">
        <f t="array" ref="F191">IFERROR(IF(_xlfn.SINGLE(INDEX(SafetyGroup,A184,1))=Hwy,_xlfn.SINGLE(INDEX(SafetyData20B,A184,5))*IF(ProjLoc=3,PARAMETERS!$BB$26,PARAMETERS!$AZ$26),_xlfn.SINGLE(INDEX(SafetyData20B,A184,1))*INDEX(PARAMETERS!$BH$12:$BK$14/10^6,1,MATCH(_xlfn.SINGLE(INDEX(SafetyGroup,A184,1)),PARAMETERS!$BH$11:$BK$11,0))*(1-_xlfn.SINGLE(INDEX(SafetyGroup,A184,6))))*AnnualFactor,0)</f>
        <v>0.23287473405</v>
      </c>
      <c r="G191" s="1021" cm="1">
        <f t="array" ref="G191">IFERROR(IF(_xlfn.SINGLE(INDEX(SafetyGroup,A184,1))=Hwy,(_xlfn.SINGLE(INDEX(SafetyData20NB,A184,5))*IF(ProjLoc=3,PARAMETERS!$BB$33,PARAMETERS!$AZ$33)+_xlfn.SINGLE(INDEX(SafetyData20NB,A184,6))*IF(ProjLoc=3,PARAMETERS!$BB$34,PARAMETERS!$AZ$34)),_xlfn.SINGLE(INDEX(SafetyData20NB,A184,1))*INDEX(PARAMETERS!$BH$12:$BK$14/10^6,2,MATCH(_xlfn.SINGLE(INDEX(SafetyGroup,A184,1)),PARAMETERS!$BH$11:$BK$11,0)))*AnnualFactor,0)</f>
        <v>7.7866528647999997</v>
      </c>
      <c r="H191" s="1022" cm="1">
        <f t="array" ref="H191">IFERROR(IF(_xlfn.SINGLE(INDEX(SafetyGroup,A184,1))=Hwy,(_xlfn.SINGLE(INDEX(SafetyData20B,A184,5))*IF(ProjLoc=3,PARAMETERS!$BB$33,PARAMETERS!$AZ$33)+_xlfn.SINGLE(INDEX(SafetyData20B,A184,6))*IF(ProjLoc=3,PARAMETERS!$BB$34,PARAMETERS!$AZ$34)),_xlfn.SINGLE(INDEX(SafetyData20B,A184,1))*INDEX(PARAMETERS!$BH$12:$BK$14/10^6,2,MATCH(_xlfn.SINGLE(INDEX(SafetyGroup,A184,1)),PARAMETERS!$BH$11:$BK$11,0))*(1-_xlfn.SINGLE(INDEX(SafetyGroup,A184,7))))*AnnualFactor,0)</f>
        <v>5.0438682998999997</v>
      </c>
      <c r="I191" s="1021" cm="1">
        <f t="array" ref="I191">IFERROR(IF(_xlfn.SINGLE(INDEX(SafetyGroup,A184,1))=Hwy,(_xlfn.SINGLE(INDEX(SafetyData20NB,A184,5))*IF(ProjLoc=3,PARAMETERS!$BB$41,PARAMETERS!$AZ$41)+_xlfn.SINGLE(INDEX(SafetyData20NB,A184,6))*IF(ProjLoc=3,PARAMETERS!$BB$42,PARAMETERS!$AZ$42)+_xlfn.SINGLE(INDEX(SafetyData20NB,A184,7))*IF(ProjLoc=3,PARAMETERS!$BB$43,PARAMETERS!$AZ$43)*2),_xlfn.SINGLE(INDEX(SafetyData20NB,A184,1))*INDEX(PARAMETERS!$BH$12:$BK$14/10^6,3,MATCH(_xlfn.SINGLE(INDEX(SafetyGroup,A184,1)),PARAMETERS!$BH$11:$BK$11,0)))*AnnualFactor,0)</f>
        <v>56.370789537200011</v>
      </c>
      <c r="J191" s="1022" cm="1">
        <f t="array" ref="J191">IFERROR(IF(_xlfn.SINGLE(INDEX(SafetyGroup,A184,1))=Hwy,(_xlfn.SINGLE(INDEX(SafetyData20B,A184,5))*IF(ProjLoc=3,PARAMETERS!$BB$41,PARAMETERS!$AZ$41)+_xlfn.SINGLE(INDEX(SafetyData20B,A184,6))*IF(ProjLoc=3,PARAMETERS!$BB$42,PARAMETERS!$AZ$42)+_xlfn.SINGLE(INDEX(SafetyData20B,A184,7))*IF(ProjLoc=3,PARAMETERS!$BB$43,PARAMETERS!$AZ$43)*2),_xlfn.SINGLE(INDEX(SafetyData20B,A184,1))*INDEX(PARAMETERS!$BH$12:$BK$14/10^6,3,MATCH(_xlfn.SINGLE(INDEX(SafetyGroup,A184,1)),PARAMETERS!$BH$11:$BK$11,0))*(1-_xlfn.SINGLE(INDEX(SafetyGroup,A184,8))))*AnnualFactor,0)</f>
        <v>36.514641569850006</v>
      </c>
      <c r="K191" s="782">
        <f>IFERROR(IF(INDEX(SafetyGroup,A184,1)=Hwy,FatValue,INDEX(PARAMETERS!$BH$26:$BK$28,1,MATCH(INDEX(SafetyGroup,A184,1),PARAMETERS!$BH$25:$BK$25,0)))*(E191-F191),0)</f>
        <v>1494281.2182900002</v>
      </c>
      <c r="L191" s="833">
        <f>IFERROR(IF(INDEX(SafetyGroup,A184,1)=Hwy,SUMPRODUCT(PARAMETERS!$E$64:$E$66,PARAMETERS!$BC$12:$BC$14),INDEX(PARAMETERS!$BH$26:$BK$28,2,MATCH(INDEX(SafetyGroup,A184,1),PARAMETERS!$BH$25:$BK$25,0)))*(G191-H191),0)</f>
        <v>319374.08605303155</v>
      </c>
      <c r="M191" s="830">
        <f>IFERROR(IF(INDEX(SafetyGroup,A184,1)=Hwy,NoInjValue,INDEX(PARAMETERS!$BH$26:$BK$28,3,MATCH(INDEX(SafetyGroup,A184,1),PARAMETERS!$BH$25:$BK$25,0)))*(I191-J191),0)</f>
        <v>61554.058698785011</v>
      </c>
      <c r="N191" s="369">
        <f>SUM(K191:M191)</f>
        <v>1875209.3630418167</v>
      </c>
      <c r="O191" s="370">
        <f>N191/(1+DiscRate)^(B191-YearCurrent)</f>
        <v>731559.44141377625</v>
      </c>
      <c r="Q191" s="810">
        <f>E191-F191</f>
        <v>0.12663400155000001</v>
      </c>
      <c r="R191" s="789">
        <f>G191-H191</f>
        <v>2.7427845649</v>
      </c>
      <c r="S191" s="790">
        <f>I191-J191</f>
        <v>19.856147967350005</v>
      </c>
    </row>
    <row r="192" spans="1:19" x14ac:dyDescent="0.25">
      <c r="B192" s="385"/>
      <c r="C192" s="388"/>
      <c r="D192" s="388"/>
      <c r="E192" s="388"/>
      <c r="F192" s="388"/>
      <c r="G192" s="434"/>
      <c r="H192" s="434"/>
      <c r="I192" s="434"/>
      <c r="J192" s="434"/>
      <c r="K192" s="388"/>
      <c r="L192" s="388"/>
      <c r="M192" s="388"/>
      <c r="N192" s="388"/>
      <c r="O192" s="389"/>
      <c r="Q192" s="391"/>
      <c r="R192" s="391"/>
      <c r="S192" s="391"/>
    </row>
    <row r="193" spans="2:19" x14ac:dyDescent="0.25">
      <c r="B193" s="375">
        <f>YearOpen</f>
        <v>2026</v>
      </c>
      <c r="C193" s="401">
        <f>MAX(TREND(C190:C191,B190:B191,B193),0)</f>
        <v>17745205</v>
      </c>
      <c r="D193" s="402">
        <f>MAX(TREND(D190:D191,B190:B191,B193),0)</f>
        <v>15841365</v>
      </c>
      <c r="E193" s="725">
        <f>MAX(TREND(E190:E191,B190:B191,B193),0)</f>
        <v>0.28321347179999989</v>
      </c>
      <c r="F193" s="726">
        <f>MAX(TREND(F190:F191,B190:B191,B193),0)</f>
        <v>0.18962113905000066</v>
      </c>
      <c r="G193" s="725">
        <f>MAX(TREND(G190:G191,B190:B191,B193),0)</f>
        <v>6.1341624644000206</v>
      </c>
      <c r="H193" s="726">
        <f>MAX(TREND(H190:H191,B190:B191,B193),0)</f>
        <v>4.1070322898999905</v>
      </c>
      <c r="I193" s="725">
        <f>MAX(TREND(I190:I191,B190:B191,B193),0)</f>
        <v>44.407730416600089</v>
      </c>
      <c r="J193" s="726">
        <f>MAX(TREND(J190:J191,B190:B191,B193),0)</f>
        <v>29.732499554849937</v>
      </c>
      <c r="K193" s="729">
        <f>IFERROR(IF(INDEX(SafetyGroup,A184,1)=Hwy,FatValue,INDEX(PARAMETERS!$BH$26:$BK$28,1,MATCH(INDEX(SafetyGroup,A184,1),PARAMETERS!$BH$25:$BK$25,0)))*(E193-F193),0)</f>
        <v>1104389.5264499909</v>
      </c>
      <c r="L193" s="728">
        <f>IFERROR(IF(INDEX(SafetyGroup,A184,1)=Hwy,SUMPRODUCT(PARAMETERS!$E$64:$E$66,PARAMETERS!$BC$12:$BC$14),INDEX(PARAMETERS!$BH$26:$BK$28,2,MATCH(INDEX(SafetyGroup,A184,1),PARAMETERS!$BH$25:$BK$25,0)))*(G193-H193),0)</f>
        <v>236042.17957055394</v>
      </c>
      <c r="M193" s="802">
        <f>IFERROR(IF(INDEX(SafetyGroup,A184,1)=Hwy,NoInjValue,INDEX(PARAMETERS!$BH$26:$BK$28,3,MATCH(INDEX(SafetyGroup,A184,1),PARAMETERS!$BH$25:$BK$25,0)))*(I193-J193),0)</f>
        <v>45493.215671425467</v>
      </c>
      <c r="N193" s="369">
        <f>SUM(K193:M193)</f>
        <v>1385924.9216919702</v>
      </c>
      <c r="O193" s="370">
        <f t="shared" ref="O193:O212" si="53">N193/(1+DiscRate)^(B193-YearCurrent)</f>
        <v>1184694.4315148406</v>
      </c>
      <c r="Q193" s="811">
        <f>E193-F193</f>
        <v>9.359233274999923E-2</v>
      </c>
      <c r="R193" s="786">
        <f>G193-H193</f>
        <v>2.0271301745000301</v>
      </c>
      <c r="S193" s="787">
        <f>I193-J193</f>
        <v>14.675230861750151</v>
      </c>
    </row>
    <row r="194" spans="2:19" x14ac:dyDescent="0.25">
      <c r="B194" s="375">
        <f>B193+1</f>
        <v>2027</v>
      </c>
      <c r="C194" s="401">
        <f>MAX(TREND(C190:C191,B190:B191,B194),0)</f>
        <v>17984225.25</v>
      </c>
      <c r="D194" s="402">
        <f>MAX(TREND(D190:D191,B190:B191,B194),0)</f>
        <v>16022040</v>
      </c>
      <c r="E194" s="725">
        <f>MAX(TREND(E190:E191,B190:B191,B194),0)</f>
        <v>0.28702823499000019</v>
      </c>
      <c r="F194" s="726">
        <f>MAX(TREND(F190:F191,B190:B191,B194),0)</f>
        <v>0.19178381880000028</v>
      </c>
      <c r="G194" s="725">
        <f>MAX(TREND(G190:G191,B190:B191,B194),0)</f>
        <v>6.2167869844200254</v>
      </c>
      <c r="H194" s="726">
        <f>MAX(TREND(H190:H191,B190:B191,B194),0)</f>
        <v>4.1538740903999951</v>
      </c>
      <c r="I194" s="725">
        <f>MAX(TREND(I190:I191,B190:B191,B194),0)</f>
        <v>45.005883372630024</v>
      </c>
      <c r="J194" s="726">
        <f>MAX(TREND(J190:J191,B190:B191,B194),0)</f>
        <v>30.071606655600021</v>
      </c>
      <c r="K194" s="729">
        <f>IFERROR(IF(INDEX(SafetyGroup,A184,1)=Hwy,FatValue,INDEX(PARAMETERS!$BH$26:$BK$28,1,MATCH(INDEX(SafetyGroup,A184,1),PARAMETERS!$BH$25:$BK$25,0)))*(E194-F194),0)</f>
        <v>1123884.111041999</v>
      </c>
      <c r="L194" s="730">
        <f>IFERROR(IF(INDEX(SafetyGroup,A184,1)=Hwy,SUMPRODUCT(PARAMETERS!$E$64:$E$66,PARAMETERS!$BC$12:$BC$14),INDEX(PARAMETERS!$BH$26:$BK$28,2,MATCH(INDEX(SafetyGroup,A184,1),PARAMETERS!$BH$25:$BK$25,0)))*(G194-H194),0)</f>
        <v>240208.77489467803</v>
      </c>
      <c r="M194" s="802">
        <f>IFERROR(IF(INDEX(SafetyGroup,A184,1)=Hwy,NoInjValue,INDEX(PARAMETERS!$BH$26:$BK$28,3,MATCH(INDEX(SafetyGroup,A184,1),PARAMETERS!$BH$25:$BK$25,0)))*(I194-J194),0)</f>
        <v>46296.257822793006</v>
      </c>
      <c r="N194" s="369">
        <f>SUM(K194:M194)</f>
        <v>1410389.14375947</v>
      </c>
      <c r="O194" s="370">
        <f t="shared" si="53"/>
        <v>1159237.0683350202</v>
      </c>
      <c r="Q194" s="812">
        <f t="shared" ref="Q194:Q212" si="54">E194-F194</f>
        <v>9.5244416189999903E-2</v>
      </c>
      <c r="R194" s="785">
        <f t="shared" ref="R194:R212" si="55">G194-H194</f>
        <v>2.0629128940200303</v>
      </c>
      <c r="S194" s="788">
        <f t="shared" ref="S194:S212" si="56">I194-J194</f>
        <v>14.934276717030002</v>
      </c>
    </row>
    <row r="195" spans="2:19" x14ac:dyDescent="0.25">
      <c r="B195" s="375">
        <f t="shared" ref="B195:B212" si="57">B194+1</f>
        <v>2028</v>
      </c>
      <c r="C195" s="401">
        <f>MAX(TREND(C190:C191,B190:B191,B195),0)</f>
        <v>18223245.5</v>
      </c>
      <c r="D195" s="402">
        <f>MAX(TREND(D190:D191,B190:B191,B195),0)</f>
        <v>16202715</v>
      </c>
      <c r="E195" s="725">
        <f>MAX(TREND(E190:E191,B190:B191,B195),0)</f>
        <v>0.29084299818000048</v>
      </c>
      <c r="F195" s="726">
        <f>MAX(TREND(F190:F191,B190:B191,B195),0)</f>
        <v>0.1939464985499999</v>
      </c>
      <c r="G195" s="725">
        <f>MAX(TREND(G190:G191,B190:B191,B195),0)</f>
        <v>6.2994115044400019</v>
      </c>
      <c r="H195" s="726">
        <f>MAX(TREND(H190:H191,B190:B191,B195),0)</f>
        <v>4.2007158908999997</v>
      </c>
      <c r="I195" s="725">
        <f>MAX(TREND(I190:I191,B190:B191,B195),0)</f>
        <v>45.604036328659959</v>
      </c>
      <c r="J195" s="726">
        <f>MAX(TREND(J190:J191,B190:B191,B195),0)</f>
        <v>30.410713756349992</v>
      </c>
      <c r="K195" s="729">
        <f>IFERROR(IF(INDEX(SafetyGroup,A184,1)=Hwy,FatValue,INDEX(PARAMETERS!$BH$26:$BK$28,1,MATCH(INDEX(SafetyGroup,A184,1),PARAMETERS!$BH$25:$BK$25,0)))*(E195-F195),0)</f>
        <v>1143378.6956340068</v>
      </c>
      <c r="L195" s="730">
        <f>IFERROR(IF(INDEX(SafetyGroup,A184,1)=Hwy,SUMPRODUCT(PARAMETERS!$E$64:$E$66,PARAMETERS!$BC$12:$BC$14),INDEX(PARAMETERS!$BH$26:$BK$28,2,MATCH(INDEX(SafetyGroup,A184,1),PARAMETERS!$BH$25:$BK$25,0)))*(G195-H195),0)</f>
        <v>244375.37021879881</v>
      </c>
      <c r="M195" s="802">
        <f>IFERROR(IF(INDEX(SafetyGroup,A184,1)=Hwy,NoInjValue,INDEX(PARAMETERS!$BH$26:$BK$28,3,MATCH(INDEX(SafetyGroup,A184,1),PARAMETERS!$BH$25:$BK$25,0)))*(I195-J195),0)</f>
        <v>47099.299974160895</v>
      </c>
      <c r="N195" s="369">
        <f>SUM(K195:M195)</f>
        <v>1434853.3658269665</v>
      </c>
      <c r="O195" s="370">
        <f t="shared" si="53"/>
        <v>1133985.4573058423</v>
      </c>
      <c r="Q195" s="812">
        <f t="shared" si="54"/>
        <v>9.6896499630000577E-2</v>
      </c>
      <c r="R195" s="785">
        <f t="shared" si="55"/>
        <v>2.0986956135400021</v>
      </c>
      <c r="S195" s="788">
        <f t="shared" si="56"/>
        <v>15.193322572309967</v>
      </c>
    </row>
    <row r="196" spans="2:19" x14ac:dyDescent="0.25">
      <c r="B196" s="375">
        <f t="shared" si="57"/>
        <v>2029</v>
      </c>
      <c r="C196" s="401">
        <f>MAX(TREND(C190:C191,B190:B191,B196),0)</f>
        <v>18462265.75</v>
      </c>
      <c r="D196" s="402">
        <f>MAX(TREND(D190:D191,B190:B191,B196),0)</f>
        <v>16383390</v>
      </c>
      <c r="E196" s="725">
        <f>MAX(TREND(E190:E191,B190:B191,B196),0)</f>
        <v>0.29465776136999988</v>
      </c>
      <c r="F196" s="726">
        <f>MAX(TREND(F190:F191,B190:B191,B196),0)</f>
        <v>0.19610917830000041</v>
      </c>
      <c r="G196" s="725">
        <f>MAX(TREND(G190:G191,B190:B191,B196),0)</f>
        <v>6.3820360244600067</v>
      </c>
      <c r="H196" s="726">
        <f>MAX(TREND(H190:H191,B190:B191,B196),0)</f>
        <v>4.2475576913999902</v>
      </c>
      <c r="I196" s="725">
        <f>MAX(TREND(I190:I191,B190:B191,B196),0)</f>
        <v>46.202189284690121</v>
      </c>
      <c r="J196" s="726">
        <f>MAX(TREND(J190:J191,B190:B191,B196),0)</f>
        <v>30.749820857099962</v>
      </c>
      <c r="K196" s="729">
        <f>IFERROR(IF(INDEX(SafetyGroup,A184,1)=Hwy,FatValue,INDEX(PARAMETERS!$BH$26:$BK$28,1,MATCH(INDEX(SafetyGroup,A184,1),PARAMETERS!$BH$25:$BK$25,0)))*(E196-F196),0)</f>
        <v>1162873.2802259938</v>
      </c>
      <c r="L196" s="730">
        <f>IFERROR(IF(INDEX(SafetyGroup,A184,1)=Hwy,SUMPRODUCT(PARAMETERS!$E$64:$E$66,PARAMETERS!$BC$12:$BC$14),INDEX(PARAMETERS!$BH$26:$BK$28,2,MATCH(INDEX(SafetyGroup,A184,1),PARAMETERS!$BH$25:$BK$25,0)))*(G196-H196),0)</f>
        <v>248541.96554292453</v>
      </c>
      <c r="M196" s="802">
        <f>IFERROR(IF(INDEX(SafetyGroup,A184,1)=Hwy,NoInjValue,INDEX(PARAMETERS!$BH$26:$BK$28,3,MATCH(INDEX(SafetyGroup,A184,1),PARAMETERS!$BH$25:$BK$25,0)))*(I196-J196),0)</f>
        <v>47902.342125529489</v>
      </c>
      <c r="N196" s="369">
        <f t="shared" ref="N196:N212" si="58">SUM(K196:M196)</f>
        <v>1459317.5878944478</v>
      </c>
      <c r="O196" s="370">
        <f t="shared" si="53"/>
        <v>1108961.4301600584</v>
      </c>
      <c r="Q196" s="812">
        <f t="shared" si="54"/>
        <v>9.8548583069999474E-2</v>
      </c>
      <c r="R196" s="785">
        <f t="shared" si="55"/>
        <v>2.1344783330600166</v>
      </c>
      <c r="S196" s="788">
        <f t="shared" si="56"/>
        <v>15.452368427590159</v>
      </c>
    </row>
    <row r="197" spans="2:19" x14ac:dyDescent="0.25">
      <c r="B197" s="375">
        <f t="shared" si="57"/>
        <v>2030</v>
      </c>
      <c r="C197" s="401">
        <f>MAX(TREND(C190:C191,B190:B191,B197),0)</f>
        <v>18701286</v>
      </c>
      <c r="D197" s="402">
        <f>MAX(TREND(D190:D191,B190:B191,B197),0)</f>
        <v>16564065</v>
      </c>
      <c r="E197" s="725">
        <f>MAX(TREND(E190:E191,B190:B191,B197),0)</f>
        <v>0.29847252456000017</v>
      </c>
      <c r="F197" s="726">
        <f>MAX(TREND(F190:F191,B190:B191,B197),0)</f>
        <v>0.19827185805000003</v>
      </c>
      <c r="G197" s="725">
        <f>MAX(TREND(G190:G191,B190:B191,B197),0)</f>
        <v>6.4646605444800116</v>
      </c>
      <c r="H197" s="726">
        <f>MAX(TREND(H190:H191,B190:B191,B197),0)</f>
        <v>4.2943994918999948</v>
      </c>
      <c r="I197" s="725">
        <f>MAX(TREND(I190:I191,B190:B191,B197),0)</f>
        <v>46.800342240720056</v>
      </c>
      <c r="J197" s="726">
        <f>MAX(TREND(J190:J191,B190:B191,B197),0)</f>
        <v>31.088927957849933</v>
      </c>
      <c r="K197" s="729">
        <f>IFERROR(IF(INDEX(SafetyGroup,A184,1)=Hwy,FatValue,INDEX(PARAMETERS!$BH$26:$BK$28,1,MATCH(INDEX(SafetyGroup,A184,1),PARAMETERS!$BH$25:$BK$25,0)))*(E197-F197),0)</f>
        <v>1182367.8648180016</v>
      </c>
      <c r="L197" s="730">
        <f>IFERROR(IF(INDEX(SafetyGroup,A184,1)=Hwy,SUMPRODUCT(PARAMETERS!$E$64:$E$66,PARAMETERS!$BC$12:$BC$14),INDEX(PARAMETERS!$BH$26:$BK$28,2,MATCH(INDEX(SafetyGroup,A184,1),PARAMETERS!$BH$25:$BK$25,0)))*(G197-H197),0)</f>
        <v>252708.56086704863</v>
      </c>
      <c r="M197" s="802">
        <f>IFERROR(IF(INDEX(SafetyGroup,A184,1)=Hwy,NoInjValue,INDEX(PARAMETERS!$BH$26:$BK$28,3,MATCH(INDEX(SafetyGroup,A184,1),PARAMETERS!$BH$25:$BK$25,0)))*(I197-J197),0)</f>
        <v>48705.384276897385</v>
      </c>
      <c r="N197" s="369">
        <f t="shared" si="58"/>
        <v>1483781.8099619476</v>
      </c>
      <c r="O197" s="370">
        <f t="shared" si="53"/>
        <v>1084184.83489931</v>
      </c>
      <c r="Q197" s="812">
        <f t="shared" si="54"/>
        <v>0.10020066651000015</v>
      </c>
      <c r="R197" s="785">
        <f t="shared" si="55"/>
        <v>2.1702610525800168</v>
      </c>
      <c r="S197" s="788">
        <f t="shared" si="56"/>
        <v>15.711414282870123</v>
      </c>
    </row>
    <row r="198" spans="2:19" x14ac:dyDescent="0.25">
      <c r="B198" s="375">
        <f t="shared" si="57"/>
        <v>2031</v>
      </c>
      <c r="C198" s="401">
        <f>MAX(TREND(C190:C191,B190:B191,B198),0)</f>
        <v>18940306.25</v>
      </c>
      <c r="D198" s="402">
        <f>MAX(TREND(D190:D191,B190:B191,B198),0)</f>
        <v>16744740</v>
      </c>
      <c r="E198" s="725">
        <f>MAX(TREND(E190:E191,B190:B191,B198),0)</f>
        <v>0.30228728775000047</v>
      </c>
      <c r="F198" s="726">
        <f>MAX(TREND(F190:F191,B190:B191,B198),0)</f>
        <v>0.20043453780000053</v>
      </c>
      <c r="G198" s="725">
        <f>MAX(TREND(G190:G191,B190:B191,B198),0)</f>
        <v>6.5472850645000165</v>
      </c>
      <c r="H198" s="726">
        <f>MAX(TREND(H190:H191,B190:B191,B198),0)</f>
        <v>4.3412412923999995</v>
      </c>
      <c r="I198" s="725">
        <f>MAX(TREND(I190:I191,B190:B191,B198),0)</f>
        <v>47.398495196749991</v>
      </c>
      <c r="J198" s="726">
        <f>MAX(TREND(J190:J191,B190:B191,B198),0)</f>
        <v>31.428035058600017</v>
      </c>
      <c r="K198" s="729">
        <f>IFERROR(IF(INDEX(SafetyGroup,A184,1)=Hwy,FatValue,INDEX(PARAMETERS!$BH$26:$BK$28,1,MATCH(INDEX(SafetyGroup,A184,1),PARAMETERS!$BH$25:$BK$25,0)))*(E198-F198),0)</f>
        <v>1201862.4494099992</v>
      </c>
      <c r="L198" s="730">
        <f>IFERROR(IF(INDEX(SafetyGroup,A184,1)=Hwy,SUMPRODUCT(PARAMETERS!$E$64:$E$66,PARAMETERS!$BC$12:$BC$14),INDEX(PARAMETERS!$BH$26:$BK$28,2,MATCH(INDEX(SafetyGroup,A184,1),PARAMETERS!$BH$25:$BK$25,0)))*(G198-H198),0)</f>
        <v>256875.15619117272</v>
      </c>
      <c r="M198" s="802">
        <f>IFERROR(IF(INDEX(SafetyGroup,A184,1)=Hwy,NoInjValue,INDEX(PARAMETERS!$BH$26:$BK$28,3,MATCH(INDEX(SafetyGroup,A184,1),PARAMETERS!$BH$25:$BK$25,0)))*(I198-J198),0)</f>
        <v>49508.426428264924</v>
      </c>
      <c r="N198" s="369">
        <f t="shared" si="58"/>
        <v>1508246.0320294369</v>
      </c>
      <c r="O198" s="370">
        <f t="shared" si="53"/>
        <v>1059673.6560932864</v>
      </c>
      <c r="Q198" s="812">
        <f t="shared" si="54"/>
        <v>0.10185274994999993</v>
      </c>
      <c r="R198" s="785">
        <f t="shared" si="55"/>
        <v>2.206043772100017</v>
      </c>
      <c r="S198" s="788">
        <f t="shared" si="56"/>
        <v>15.970460138149974</v>
      </c>
    </row>
    <row r="199" spans="2:19" x14ac:dyDescent="0.25">
      <c r="B199" s="375">
        <f t="shared" si="57"/>
        <v>2032</v>
      </c>
      <c r="C199" s="401">
        <f>MAX(TREND(C190:C191,B190:B191,B199),0)</f>
        <v>19179326.5</v>
      </c>
      <c r="D199" s="402">
        <f>MAX(TREND(D190:D191,B190:B191,B199),0)</f>
        <v>16925415</v>
      </c>
      <c r="E199" s="725">
        <f>MAX(TREND(E190:E191,B190:B191,B199),0)</f>
        <v>0.30610205093999987</v>
      </c>
      <c r="F199" s="726">
        <f>MAX(TREND(F190:F191,B190:B191,B199),0)</f>
        <v>0.20259721755000015</v>
      </c>
      <c r="G199" s="725">
        <f>MAX(TREND(G190:G191,B190:B191,B199),0)</f>
        <v>6.6299095845200213</v>
      </c>
      <c r="H199" s="726">
        <f>MAX(TREND(H190:H191,B190:B191,B199),0)</f>
        <v>4.3880830928999899</v>
      </c>
      <c r="I199" s="725">
        <f>MAX(TREND(I190:I191,B190:B191,B199),0)</f>
        <v>47.996648152779926</v>
      </c>
      <c r="J199" s="726">
        <f>MAX(TREND(J190:J191,B190:B191,B199),0)</f>
        <v>31.767142159349987</v>
      </c>
      <c r="K199" s="729">
        <f>IFERROR(IF(INDEX(SafetyGroup,A184,1)=Hwy,FatValue,INDEX(PARAMETERS!$BH$26:$BK$28,1,MATCH(INDEX(SafetyGroup,A184,1),PARAMETERS!$BH$25:$BK$25,0)))*(E199-F199),0)</f>
        <v>1221357.0340019967</v>
      </c>
      <c r="L199" s="730">
        <f>IFERROR(IF(INDEX(SafetyGroup,A184,1)=Hwy,SUMPRODUCT(PARAMETERS!$E$64:$E$66,PARAMETERS!$BC$12:$BC$14),INDEX(PARAMETERS!$BH$26:$BK$28,2,MATCH(INDEX(SafetyGroup,A184,1),PARAMETERS!$BH$25:$BK$25,0)))*(G199-H199),0)</f>
        <v>261041.75151529844</v>
      </c>
      <c r="M199" s="802">
        <f>IFERROR(IF(INDEX(SafetyGroup,A184,1)=Hwy,NoInjValue,INDEX(PARAMETERS!$BH$26:$BK$28,3,MATCH(INDEX(SafetyGroup,A184,1),PARAMETERS!$BH$25:$BK$25,0)))*(I199-J199),0)</f>
        <v>50311.468579632812</v>
      </c>
      <c r="N199" s="369">
        <f t="shared" si="58"/>
        <v>1532710.2540969281</v>
      </c>
      <c r="O199" s="370">
        <f t="shared" si="53"/>
        <v>1035444.1288597697</v>
      </c>
      <c r="Q199" s="812">
        <f t="shared" si="54"/>
        <v>0.10350483338999972</v>
      </c>
      <c r="R199" s="785">
        <f t="shared" si="55"/>
        <v>2.2418264916200314</v>
      </c>
      <c r="S199" s="788">
        <f t="shared" si="56"/>
        <v>16.229505993429939</v>
      </c>
    </row>
    <row r="200" spans="2:19" x14ac:dyDescent="0.25">
      <c r="B200" s="375">
        <f t="shared" si="57"/>
        <v>2033</v>
      </c>
      <c r="C200" s="401">
        <f>MAX(TREND(C190:C191,B190:B191,B200),0)</f>
        <v>19418346.75</v>
      </c>
      <c r="D200" s="402">
        <f>MAX(TREND(D190:D191,B190:B191,B200),0)</f>
        <v>17106090</v>
      </c>
      <c r="E200" s="725">
        <f>MAX(TREND(E190:E191,B190:B191,B200),0)</f>
        <v>0.30991681413000016</v>
      </c>
      <c r="F200" s="726">
        <f>MAX(TREND(F190:F191,B190:B191,B200),0)</f>
        <v>0.20475989730000066</v>
      </c>
      <c r="G200" s="725">
        <f>MAX(TREND(G190:G191,B190:B191,B200),0)</f>
        <v>6.7125341045400262</v>
      </c>
      <c r="H200" s="726">
        <f>MAX(TREND(H190:H191,B190:B191,B200),0)</f>
        <v>4.4349248933999945</v>
      </c>
      <c r="I200" s="725">
        <f>MAX(TREND(I190:I191,B190:B191,B200),0)</f>
        <v>48.594801108810088</v>
      </c>
      <c r="J200" s="726">
        <f>MAX(TREND(J190:J191,B190:B191,B200),0)</f>
        <v>32.106249260099958</v>
      </c>
      <c r="K200" s="729">
        <f>IFERROR(IF(INDEX(SafetyGroup,A184,1)=Hwy,FatValue,INDEX(PARAMETERS!$BH$26:$BK$28,1,MATCH(INDEX(SafetyGroup,A184,1),PARAMETERS!$BH$25:$BK$25,0)))*(E200-F200),0)</f>
        <v>1240851.6185939941</v>
      </c>
      <c r="L200" s="730">
        <f>IFERROR(IF(INDEX(SafetyGroup,A184,1)=Hwy,SUMPRODUCT(PARAMETERS!$E$64:$E$66,PARAMETERS!$BC$12:$BC$14),INDEX(PARAMETERS!$BH$26:$BK$28,2,MATCH(INDEX(SafetyGroup,A184,1),PARAMETERS!$BH$25:$BK$25,0)))*(G200-H200),0)</f>
        <v>265208.34683942253</v>
      </c>
      <c r="M200" s="802">
        <f>IFERROR(IF(INDEX(SafetyGroup,A184,1)=Hwy,NoInjValue,INDEX(PARAMETERS!$BH$26:$BK$28,3,MATCH(INDEX(SafetyGroup,A184,1),PARAMETERS!$BH$25:$BK$25,0)))*(I200-J200),0)</f>
        <v>51114.510731001406</v>
      </c>
      <c r="N200" s="369">
        <f t="shared" si="58"/>
        <v>1557174.476164418</v>
      </c>
      <c r="O200" s="370">
        <f t="shared" si="53"/>
        <v>1011510.8468334264</v>
      </c>
      <c r="Q200" s="812">
        <f t="shared" si="54"/>
        <v>0.1051569168299995</v>
      </c>
      <c r="R200" s="785">
        <f t="shared" si="55"/>
        <v>2.2776092111400317</v>
      </c>
      <c r="S200" s="788">
        <f t="shared" si="56"/>
        <v>16.488551848710131</v>
      </c>
    </row>
    <row r="201" spans="2:19" x14ac:dyDescent="0.25">
      <c r="B201" s="375">
        <f t="shared" si="57"/>
        <v>2034</v>
      </c>
      <c r="C201" s="401">
        <f>MAX(TREND(C190:C191,B190:B191,B201),0)</f>
        <v>19657367</v>
      </c>
      <c r="D201" s="402">
        <f>MAX(TREND(D190:D191,B190:B191,B201),0)</f>
        <v>17286765</v>
      </c>
      <c r="E201" s="725">
        <f>MAX(TREND(E190:E191,B190:B191,B201),0)</f>
        <v>0.31373157732000045</v>
      </c>
      <c r="F201" s="726">
        <f>MAX(TREND(F190:F191,B190:B191,B201),0)</f>
        <v>0.20692257705000028</v>
      </c>
      <c r="G201" s="725">
        <f>MAX(TREND(G190:G191,B190:B191,B201),0)</f>
        <v>6.7951586245600026</v>
      </c>
      <c r="H201" s="726">
        <f>MAX(TREND(H190:H191,B190:B191,B201),0)</f>
        <v>4.4817666938999992</v>
      </c>
      <c r="I201" s="725">
        <f>MAX(TREND(I190:I191,B190:B191,B201),0)</f>
        <v>49.192954064840023</v>
      </c>
      <c r="J201" s="726">
        <f>MAX(TREND(J190:J191,B190:B191,B201),0)</f>
        <v>32.445356360849928</v>
      </c>
      <c r="K201" s="729">
        <f>IFERROR(IF(INDEX(SafetyGroup,A184,1)=Hwy,FatValue,INDEX(PARAMETERS!$BH$26:$BK$28,1,MATCH(INDEX(SafetyGroup,A184,1),PARAMETERS!$BH$25:$BK$25,0)))*(E201-F201),0)</f>
        <v>1260346.2031860021</v>
      </c>
      <c r="L201" s="730">
        <f>IFERROR(IF(INDEX(SafetyGroup,A184,1)=Hwy,SUMPRODUCT(PARAMETERS!$E$64:$E$66,PARAMETERS!$BC$12:$BC$14),INDEX(PARAMETERS!$BH$26:$BK$28,2,MATCH(INDEX(SafetyGroup,A184,1),PARAMETERS!$BH$25:$BK$25,0)))*(G201-H201),0)</f>
        <v>269374.94216354331</v>
      </c>
      <c r="M201" s="802">
        <f>IFERROR(IF(INDEX(SafetyGroup,A184,1)=Hwy,NoInjValue,INDEX(PARAMETERS!$BH$26:$BK$28,3,MATCH(INDEX(SafetyGroup,A184,1),PARAMETERS!$BH$25:$BK$25,0)))*(I201-J201),0)</f>
        <v>51917.552882369295</v>
      </c>
      <c r="N201" s="369">
        <f t="shared" si="58"/>
        <v>1581638.6982319148</v>
      </c>
      <c r="O201" s="370">
        <f t="shared" si="53"/>
        <v>987886.86441730894</v>
      </c>
      <c r="Q201" s="812">
        <f t="shared" si="54"/>
        <v>0.10680900027000018</v>
      </c>
      <c r="R201" s="785">
        <f t="shared" si="55"/>
        <v>2.3133919306600035</v>
      </c>
      <c r="S201" s="788">
        <f t="shared" si="56"/>
        <v>16.747597703990095</v>
      </c>
    </row>
    <row r="202" spans="2:19" x14ac:dyDescent="0.25">
      <c r="B202" s="375">
        <f t="shared" si="57"/>
        <v>2035</v>
      </c>
      <c r="C202" s="401">
        <f>MAX(TREND(C190:C191,B190:B191,B202),0)</f>
        <v>19896387.25</v>
      </c>
      <c r="D202" s="402">
        <f>MAX(TREND(D190:D191,B190:B191,B202),0)</f>
        <v>17467440</v>
      </c>
      <c r="E202" s="725">
        <f>MAX(TREND(E190:E191,B190:B191,B202),0)</f>
        <v>0.31754634050999986</v>
      </c>
      <c r="F202" s="726">
        <f>MAX(TREND(F190:F191,B190:B191,B202),0)</f>
        <v>0.2090852567999999</v>
      </c>
      <c r="G202" s="725">
        <f>MAX(TREND(G190:G191,B190:B191,B202),0)</f>
        <v>6.8777831445800075</v>
      </c>
      <c r="H202" s="726">
        <f>MAX(TREND(H190:H191,B190:B191,B202),0)</f>
        <v>4.5286084943999896</v>
      </c>
      <c r="I202" s="725">
        <f>MAX(TREND(I190:I191,B190:B191,B202),0)</f>
        <v>49.791107020869958</v>
      </c>
      <c r="J202" s="726">
        <f>MAX(TREND(J190:J191,B190:B191,B202),0)</f>
        <v>32.784463461600012</v>
      </c>
      <c r="K202" s="729">
        <f>IFERROR(IF(INDEX(SafetyGroup,A184,1)=Hwy,FatValue,INDEX(PARAMETERS!$BH$26:$BK$28,1,MATCH(INDEX(SafetyGroup,A184,1),PARAMETERS!$BH$25:$BK$25,0)))*(E202-F202),0)</f>
        <v>1279840.7877779996</v>
      </c>
      <c r="L202" s="730">
        <f>IFERROR(IF(INDEX(SafetyGroup,A184,1)=Hwy,SUMPRODUCT(PARAMETERS!$E$64:$E$66,PARAMETERS!$BC$12:$BC$14),INDEX(PARAMETERS!$BH$26:$BK$28,2,MATCH(INDEX(SafetyGroup,A184,1),PARAMETERS!$BH$25:$BK$25,0)))*(G202-H202),0)</f>
        <v>273541.53748766903</v>
      </c>
      <c r="M202" s="802">
        <f>IFERROR(IF(INDEX(SafetyGroup,A184,1)=Hwy,NoInjValue,INDEX(PARAMETERS!$BH$26:$BK$28,3,MATCH(INDEX(SafetyGroup,A184,1),PARAMETERS!$BH$25:$BK$25,0)))*(I202-J202),0)</f>
        <v>52720.595033736834</v>
      </c>
      <c r="N202" s="369">
        <f t="shared" si="58"/>
        <v>1606102.9202994057</v>
      </c>
      <c r="O202" s="370">
        <f t="shared" si="53"/>
        <v>964583.79359705315</v>
      </c>
      <c r="Q202" s="812">
        <f t="shared" si="54"/>
        <v>0.10846108370999996</v>
      </c>
      <c r="R202" s="785">
        <f t="shared" si="55"/>
        <v>2.3491746501800179</v>
      </c>
      <c r="S202" s="788">
        <f t="shared" si="56"/>
        <v>17.006643559269946</v>
      </c>
    </row>
    <row r="203" spans="2:19" x14ac:dyDescent="0.25">
      <c r="B203" s="375">
        <f t="shared" si="57"/>
        <v>2036</v>
      </c>
      <c r="C203" s="401">
        <f>MAX(TREND(C190:C191,B190:B191,B203),0)</f>
        <v>20135407.5</v>
      </c>
      <c r="D203" s="402">
        <f>MAX(TREND(D190:D191,B190:B191,B203),0)</f>
        <v>17648115</v>
      </c>
      <c r="E203" s="725">
        <f>MAX(TREND(E190:E191,B190:B191,B203),0)</f>
        <v>0.32136110370000015</v>
      </c>
      <c r="F203" s="726">
        <f>MAX(TREND(F190:F191,B190:B191,B203),0)</f>
        <v>0.2112479365500004</v>
      </c>
      <c r="G203" s="725">
        <f>MAX(TREND(G190:G191,B190:B191,B203),0)</f>
        <v>6.9604076646000124</v>
      </c>
      <c r="H203" s="726">
        <f>MAX(TREND(H190:H191,B190:B191,B203),0)</f>
        <v>4.5754502948999942</v>
      </c>
      <c r="I203" s="725">
        <f>MAX(TREND(I190:I191,B190:B191,B203),0)</f>
        <v>50.389259976900121</v>
      </c>
      <c r="J203" s="726">
        <f>MAX(TREND(J190:J191,B190:B191,B203),0)</f>
        <v>33.123570562349983</v>
      </c>
      <c r="K203" s="729">
        <f>IFERROR(IF(INDEX(SafetyGroup,A184,1)=Hwy,FatValue,INDEX(PARAMETERS!$BH$26:$BK$28,1,MATCH(INDEX(SafetyGroup,A184,1),PARAMETERS!$BH$25:$BK$25,0)))*(E203-F203),0)</f>
        <v>1299335.372369997</v>
      </c>
      <c r="L203" s="730">
        <f>IFERROR(IF(INDEX(SafetyGroup,A184,1)=Hwy,SUMPRODUCT(PARAMETERS!$E$64:$E$66,PARAMETERS!$BC$12:$BC$14),INDEX(PARAMETERS!$BH$26:$BK$28,2,MATCH(INDEX(SafetyGroup,A184,1),PARAMETERS!$BH$25:$BK$25,0)))*(G203-H203),0)</f>
        <v>277708.13281179313</v>
      </c>
      <c r="M203" s="802">
        <f>IFERROR(IF(INDEX(SafetyGroup,A184,1)=Hwy,NoInjValue,INDEX(PARAMETERS!$BH$26:$BK$28,3,MATCH(INDEX(SafetyGroup,A184,1),PARAMETERS!$BH$25:$BK$25,0)))*(I203-J203),0)</f>
        <v>53523.637185105428</v>
      </c>
      <c r="N203" s="369">
        <f t="shared" si="58"/>
        <v>1630567.1423668955</v>
      </c>
      <c r="O203" s="370">
        <f t="shared" si="53"/>
        <v>941611.89558483812</v>
      </c>
      <c r="Q203" s="812">
        <f t="shared" si="54"/>
        <v>0.11011316714999975</v>
      </c>
      <c r="R203" s="785">
        <f t="shared" si="55"/>
        <v>2.3849573697000181</v>
      </c>
      <c r="S203" s="788">
        <f t="shared" si="56"/>
        <v>17.265689414550138</v>
      </c>
    </row>
    <row r="204" spans="2:19" x14ac:dyDescent="0.25">
      <c r="B204" s="375">
        <f t="shared" si="57"/>
        <v>2037</v>
      </c>
      <c r="C204" s="401">
        <f>MAX(TREND(C190:C191,B190:B191,B204),0)</f>
        <v>20374427.75</v>
      </c>
      <c r="D204" s="402">
        <f>MAX(TREND(D190:D191,B190:B191,B204),0)</f>
        <v>17828790</v>
      </c>
      <c r="E204" s="725">
        <f>MAX(TREND(E190:E191,B190:B191,B204),0)</f>
        <v>0.32517586689000044</v>
      </c>
      <c r="F204" s="726">
        <f>MAX(TREND(F190:F191,B190:B191,B204),0)</f>
        <v>0.21341061630000002</v>
      </c>
      <c r="G204" s="725">
        <f>MAX(TREND(G190:G191,B190:B191,B204),0)</f>
        <v>7.0430321846200172</v>
      </c>
      <c r="H204" s="726">
        <f>MAX(TREND(H190:H191,B190:B191,B204),0)</f>
        <v>4.6222920953999989</v>
      </c>
      <c r="I204" s="725">
        <f>MAX(TREND(I190:I191,B190:B191,B204),0)</f>
        <v>50.987412932930056</v>
      </c>
      <c r="J204" s="726">
        <f>MAX(TREND(J190:J191,B190:B191,B204),0)</f>
        <v>33.462677663099953</v>
      </c>
      <c r="K204" s="729">
        <f>IFERROR(IF(INDEX(SafetyGroup,A184,1)=Hwy,FatValue,INDEX(PARAMETERS!$BH$26:$BK$28,1,MATCH(INDEX(SafetyGroup,A184,1),PARAMETERS!$BH$25:$BK$25,0)))*(E204-F204),0)</f>
        <v>1318829.956962005</v>
      </c>
      <c r="L204" s="730">
        <f>IFERROR(IF(INDEX(SafetyGroup,A184,1)=Hwy,SUMPRODUCT(PARAMETERS!$E$64:$E$66,PARAMETERS!$BC$12:$BC$14),INDEX(PARAMETERS!$BH$26:$BK$28,2,MATCH(INDEX(SafetyGroup,A184,1),PARAMETERS!$BH$25:$BK$25,0)))*(G204-H204),0)</f>
        <v>281874.72813591722</v>
      </c>
      <c r="M204" s="802">
        <f>IFERROR(IF(INDEX(SafetyGroup,A184,1)=Hwy,NoInjValue,INDEX(PARAMETERS!$BH$26:$BK$28,3,MATCH(INDEX(SafetyGroup,A184,1),PARAMETERS!$BH$25:$BK$25,0)))*(I204-J204),0)</f>
        <v>54326.679336473317</v>
      </c>
      <c r="N204" s="369">
        <f t="shared" si="58"/>
        <v>1655031.3644343955</v>
      </c>
      <c r="O204" s="370">
        <f t="shared" si="53"/>
        <v>918980.16754753725</v>
      </c>
      <c r="Q204" s="812">
        <f t="shared" si="54"/>
        <v>0.11176525059000042</v>
      </c>
      <c r="R204" s="785">
        <f t="shared" si="55"/>
        <v>2.4207400892200184</v>
      </c>
      <c r="S204" s="788">
        <f t="shared" si="56"/>
        <v>17.524735269830103</v>
      </c>
    </row>
    <row r="205" spans="2:19" x14ac:dyDescent="0.25">
      <c r="B205" s="375">
        <f t="shared" si="57"/>
        <v>2038</v>
      </c>
      <c r="C205" s="401">
        <f>MAX(TREND(C190:C191,B190:B191,B205),0)</f>
        <v>20613448</v>
      </c>
      <c r="D205" s="402">
        <f>MAX(TREND(D190:D191,B190:B191,B205),0)</f>
        <v>18009465</v>
      </c>
      <c r="E205" s="725">
        <f>MAX(TREND(E190:E191,B190:B191,B205),0)</f>
        <v>0.32899063007999985</v>
      </c>
      <c r="F205" s="726">
        <f>MAX(TREND(F190:F191,B190:B191,B205),0)</f>
        <v>0.21557329605000053</v>
      </c>
      <c r="G205" s="725">
        <f>MAX(TREND(G190:G191,B190:B191,B205),0)</f>
        <v>7.1256567046400221</v>
      </c>
      <c r="H205" s="726">
        <f>MAX(TREND(H190:H191,B190:B191,B205),0)</f>
        <v>4.6691338958999893</v>
      </c>
      <c r="I205" s="725">
        <f>MAX(TREND(I190:I191,B190:B191,B205),0)</f>
        <v>51.585565888959991</v>
      </c>
      <c r="J205" s="726">
        <f>MAX(TREND(J190:J191,B190:B191,B205),0)</f>
        <v>33.801784763849923</v>
      </c>
      <c r="K205" s="729">
        <f>IFERROR(IF(INDEX(SafetyGroup,A184,1)=Hwy,FatValue,INDEX(PARAMETERS!$BH$26:$BK$28,1,MATCH(INDEX(SafetyGroup,A184,1),PARAMETERS!$BH$25:$BK$25,0)))*(E205-F205),0)</f>
        <v>1338324.5415539918</v>
      </c>
      <c r="L205" s="730">
        <f>IFERROR(IF(INDEX(SafetyGroup,A184,1)=Hwy,SUMPRODUCT(PARAMETERS!$E$64:$E$66,PARAMETERS!$BC$12:$BC$14),INDEX(PARAMETERS!$BH$26:$BK$28,2,MATCH(INDEX(SafetyGroup,A184,1),PARAMETERS!$BH$25:$BK$25,0)))*(G205-H205),0)</f>
        <v>286041.32346004294</v>
      </c>
      <c r="M205" s="802">
        <f>IFERROR(IF(INDEX(SafetyGroup,A184,1)=Hwy,NoInjValue,INDEX(PARAMETERS!$BH$26:$BK$28,3,MATCH(INDEX(SafetyGroup,A184,1),PARAMETERS!$BH$25:$BK$25,0)))*(I205-J205),0)</f>
        <v>55129.721487841212</v>
      </c>
      <c r="N205" s="369">
        <f t="shared" si="58"/>
        <v>1679495.5865018759</v>
      </c>
      <c r="O205" s="370">
        <f t="shared" si="53"/>
        <v>896696.42466163822</v>
      </c>
      <c r="Q205" s="812">
        <f t="shared" si="54"/>
        <v>0.11341733402999932</v>
      </c>
      <c r="R205" s="785">
        <f t="shared" si="55"/>
        <v>2.4565228087400328</v>
      </c>
      <c r="S205" s="788">
        <f t="shared" si="56"/>
        <v>17.783781125110067</v>
      </c>
    </row>
    <row r="206" spans="2:19" x14ac:dyDescent="0.25">
      <c r="B206" s="375">
        <f t="shared" si="57"/>
        <v>2039</v>
      </c>
      <c r="C206" s="401">
        <f>MAX(TREND(C190:C191,B190:B191,B206),0)</f>
        <v>20852468.25</v>
      </c>
      <c r="D206" s="402">
        <f>MAX(TREND(D190:D191,B190:B191,B206),0)</f>
        <v>18190140</v>
      </c>
      <c r="E206" s="725">
        <f>MAX(TREND(E190:E191,B190:B191,B206),0)</f>
        <v>0.33280539327000014</v>
      </c>
      <c r="F206" s="726">
        <f>MAX(TREND(F190:F191,B190:B191,B206),0)</f>
        <v>0.21773597580000015</v>
      </c>
      <c r="G206" s="725">
        <f>MAX(TREND(G190:G191,B190:B191,B206),0)</f>
        <v>7.208281224660027</v>
      </c>
      <c r="H206" s="726">
        <f>MAX(TREND(H190:H191,B190:B191,B206),0)</f>
        <v>4.7159756963999939</v>
      </c>
      <c r="I206" s="725">
        <f>MAX(TREND(I190:I191,B190:B191,B206),0)</f>
        <v>52.183718844989926</v>
      </c>
      <c r="J206" s="726">
        <f>MAX(TREND(J190:J191,B190:B191,B206),0)</f>
        <v>34.140891864600007</v>
      </c>
      <c r="K206" s="729">
        <f>IFERROR(IF(INDEX(SafetyGroup,A184,1)=Hwy,FatValue,INDEX(PARAMETERS!$BH$26:$BK$28,1,MATCH(INDEX(SafetyGroup,A184,1),PARAMETERS!$BH$25:$BK$25,0)))*(E206-F206),0)</f>
        <v>1357819.1261459999</v>
      </c>
      <c r="L206" s="730">
        <f>IFERROR(IF(INDEX(SafetyGroup,A184,1)=Hwy,SUMPRODUCT(PARAMETERS!$E$64:$E$66,PARAMETERS!$BC$12:$BC$14),INDEX(PARAMETERS!$BH$26:$BK$28,2,MATCH(INDEX(SafetyGroup,A184,1),PARAMETERS!$BH$25:$BK$25,0)))*(G206-H206),0)</f>
        <v>290207.91878416704</v>
      </c>
      <c r="M206" s="802">
        <f>IFERROR(IF(INDEX(SafetyGroup,A184,1)=Hwy,NoInjValue,INDEX(PARAMETERS!$BH$26:$BK$28,3,MATCH(INDEX(SafetyGroup,A184,1),PARAMETERS!$BH$25:$BK$25,0)))*(I206-J206),0)</f>
        <v>55932.763639208744</v>
      </c>
      <c r="N206" s="369">
        <f t="shared" si="58"/>
        <v>1703959.8085693759</v>
      </c>
      <c r="O206" s="370">
        <f t="shared" si="53"/>
        <v>874767.37772622157</v>
      </c>
      <c r="Q206" s="812">
        <f t="shared" si="54"/>
        <v>0.11506941746999999</v>
      </c>
      <c r="R206" s="785">
        <f t="shared" si="55"/>
        <v>2.492305528260033</v>
      </c>
      <c r="S206" s="788">
        <f t="shared" si="56"/>
        <v>18.042826980389918</v>
      </c>
    </row>
    <row r="207" spans="2:19" x14ac:dyDescent="0.25">
      <c r="B207" s="375">
        <f t="shared" si="57"/>
        <v>2040</v>
      </c>
      <c r="C207" s="401">
        <f>MAX(TREND(C190:C191,B190:B191,B207),0)</f>
        <v>21091488.5</v>
      </c>
      <c r="D207" s="402">
        <f>MAX(TREND(D190:D191,B190:B191,B207),0)</f>
        <v>18370815</v>
      </c>
      <c r="E207" s="725">
        <f>MAX(TREND(E190:E191,B190:B191,B207),0)</f>
        <v>0.33662015646000043</v>
      </c>
      <c r="F207" s="726">
        <f>MAX(TREND(F190:F191,B190:B191,B207),0)</f>
        <v>0.21989865555000065</v>
      </c>
      <c r="G207" s="725">
        <f>MAX(TREND(G190:G191,B190:B191,B207),0)</f>
        <v>7.2909057446800034</v>
      </c>
      <c r="H207" s="726">
        <f>MAX(TREND(H190:H191,B190:B191,B207),0)</f>
        <v>4.7628174968999986</v>
      </c>
      <c r="I207" s="725">
        <f>MAX(TREND(I190:I191,B190:B191,B207),0)</f>
        <v>52.781871801020088</v>
      </c>
      <c r="J207" s="726">
        <f>MAX(TREND(J190:J191,B190:B191,B207),0)</f>
        <v>34.479998965349978</v>
      </c>
      <c r="K207" s="729">
        <f>IFERROR(IF(INDEX(SafetyGroup,A184,1)=Hwy,FatValue,INDEX(PARAMETERS!$BH$26:$BK$28,1,MATCH(INDEX(SafetyGroup,A184,1),PARAMETERS!$BH$25:$BK$25,0)))*(E207-F207),0)</f>
        <v>1377313.7107379974</v>
      </c>
      <c r="L207" s="730">
        <f>IFERROR(IF(INDEX(SafetyGroup,A184,1)=Hwy,SUMPRODUCT(PARAMETERS!$E$64:$E$66,PARAMETERS!$BC$12:$BC$14),INDEX(PARAMETERS!$BH$26:$BK$28,2,MATCH(INDEX(SafetyGroup,A184,1),PARAMETERS!$BH$25:$BK$25,0)))*(G207-H207),0)</f>
        <v>294374.51410828781</v>
      </c>
      <c r="M207" s="802">
        <f>IFERROR(IF(INDEX(SafetyGroup,A184,1)=Hwy,NoInjValue,INDEX(PARAMETERS!$BH$26:$BK$28,3,MATCH(INDEX(SafetyGroup,A184,1),PARAMETERS!$BH$25:$BK$25,0)))*(I207-J207),0)</f>
        <v>56735.805790577346</v>
      </c>
      <c r="N207" s="369">
        <f t="shared" si="58"/>
        <v>1728424.0306368626</v>
      </c>
      <c r="O207" s="370">
        <f t="shared" si="53"/>
        <v>853198.70655408234</v>
      </c>
      <c r="Q207" s="812">
        <f t="shared" si="54"/>
        <v>0.11672150090999978</v>
      </c>
      <c r="R207" s="785">
        <f t="shared" si="55"/>
        <v>2.5280882477800048</v>
      </c>
      <c r="S207" s="788">
        <f t="shared" si="56"/>
        <v>18.30187283567011</v>
      </c>
    </row>
    <row r="208" spans="2:19" x14ac:dyDescent="0.25">
      <c r="B208" s="375">
        <f t="shared" si="57"/>
        <v>2041</v>
      </c>
      <c r="C208" s="401">
        <f>MAX(TREND(C190:C191,B190:B191,B208),0)</f>
        <v>21330508.75</v>
      </c>
      <c r="D208" s="402">
        <f>MAX(TREND(D190:D191,B190:B191,B208),0)</f>
        <v>18551490</v>
      </c>
      <c r="E208" s="725">
        <f>MAX(TREND(E190:E191,B190:B191,B208),0)</f>
        <v>0.34043491964999983</v>
      </c>
      <c r="F208" s="726">
        <f>MAX(TREND(F190:F191,B190:B191,B208),0)</f>
        <v>0.22206133530000027</v>
      </c>
      <c r="G208" s="725">
        <f>MAX(TREND(G190:G191,B190:B191,B208),0)</f>
        <v>7.3735302647000083</v>
      </c>
      <c r="H208" s="726">
        <f>MAX(TREND(H190:H191,B190:B191,B208),0)</f>
        <v>4.809659297399989</v>
      </c>
      <c r="I208" s="725">
        <f>MAX(TREND(I190:I191,B190:B191,B208),0)</f>
        <v>53.380024757050023</v>
      </c>
      <c r="J208" s="726">
        <f>MAX(TREND(J190:J191,B190:B191,B208),0)</f>
        <v>34.819106066099948</v>
      </c>
      <c r="K208" s="729">
        <f>IFERROR(IF(INDEX(SafetyGroup,A184,1)=Hwy,FatValue,INDEX(PARAMETERS!$BH$26:$BK$28,1,MATCH(INDEX(SafetyGroup,A184,1),PARAMETERS!$BH$25:$BK$25,0)))*(E208-F208),0)</f>
        <v>1396808.2953299948</v>
      </c>
      <c r="L208" s="730">
        <f>IFERROR(IF(INDEX(SafetyGroup,A184,1)=Hwy,SUMPRODUCT(PARAMETERS!$E$64:$E$66,PARAMETERS!$BC$12:$BC$14),INDEX(PARAMETERS!$BH$26:$BK$28,2,MATCH(INDEX(SafetyGroup,A184,1),PARAMETERS!$BH$25:$BK$25,0)))*(G208-H208),0)</f>
        <v>298541.10943241353</v>
      </c>
      <c r="M208" s="802">
        <f>IFERROR(IF(INDEX(SafetyGroup,A184,1)=Hwy,NoInjValue,INDEX(PARAMETERS!$BH$26:$BK$28,3,MATCH(INDEX(SafetyGroup,A184,1),PARAMETERS!$BH$25:$BK$25,0)))*(I208-J208),0)</f>
        <v>57538.847941945234</v>
      </c>
      <c r="N208" s="369">
        <f t="shared" si="58"/>
        <v>1752888.2527043535</v>
      </c>
      <c r="O208" s="370">
        <f t="shared" si="53"/>
        <v>831995.12935121299</v>
      </c>
      <c r="Q208" s="812">
        <f t="shared" si="54"/>
        <v>0.11837358434999956</v>
      </c>
      <c r="R208" s="785">
        <f t="shared" si="55"/>
        <v>2.5638709673000193</v>
      </c>
      <c r="S208" s="788">
        <f t="shared" si="56"/>
        <v>18.560918690950075</v>
      </c>
    </row>
    <row r="209" spans="2:19" x14ac:dyDescent="0.25">
      <c r="B209" s="375">
        <f t="shared" si="57"/>
        <v>2042</v>
      </c>
      <c r="C209" s="401">
        <f>MAX(TREND(C190:C191,B190:B191,B209),0)</f>
        <v>21569529</v>
      </c>
      <c r="D209" s="402">
        <f>MAX(TREND(D190:D191,B190:B191,B209),0)</f>
        <v>18732165</v>
      </c>
      <c r="E209" s="725">
        <f>MAX(TREND(E190:E191,B190:B191,B209),0)</f>
        <v>0.34424968284000013</v>
      </c>
      <c r="F209" s="726">
        <f>MAX(TREND(F190:F191,B190:B191,B209),0)</f>
        <v>0.22422401504999989</v>
      </c>
      <c r="G209" s="725">
        <f>MAX(TREND(G190:G191,B190:B191,B209),0)</f>
        <v>7.4561547847200131</v>
      </c>
      <c r="H209" s="726">
        <f>MAX(TREND(H190:H191,B190:B191,B209),0)</f>
        <v>4.8565010978999936</v>
      </c>
      <c r="I209" s="725">
        <f>MAX(TREND(I190:I191,B190:B191,B209),0)</f>
        <v>53.978177713079958</v>
      </c>
      <c r="J209" s="726">
        <f>MAX(TREND(J190:J191,B190:B191,B209),0)</f>
        <v>35.158213166849919</v>
      </c>
      <c r="K209" s="729">
        <f>IFERROR(IF(INDEX(SafetyGroup,A184,1)=Hwy,FatValue,INDEX(PARAMETERS!$BH$26:$BK$28,1,MATCH(INDEX(SafetyGroup,A184,1),PARAMETERS!$BH$25:$BK$25,0)))*(E209-F209),0)</f>
        <v>1416302.8799220028</v>
      </c>
      <c r="L209" s="730">
        <f>IFERROR(IF(INDEX(SafetyGroup,A184,1)=Hwy,SUMPRODUCT(PARAMETERS!$E$64:$E$66,PARAMETERS!$BC$12:$BC$14),INDEX(PARAMETERS!$BH$26:$BK$28,2,MATCH(INDEX(SafetyGroup,A184,1),PARAMETERS!$BH$25:$BK$25,0)))*(G209-H209),0)</f>
        <v>302707.70475653763</v>
      </c>
      <c r="M209" s="802">
        <f>IFERROR(IF(INDEX(SafetyGroup,A184,1)=Hwy,NoInjValue,INDEX(PARAMETERS!$BH$26:$BK$28,3,MATCH(INDEX(SafetyGroup,A184,1),PARAMETERS!$BH$25:$BK$25,0)))*(I209-J209),0)</f>
        <v>58341.890093313123</v>
      </c>
      <c r="N209" s="369">
        <f t="shared" si="58"/>
        <v>1777352.4747718535</v>
      </c>
      <c r="O209" s="370">
        <f t="shared" si="53"/>
        <v>811160.46828443522</v>
      </c>
      <c r="Q209" s="812">
        <f t="shared" si="54"/>
        <v>0.12002566779000023</v>
      </c>
      <c r="R209" s="785">
        <f t="shared" si="55"/>
        <v>2.5996536868200195</v>
      </c>
      <c r="S209" s="788">
        <f t="shared" si="56"/>
        <v>18.81996454623004</v>
      </c>
    </row>
    <row r="210" spans="2:19" x14ac:dyDescent="0.25">
      <c r="B210" s="375">
        <f t="shared" si="57"/>
        <v>2043</v>
      </c>
      <c r="C210" s="401">
        <f>MAX(TREND(C190:C191,B190:B191,B210),0)</f>
        <v>21808549.25</v>
      </c>
      <c r="D210" s="402">
        <f>MAX(TREND(D190:D191,B190:B191,B210),0)</f>
        <v>18912840</v>
      </c>
      <c r="E210" s="725">
        <f>MAX(TREND(E190:E191,B190:B191,B210),0)</f>
        <v>0.34806444603000042</v>
      </c>
      <c r="F210" s="726">
        <f>MAX(TREND(F190:F191,B190:B191,B210),0)</f>
        <v>0.2263866948000004</v>
      </c>
      <c r="G210" s="725">
        <f>MAX(TREND(G190:G191,B190:B191,B210),0)</f>
        <v>7.538779304740018</v>
      </c>
      <c r="H210" s="726">
        <f>MAX(TREND(H190:H191,B190:B191,B210),0)</f>
        <v>4.9033428983999983</v>
      </c>
      <c r="I210" s="725">
        <f>MAX(TREND(I190:I191,B190:B191,B210),0)</f>
        <v>54.576330669110121</v>
      </c>
      <c r="J210" s="726">
        <f>MAX(TREND(J190:J191,B190:B191,B210),0)</f>
        <v>35.497320267600003</v>
      </c>
      <c r="K210" s="729">
        <f>IFERROR(IF(INDEX(SafetyGroup,A184,1)=Hwy,FatValue,INDEX(PARAMETERS!$BH$26:$BK$28,1,MATCH(INDEX(SafetyGroup,A184,1),PARAMETERS!$BH$25:$BK$25,0)))*(E210-F210),0)</f>
        <v>1435797.4645140003</v>
      </c>
      <c r="L210" s="730">
        <f>IFERROR(IF(INDEX(SafetyGroup,A184,1)=Hwy,SUMPRODUCT(PARAMETERS!$E$64:$E$66,PARAMETERS!$BC$12:$BC$14),INDEX(PARAMETERS!$BH$26:$BK$28,2,MATCH(INDEX(SafetyGroup,A184,1),PARAMETERS!$BH$25:$BK$25,0)))*(G210-H210),0)</f>
        <v>306874.30008066172</v>
      </c>
      <c r="M210" s="802">
        <f>IFERROR(IF(INDEX(SafetyGroup,A184,1)=Hwy,NoInjValue,INDEX(PARAMETERS!$BH$26:$BK$28,3,MATCH(INDEX(SafetyGroup,A184,1),PARAMETERS!$BH$25:$BK$25,0)))*(I210-J210),0)</f>
        <v>59144.932244681368</v>
      </c>
      <c r="N210" s="369">
        <f t="shared" si="58"/>
        <v>1801816.6968393433</v>
      </c>
      <c r="O210" s="370">
        <f t="shared" si="53"/>
        <v>790697.71142789128</v>
      </c>
      <c r="Q210" s="812">
        <f t="shared" si="54"/>
        <v>0.12167775123000002</v>
      </c>
      <c r="R210" s="785">
        <f t="shared" si="55"/>
        <v>2.6354364063400197</v>
      </c>
      <c r="S210" s="788">
        <f t="shared" si="56"/>
        <v>19.079010401510118</v>
      </c>
    </row>
    <row r="211" spans="2:19" x14ac:dyDescent="0.25">
      <c r="B211" s="375">
        <f t="shared" si="57"/>
        <v>2044</v>
      </c>
      <c r="C211" s="401">
        <f>MAX(TREND(C190:C191,B190:B191,B211),0)</f>
        <v>22047569.5</v>
      </c>
      <c r="D211" s="402">
        <f>MAX(TREND(D190:D191,B190:B191,B211),0)</f>
        <v>19093515</v>
      </c>
      <c r="E211" s="725">
        <f>MAX(TREND(E190:E191,B190:B191,B211),0)</f>
        <v>0.35187920921999982</v>
      </c>
      <c r="F211" s="726">
        <f>MAX(TREND(F190:F191,B190:B191,B211),0)</f>
        <v>0.22854937455000002</v>
      </c>
      <c r="G211" s="725">
        <f>MAX(TREND(G190:G191,B190:B191,B211),0)</f>
        <v>7.6214038247600229</v>
      </c>
      <c r="H211" s="726">
        <f>MAX(TREND(H190:H191,B190:B191,B211),0)</f>
        <v>4.9501846988999887</v>
      </c>
      <c r="I211" s="725">
        <f>MAX(TREND(I190:I191,B190:B191,B211),0)</f>
        <v>55.174483625140056</v>
      </c>
      <c r="J211" s="726">
        <f>MAX(TREND(J190:J191,B190:B191,B211),0)</f>
        <v>35.836427368349973</v>
      </c>
      <c r="K211" s="729">
        <f>IFERROR(IF(INDEX(SafetyGroup,A184,1)=Hwy,FatValue,INDEX(PARAMETERS!$BH$26:$BK$28,1,MATCH(INDEX(SafetyGroup,A184,1),PARAMETERS!$BH$25:$BK$25,0)))*(E211-F211),0)</f>
        <v>1455292.0491059977</v>
      </c>
      <c r="L211" s="730">
        <f>IFERROR(IF(INDEX(SafetyGroup,A184,1)=Hwy,SUMPRODUCT(PARAMETERS!$E$64:$E$66,PARAMETERS!$BC$12:$BC$14),INDEX(PARAMETERS!$BH$26:$BK$28,2,MATCH(INDEX(SafetyGroup,A184,1),PARAMETERS!$BH$25:$BK$25,0)))*(G211-H211),0)</f>
        <v>311040.89540478744</v>
      </c>
      <c r="M211" s="802">
        <f>IFERROR(IF(INDEX(SafetyGroup,A184,1)=Hwy,NoInjValue,INDEX(PARAMETERS!$BH$26:$BK$28,3,MATCH(INDEX(SafetyGroup,A184,1),PARAMETERS!$BH$25:$BK$25,0)))*(I211-J211),0)</f>
        <v>59947.974396049256</v>
      </c>
      <c r="N211" s="369">
        <f t="shared" si="58"/>
        <v>1826280.9189068344</v>
      </c>
      <c r="O211" s="370">
        <f t="shared" si="53"/>
        <v>770609.07126995153</v>
      </c>
      <c r="Q211" s="812">
        <f t="shared" si="54"/>
        <v>0.1233298346699998</v>
      </c>
      <c r="R211" s="785">
        <f t="shared" si="55"/>
        <v>2.6712191258600342</v>
      </c>
      <c r="S211" s="788">
        <f t="shared" si="56"/>
        <v>19.338056256790082</v>
      </c>
    </row>
    <row r="212" spans="2:19" x14ac:dyDescent="0.25">
      <c r="B212" s="375">
        <f t="shared" si="57"/>
        <v>2045</v>
      </c>
      <c r="C212" s="401">
        <f>MAX(TREND(C190:C191,B190:B191,B212),0)</f>
        <v>22286589.75</v>
      </c>
      <c r="D212" s="402">
        <f>MAX(TREND(D190:D191,B190:B191,B212),0)</f>
        <v>19274190</v>
      </c>
      <c r="E212" s="725">
        <f>MAX(TREND(E190:E191,B190:B191,B212),0)</f>
        <v>0.35569397241000011</v>
      </c>
      <c r="F212" s="726">
        <f>MAX(TREND(F190:F191,B190:B191,B212),0)</f>
        <v>0.23071205430000052</v>
      </c>
      <c r="G212" s="725">
        <f>MAX(TREND(G190:G191,B190:B191,B212),0)</f>
        <v>7.7040283447800277</v>
      </c>
      <c r="H212" s="726">
        <f>MAX(TREND(H190:H191,B190:B191,B212),0)</f>
        <v>4.9970264993999933</v>
      </c>
      <c r="I212" s="725">
        <f>MAX(TREND(I190:I191,B190:B191,B212),0)</f>
        <v>55.772636581169991</v>
      </c>
      <c r="J212" s="726">
        <f>MAX(TREND(J190:J191,B190:B191,B212),0)</f>
        <v>36.175534469099944</v>
      </c>
      <c r="K212" s="729">
        <f>IFERROR(IF(INDEX(SafetyGroup,A184,1)=Hwy,FatValue,INDEX(PARAMETERS!$BH$26:$BK$28,1,MATCH(INDEX(SafetyGroup,A184,1),PARAMETERS!$BH$25:$BK$25,0)))*(E212-F212),0)</f>
        <v>1474786.6336979952</v>
      </c>
      <c r="L212" s="730">
        <f>IFERROR(IF(INDEX(SafetyGroup,A184,1)=Hwy,SUMPRODUCT(PARAMETERS!$E$64:$E$66,PARAMETERS!$BC$12:$BC$14),INDEX(PARAMETERS!$BH$26:$BK$28,2,MATCH(INDEX(SafetyGroup,A184,1),PARAMETERS!$BH$25:$BK$25,0)))*(G212-H212),0)</f>
        <v>315207.49072891154</v>
      </c>
      <c r="M212" s="802">
        <f>IFERROR(IF(INDEX(SafetyGroup,A184,1)=Hwy,NoInjValue,INDEX(PARAMETERS!$BH$26:$BK$28,3,MATCH(INDEX(SafetyGroup,A184,1),PARAMETERS!$BH$25:$BK$25,0)))*(I212-J212),0)</f>
        <v>60751.016547417144</v>
      </c>
      <c r="N212" s="369">
        <f t="shared" si="58"/>
        <v>1850745.1409743237</v>
      </c>
      <c r="O212" s="370">
        <f t="shared" si="53"/>
        <v>750896.03995340888</v>
      </c>
      <c r="Q212" s="812">
        <f t="shared" si="54"/>
        <v>0.12498191810999959</v>
      </c>
      <c r="R212" s="785">
        <f t="shared" si="55"/>
        <v>2.7070018453800344</v>
      </c>
      <c r="S212" s="788">
        <f t="shared" si="56"/>
        <v>19.597102112070047</v>
      </c>
    </row>
    <row r="213" spans="2:19" x14ac:dyDescent="0.25">
      <c r="B213" s="385"/>
      <c r="C213" s="386"/>
      <c r="D213" s="386"/>
      <c r="E213" s="386"/>
      <c r="F213" s="386"/>
      <c r="G213" s="388"/>
      <c r="H213" s="388"/>
      <c r="I213" s="388"/>
      <c r="J213" s="388"/>
      <c r="K213" s="388"/>
      <c r="L213" s="388"/>
      <c r="M213" s="388"/>
      <c r="N213" s="388"/>
      <c r="O213" s="389"/>
      <c r="Q213" s="390"/>
      <c r="R213" s="390"/>
    </row>
    <row r="214" spans="2:19" x14ac:dyDescent="0.25">
      <c r="B214" s="407" t="s">
        <v>56</v>
      </c>
      <c r="C214" s="413"/>
      <c r="D214" s="414"/>
      <c r="E214" s="414"/>
      <c r="F214" s="414"/>
      <c r="G214" s="414"/>
      <c r="H214" s="414"/>
      <c r="I214" s="414"/>
      <c r="J214" s="414"/>
      <c r="K214" s="414"/>
      <c r="L214" s="414"/>
      <c r="M214" s="415"/>
      <c r="N214" s="414"/>
      <c r="O214" s="409">
        <f>SUM(O193:O212)</f>
        <v>19170775.504377134</v>
      </c>
      <c r="Q214" s="411">
        <f>SUM(Q193:Q212)</f>
        <v>2.1857425085999971</v>
      </c>
      <c r="R214" s="411">
        <f>SUM(R193:R212)</f>
        <v>47.341320198800432</v>
      </c>
      <c r="S214" s="411">
        <f>SUM(S193:S212)</f>
        <v>342.72332973820119</v>
      </c>
    </row>
    <row r="215" spans="2:19" x14ac:dyDescent="0.25">
      <c r="B215" s="2"/>
      <c r="C215" s="418"/>
      <c r="D215" s="2"/>
      <c r="E215" s="2"/>
      <c r="F215" s="2"/>
      <c r="G215" s="2"/>
      <c r="H215" s="2"/>
      <c r="I215" s="2"/>
      <c r="J215" s="2"/>
      <c r="K215" s="2"/>
      <c r="L215" s="2"/>
      <c r="M215" s="2"/>
      <c r="N215" s="2"/>
      <c r="O215" s="2"/>
    </row>
  </sheetData>
  <mergeCells count="30">
    <mergeCell ref="Z95:Z97"/>
    <mergeCell ref="AA95:AA97"/>
    <mergeCell ref="W129:W131"/>
    <mergeCell ref="X129:X131"/>
    <mergeCell ref="Y129:Y131"/>
    <mergeCell ref="Z129:Z131"/>
    <mergeCell ref="AA129:AA131"/>
    <mergeCell ref="Z27:Z29"/>
    <mergeCell ref="AA27:AA29"/>
    <mergeCell ref="W61:W63"/>
    <mergeCell ref="X61:X63"/>
    <mergeCell ref="Y61:Y63"/>
    <mergeCell ref="Z61:Z63"/>
    <mergeCell ref="AA61:AA63"/>
    <mergeCell ref="C153:D153"/>
    <mergeCell ref="C185:D185"/>
    <mergeCell ref="W27:W29"/>
    <mergeCell ref="X27:X29"/>
    <mergeCell ref="Y27:Y29"/>
    <mergeCell ref="W95:W97"/>
    <mergeCell ref="X95:X97"/>
    <mergeCell ref="Y95:Y97"/>
    <mergeCell ref="V27:V29"/>
    <mergeCell ref="C25:D25"/>
    <mergeCell ref="V61:V63"/>
    <mergeCell ref="V95:V97"/>
    <mergeCell ref="V129:V131"/>
    <mergeCell ref="C57:D57"/>
    <mergeCell ref="C89:D89"/>
    <mergeCell ref="C121:D121"/>
  </mergeCells>
  <printOptions horizontalCentered="1"/>
  <pageMargins left="0.25" right="0.25" top="0.75" bottom="0.75" header="0.5" footer="0.5"/>
  <pageSetup scale="55" orientation="landscape" r:id="rId1"/>
  <headerFooter alignWithMargins="0">
    <oddFooter>&amp;L&amp;8Transportation Economics
Caltrans DOTP&amp;C&amp;8Cal-B/C &amp;A&amp;R&amp;8Page &amp;P
&amp;D</oddFooter>
  </headerFooter>
  <ignoredErrors>
    <ignoredError sqref="AH30:AH49"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CL646"/>
  <sheetViews>
    <sheetView showGridLines="0" topLeftCell="AY1" zoomScale="70" zoomScaleNormal="70" workbookViewId="0"/>
  </sheetViews>
  <sheetFormatPr defaultColWidth="9.42578125" defaultRowHeight="15" x14ac:dyDescent="0.25"/>
  <cols>
    <col min="1" max="1" width="9.42578125" style="1"/>
    <col min="2" max="2" width="7.5703125" style="184" customWidth="1"/>
    <col min="3" max="3" width="14.5703125" style="184" customWidth="1"/>
    <col min="4" max="14" width="14.5703125" style="283" customWidth="1"/>
    <col min="15" max="15" width="14.5703125" style="1" customWidth="1"/>
    <col min="16" max="19" width="14.5703125" style="3" customWidth="1"/>
    <col min="20" max="20" width="15.42578125" style="3" customWidth="1"/>
    <col min="21" max="27" width="14.5703125" style="3" customWidth="1"/>
    <col min="28" max="28" width="15.5703125" style="3" customWidth="1"/>
    <col min="29" max="29" width="2.5703125" style="3" customWidth="1"/>
    <col min="30" max="59" width="14.42578125" style="3" customWidth="1"/>
    <col min="60" max="60" width="14.42578125" style="1" customWidth="1"/>
    <col min="61" max="62" width="14.42578125" style="184" customWidth="1"/>
    <col min="63" max="63" width="14.42578125" style="283" customWidth="1"/>
    <col min="64" max="64" width="9" style="283" customWidth="1"/>
    <col min="65" max="65" width="9.42578125" style="1" customWidth="1"/>
    <col min="66" max="66" width="7.5703125" style="1" customWidth="1"/>
    <col min="67" max="72" width="19.42578125" style="1" customWidth="1"/>
    <col min="73" max="73" width="2.42578125" customWidth="1"/>
    <col min="74" max="74" width="21.42578125" style="1" customWidth="1"/>
    <col min="75" max="75" width="2.42578125" style="1" customWidth="1"/>
    <col min="76" max="76" width="17" style="1" customWidth="1"/>
    <col min="77" max="77" width="9.42578125" style="1"/>
    <col min="78" max="90" width="14.42578125" style="1" customWidth="1"/>
    <col min="91" max="16384" width="9.42578125" style="1"/>
  </cols>
  <sheetData>
    <row r="1" spans="1:90" ht="20.25" x14ac:dyDescent="0.3">
      <c r="B1" s="282" t="s">
        <v>320</v>
      </c>
      <c r="K1" s="1"/>
      <c r="L1" s="3"/>
      <c r="M1" s="3"/>
      <c r="N1" s="3"/>
      <c r="O1" s="3"/>
      <c r="Q1" s="1"/>
      <c r="R1" s="282"/>
      <c r="S1" s="282"/>
      <c r="T1" s="282"/>
      <c r="U1" s="282"/>
      <c r="V1" s="282"/>
      <c r="W1" s="282"/>
      <c r="X1" s="282"/>
      <c r="Y1" s="282"/>
      <c r="Z1" s="282"/>
      <c r="AA1" s="282"/>
      <c r="AB1" s="184"/>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3"/>
      <c r="BI1" s="3"/>
      <c r="BJ1" s="3"/>
      <c r="BK1" s="3"/>
      <c r="BL1" s="1"/>
    </row>
    <row r="2" spans="1:90" x14ac:dyDescent="0.25">
      <c r="K2" s="1"/>
      <c r="L2" s="3"/>
      <c r="M2" s="3"/>
      <c r="N2" s="3"/>
      <c r="O2" s="3"/>
      <c r="Q2" s="1"/>
      <c r="R2" s="184"/>
      <c r="S2" s="184"/>
      <c r="T2" s="184"/>
      <c r="U2" s="184"/>
      <c r="V2" s="184"/>
      <c r="W2" s="184"/>
      <c r="X2" s="184"/>
      <c r="Y2" s="184"/>
      <c r="Z2" s="184"/>
      <c r="AA2" s="184"/>
      <c r="AB2" s="184"/>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3"/>
      <c r="BI2" s="3"/>
      <c r="BJ2" s="3"/>
      <c r="BK2" s="3"/>
      <c r="BL2" s="1"/>
    </row>
    <row r="3" spans="1:90" ht="18.75" x14ac:dyDescent="0.25">
      <c r="B3" s="284" t="s">
        <v>321</v>
      </c>
      <c r="C3" s="1"/>
      <c r="D3" s="2"/>
      <c r="E3" s="2"/>
      <c r="F3" s="2"/>
      <c r="G3" s="2"/>
      <c r="H3" s="2"/>
      <c r="I3" s="2"/>
      <c r="J3" s="2"/>
      <c r="K3" s="13"/>
      <c r="L3" s="13"/>
      <c r="M3" s="13"/>
      <c r="N3" s="2"/>
      <c r="O3" s="2"/>
      <c r="P3" s="2"/>
      <c r="Q3" s="1"/>
      <c r="R3" s="284"/>
      <c r="S3" s="284"/>
      <c r="T3" s="284"/>
      <c r="U3" s="284"/>
      <c r="V3" s="284"/>
      <c r="W3" s="284"/>
      <c r="X3" s="284"/>
      <c r="Y3" s="284"/>
      <c r="Z3" s="284"/>
      <c r="AA3" s="284"/>
      <c r="AB3" s="1"/>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13"/>
      <c r="BI3" s="2"/>
      <c r="BJ3" s="2"/>
      <c r="BK3" s="2"/>
      <c r="BL3" s="1"/>
    </row>
    <row r="4" spans="1:90" ht="18.75" x14ac:dyDescent="0.25">
      <c r="B4" s="284"/>
      <c r="C4" s="1"/>
      <c r="D4" s="2"/>
      <c r="E4" s="2"/>
      <c r="F4" s="2"/>
      <c r="G4" s="2"/>
      <c r="H4" s="2"/>
      <c r="I4" s="2"/>
      <c r="J4" s="2"/>
      <c r="K4" s="13"/>
      <c r="L4" s="13"/>
      <c r="M4" s="13"/>
      <c r="N4" s="2"/>
      <c r="O4" s="2"/>
      <c r="P4" s="2"/>
      <c r="Q4" s="1"/>
      <c r="R4" s="284"/>
      <c r="S4" s="284"/>
      <c r="T4" s="284"/>
      <c r="U4" s="284"/>
      <c r="V4" s="284"/>
      <c r="W4" s="284"/>
      <c r="X4" s="284"/>
      <c r="Y4" s="284"/>
      <c r="Z4" s="284"/>
      <c r="AA4" s="284"/>
      <c r="AB4" s="1"/>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13"/>
      <c r="BI4" s="2"/>
      <c r="BJ4" s="2"/>
      <c r="BK4" s="2"/>
      <c r="BL4" s="1"/>
    </row>
    <row r="5" spans="1:90" ht="18.75" x14ac:dyDescent="0.25">
      <c r="B5" s="285" t="s">
        <v>166</v>
      </c>
      <c r="C5" s="43"/>
      <c r="D5" s="59"/>
      <c r="E5" s="59"/>
      <c r="F5" s="59"/>
      <c r="G5" s="59"/>
      <c r="H5" s="59"/>
      <c r="I5" s="59"/>
      <c r="J5" s="59"/>
      <c r="K5" s="286"/>
      <c r="L5" s="286"/>
      <c r="M5" s="286"/>
      <c r="N5" s="59"/>
      <c r="O5" s="59"/>
      <c r="P5" s="60"/>
      <c r="Q5" s="1"/>
      <c r="AA5" s="31" t="s">
        <v>57</v>
      </c>
      <c r="AB5" s="32"/>
      <c r="AC5" s="33"/>
      <c r="AD5" s="33"/>
      <c r="AE5" s="34"/>
      <c r="AF5" s="2"/>
      <c r="AG5" s="2"/>
      <c r="AH5" s="2"/>
      <c r="AI5" s="2"/>
      <c r="AJ5" s="2"/>
      <c r="AK5" s="2"/>
      <c r="AL5" s="2"/>
      <c r="AM5" s="2"/>
      <c r="AN5" s="2"/>
      <c r="AO5" s="2"/>
      <c r="AP5" s="2"/>
      <c r="AQ5" s="2"/>
      <c r="AR5" s="2"/>
      <c r="AS5" s="2"/>
      <c r="AT5" s="2"/>
      <c r="AU5" s="2"/>
      <c r="AV5" s="2"/>
      <c r="AW5" s="2"/>
      <c r="AX5" s="2"/>
      <c r="AY5" s="2"/>
      <c r="AZ5" s="2"/>
      <c r="BA5" s="2"/>
      <c r="BB5" s="2"/>
      <c r="BC5" s="13"/>
      <c r="BD5" s="2"/>
      <c r="BE5" s="2"/>
      <c r="BF5" s="2"/>
      <c r="BG5" s="1"/>
      <c r="BI5" s="1"/>
      <c r="BJ5" s="1"/>
      <c r="BK5"/>
      <c r="BL5" s="1"/>
      <c r="BU5" s="1"/>
    </row>
    <row r="6" spans="1:90" x14ac:dyDescent="0.25">
      <c r="B6" s="287"/>
      <c r="C6" s="51"/>
      <c r="D6" s="270"/>
      <c r="E6" s="270"/>
      <c r="F6" s="270"/>
      <c r="G6" s="270"/>
      <c r="H6" s="270"/>
      <c r="I6" s="270"/>
      <c r="J6" s="270"/>
      <c r="K6" s="288"/>
      <c r="L6" s="288"/>
      <c r="M6" s="288"/>
      <c r="N6" s="270"/>
      <c r="O6" s="270"/>
      <c r="P6" s="293"/>
      <c r="Q6" s="1"/>
      <c r="AA6" s="40"/>
      <c r="AB6" s="1037" t="s">
        <v>170</v>
      </c>
      <c r="AC6" s="1037"/>
      <c r="AD6" s="1037"/>
      <c r="AE6" s="1038"/>
      <c r="AF6" s="2"/>
      <c r="AG6" s="2"/>
      <c r="AH6" s="2"/>
      <c r="AI6" s="2"/>
      <c r="AJ6" s="2"/>
      <c r="AK6" s="2"/>
      <c r="AL6" s="2"/>
      <c r="AM6" s="2"/>
      <c r="AN6" s="2"/>
      <c r="AO6" s="2"/>
      <c r="AP6" s="2"/>
      <c r="AQ6" s="2"/>
      <c r="AR6" s="2"/>
      <c r="AS6" s="2"/>
      <c r="AT6" s="2"/>
      <c r="AU6" s="2"/>
      <c r="AV6" s="2"/>
      <c r="AW6" s="2"/>
      <c r="AX6" s="2"/>
      <c r="AY6" s="2"/>
      <c r="AZ6" s="2"/>
      <c r="BA6" s="2"/>
      <c r="BB6" s="2"/>
      <c r="BC6" s="13"/>
      <c r="BD6" s="2"/>
      <c r="BE6" s="2"/>
      <c r="BF6" s="2"/>
      <c r="BG6" s="1"/>
      <c r="BI6" s="1"/>
      <c r="BJ6" s="1"/>
      <c r="BK6"/>
      <c r="BL6" s="1"/>
      <c r="BU6" s="1"/>
    </row>
    <row r="7" spans="1:90" x14ac:dyDescent="0.25">
      <c r="B7" s="296" t="s">
        <v>255</v>
      </c>
      <c r="C7" s="291"/>
      <c r="D7" s="297"/>
      <c r="E7" s="297"/>
      <c r="F7" s="298"/>
      <c r="G7" s="532"/>
      <c r="H7" s="532"/>
      <c r="I7" s="532"/>
      <c r="J7" s="532"/>
      <c r="K7" s="51"/>
      <c r="L7" s="964" t="s">
        <v>322</v>
      </c>
      <c r="M7" s="297"/>
      <c r="N7" s="297"/>
      <c r="O7" s="292"/>
      <c r="P7" s="293"/>
      <c r="Q7" s="1"/>
      <c r="R7" s="302"/>
      <c r="S7" s="302"/>
      <c r="T7" s="302"/>
      <c r="U7" s="302"/>
      <c r="V7" s="302"/>
      <c r="W7" s="302"/>
      <c r="X7" s="302"/>
      <c r="Y7" s="302"/>
      <c r="Z7" s="302"/>
      <c r="AA7" s="302"/>
      <c r="AB7" s="2"/>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
      <c r="BH7" s="2"/>
      <c r="BI7" s="2"/>
      <c r="BJ7" s="3"/>
      <c r="BK7" s="2"/>
      <c r="BL7" s="1"/>
    </row>
    <row r="8" spans="1:90" x14ac:dyDescent="0.25">
      <c r="B8" s="303" t="s">
        <v>258</v>
      </c>
      <c r="C8" s="51"/>
      <c r="D8" s="420" t="s">
        <v>259</v>
      </c>
      <c r="E8" s="420" t="s">
        <v>260</v>
      </c>
      <c r="F8" s="270"/>
      <c r="G8" s="270"/>
      <c r="H8" s="270"/>
      <c r="I8" s="270"/>
      <c r="J8" s="270"/>
      <c r="K8" s="270"/>
      <c r="L8" s="299" t="s">
        <v>299</v>
      </c>
      <c r="M8" s="270"/>
      <c r="N8" s="299" t="s">
        <v>258</v>
      </c>
      <c r="O8" s="299" t="s">
        <v>323</v>
      </c>
      <c r="P8" s="293"/>
      <c r="Q8" s="1"/>
      <c r="R8" s="305"/>
      <c r="S8" s="305"/>
      <c r="T8" s="305"/>
      <c r="U8" s="305"/>
      <c r="V8" s="305"/>
      <c r="W8" s="305"/>
      <c r="X8" s="305"/>
      <c r="Y8" s="305"/>
      <c r="Z8" s="305"/>
      <c r="AA8" s="305"/>
      <c r="AB8" s="1"/>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306"/>
      <c r="BI8" s="2"/>
      <c r="BJ8" s="2"/>
      <c r="BK8" s="2"/>
      <c r="BL8" s="1"/>
    </row>
    <row r="9" spans="1:90" x14ac:dyDescent="0.25">
      <c r="B9" s="237"/>
      <c r="C9" s="270"/>
      <c r="D9" s="270"/>
      <c r="E9" s="270"/>
      <c r="F9" s="270"/>
      <c r="G9" s="270"/>
      <c r="H9" s="270"/>
      <c r="I9" s="270"/>
      <c r="J9" s="270"/>
      <c r="K9" s="270"/>
      <c r="L9" s="51"/>
      <c r="M9" s="51"/>
      <c r="N9" s="51"/>
      <c r="O9" s="270"/>
      <c r="P9" s="293"/>
      <c r="Q9" s="1"/>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I9" s="1"/>
      <c r="BJ9" s="2"/>
      <c r="BK9" s="2"/>
      <c r="BL9" s="1"/>
    </row>
    <row r="10" spans="1:90" x14ac:dyDescent="0.25">
      <c r="B10" s="296" t="s">
        <v>324</v>
      </c>
      <c r="C10" s="291"/>
      <c r="D10" s="297"/>
      <c r="E10" s="297"/>
      <c r="F10" s="292"/>
      <c r="G10" s="841"/>
      <c r="H10" s="841"/>
      <c r="I10" s="841"/>
      <c r="J10" s="841"/>
      <c r="K10" s="270"/>
      <c r="L10" s="51"/>
      <c r="M10" s="51"/>
      <c r="N10" s="51"/>
      <c r="O10" s="270"/>
      <c r="P10" s="293"/>
      <c r="Q10" s="1"/>
      <c r="R10" s="302"/>
      <c r="S10" s="302"/>
      <c r="T10" s="302"/>
      <c r="U10" s="302"/>
      <c r="V10" s="302"/>
      <c r="W10" s="302"/>
      <c r="X10" s="302"/>
      <c r="Y10" s="302"/>
      <c r="Z10" s="302"/>
      <c r="AA10" s="302"/>
      <c r="AB10" s="2"/>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2"/>
      <c r="BH10" s="2"/>
      <c r="BI10" s="1"/>
      <c r="BJ10" s="3"/>
      <c r="BK10" s="2"/>
      <c r="BL10" s="1"/>
    </row>
    <row r="11" spans="1:90" x14ac:dyDescent="0.25">
      <c r="B11" s="307" t="s">
        <v>299</v>
      </c>
      <c r="C11" s="279"/>
      <c r="D11" s="308" t="s">
        <v>258</v>
      </c>
      <c r="E11" s="308" t="s">
        <v>323</v>
      </c>
      <c r="F11" s="309"/>
      <c r="G11" s="309"/>
      <c r="H11" s="309"/>
      <c r="I11" s="309"/>
      <c r="J11" s="309"/>
      <c r="K11" s="309"/>
      <c r="L11" s="279"/>
      <c r="M11" s="279"/>
      <c r="N11" s="124"/>
      <c r="O11" s="124"/>
      <c r="P11" s="210"/>
      <c r="Q11" s="1"/>
      <c r="R11" s="310"/>
      <c r="S11" s="310"/>
      <c r="T11" s="310"/>
      <c r="U11" s="310"/>
      <c r="V11" s="310"/>
      <c r="W11" s="310"/>
      <c r="X11" s="310"/>
      <c r="Y11" s="310"/>
      <c r="Z11" s="310"/>
      <c r="AA11" s="310"/>
      <c r="AB11" s="2"/>
      <c r="AC11" s="310"/>
      <c r="AD11" s="310"/>
      <c r="AE11" s="310"/>
      <c r="AF11" s="310"/>
      <c r="AG11" s="310"/>
      <c r="AH11" s="310"/>
      <c r="AI11" s="310"/>
      <c r="AJ11" s="310"/>
      <c r="AK11" s="310"/>
      <c r="AL11" s="310"/>
      <c r="AM11" s="310"/>
      <c r="AN11" s="310"/>
      <c r="AO11" s="310"/>
      <c r="AP11" s="310"/>
      <c r="AQ11" s="310"/>
      <c r="AR11" s="310"/>
      <c r="AS11" s="310"/>
      <c r="AT11" s="310"/>
      <c r="AU11" s="310"/>
      <c r="AV11" s="310"/>
      <c r="AW11" s="310"/>
      <c r="AX11" s="310"/>
      <c r="AY11" s="310"/>
      <c r="AZ11" s="310"/>
      <c r="BA11" s="310"/>
      <c r="BB11" s="310"/>
      <c r="BC11" s="310"/>
      <c r="BD11" s="310"/>
      <c r="BE11" s="310"/>
      <c r="BF11" s="310"/>
      <c r="BG11" s="311"/>
      <c r="BH11" s="2"/>
      <c r="BI11" s="1"/>
      <c r="BJ11" s="1"/>
      <c r="BK11" s="1"/>
      <c r="BL11" s="1"/>
    </row>
    <row r="12" spans="1:90" x14ac:dyDescent="0.25">
      <c r="A12" s="310"/>
      <c r="B12" s="1"/>
      <c r="C12" s="1"/>
      <c r="D12" s="1"/>
      <c r="E12" s="1"/>
      <c r="F12" s="1"/>
      <c r="G12" s="1"/>
      <c r="H12" s="1"/>
      <c r="I12" s="1"/>
      <c r="J12" s="1"/>
      <c r="K12" s="1"/>
      <c r="L12" s="1"/>
      <c r="M12" s="1"/>
      <c r="N12" s="1"/>
      <c r="P12" s="1"/>
      <c r="Q12" s="1"/>
      <c r="R12" s="2"/>
      <c r="S12" s="2"/>
      <c r="T12" s="2"/>
      <c r="U12" s="2"/>
      <c r="V12" s="2"/>
      <c r="W12" s="2"/>
      <c r="X12" s="2"/>
      <c r="Y12" s="2"/>
      <c r="Z12" s="2"/>
      <c r="AA12" s="2"/>
      <c r="AB12" s="310"/>
      <c r="AC12" s="311"/>
      <c r="AD12" s="311"/>
      <c r="AE12" s="311"/>
      <c r="AF12" s="311"/>
      <c r="AG12" s="311"/>
      <c r="AH12" s="311"/>
      <c r="AI12" s="311"/>
      <c r="AJ12" s="311"/>
      <c r="AK12" s="311"/>
      <c r="AL12" s="311"/>
      <c r="AM12" s="311"/>
      <c r="AN12" s="311"/>
      <c r="AO12" s="311"/>
      <c r="AP12" s="311"/>
      <c r="AQ12" s="311"/>
      <c r="AR12" s="311"/>
      <c r="AS12" s="311"/>
      <c r="AT12" s="311"/>
      <c r="AU12" s="311"/>
      <c r="AV12" s="311"/>
      <c r="AW12" s="311"/>
      <c r="AX12" s="311"/>
      <c r="AY12" s="311"/>
      <c r="AZ12" s="311"/>
      <c r="BA12" s="311"/>
      <c r="BB12" s="311"/>
      <c r="BC12" s="311"/>
      <c r="BD12" s="311"/>
      <c r="BE12" s="311"/>
      <c r="BF12" s="311"/>
      <c r="BG12" s="311"/>
      <c r="BH12" s="310"/>
      <c r="BI12" s="1"/>
      <c r="BJ12" s="1"/>
      <c r="BK12" s="1"/>
      <c r="BL12" s="1"/>
    </row>
    <row r="13" spans="1:90" x14ac:dyDescent="0.25">
      <c r="A13" s="310"/>
      <c r="B13" s="2"/>
      <c r="C13" s="310"/>
      <c r="D13" s="311"/>
      <c r="E13" s="311"/>
      <c r="F13" s="311"/>
      <c r="G13" s="311"/>
      <c r="H13" s="311"/>
      <c r="I13" s="311"/>
      <c r="J13" s="311"/>
      <c r="K13" s="311"/>
      <c r="L13" s="311"/>
      <c r="M13" s="311"/>
      <c r="N13" s="311"/>
      <c r="O13" s="2"/>
      <c r="P13" s="310"/>
      <c r="Q13" s="310"/>
      <c r="R13" s="1"/>
      <c r="S13" s="310"/>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I13" s="2"/>
      <c r="BJ13" s="310"/>
      <c r="BK13" s="311"/>
      <c r="BL13" s="311"/>
      <c r="BN13" s="2"/>
      <c r="BO13" s="310"/>
      <c r="BP13" s="310"/>
      <c r="BQ13" s="310"/>
      <c r="BR13" s="310"/>
      <c r="BS13" s="310"/>
      <c r="BT13" s="310"/>
      <c r="BV13" s="310"/>
      <c r="BW13" s="310"/>
    </row>
    <row r="14" spans="1:90" x14ac:dyDescent="0.25">
      <c r="A14" s="310"/>
      <c r="B14" s="2"/>
      <c r="C14" s="310"/>
      <c r="D14" s="311"/>
      <c r="E14" s="311"/>
      <c r="F14" s="311"/>
      <c r="G14" s="311"/>
      <c r="H14" s="311"/>
      <c r="I14" s="311"/>
      <c r="J14" s="311"/>
      <c r="K14" s="311"/>
      <c r="L14" s="311"/>
      <c r="M14" s="311"/>
      <c r="N14" s="311"/>
      <c r="O14" s="2"/>
      <c r="P14" s="310"/>
      <c r="Q14" s="310"/>
      <c r="R14" s="1"/>
      <c r="S14" s="310"/>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I14" s="2"/>
      <c r="BJ14" s="310"/>
      <c r="BK14" s="311"/>
      <c r="BL14" s="311"/>
      <c r="BN14" s="2"/>
      <c r="BO14" s="310"/>
      <c r="BP14" s="310"/>
      <c r="BQ14" s="310"/>
      <c r="BR14" s="310"/>
      <c r="BS14" s="310"/>
      <c r="BT14" s="310"/>
      <c r="BV14" s="310"/>
      <c r="BW14" s="310"/>
    </row>
    <row r="15" spans="1:90" ht="20.25" x14ac:dyDescent="0.3">
      <c r="A15" s="310"/>
      <c r="B15" s="159" t="s">
        <v>186</v>
      </c>
      <c r="C15" s="312" t="s">
        <v>269</v>
      </c>
      <c r="D15" s="313"/>
      <c r="E15" s="313"/>
      <c r="F15" s="313"/>
      <c r="G15" s="313"/>
      <c r="H15" s="313"/>
      <c r="I15" s="313"/>
      <c r="J15" s="313"/>
      <c r="K15" s="313"/>
      <c r="L15" s="313"/>
      <c r="M15" s="313"/>
      <c r="N15" s="313"/>
      <c r="O15" s="313"/>
      <c r="P15" s="314"/>
      <c r="Q15" s="314"/>
      <c r="R15" s="315"/>
      <c r="S15" s="314"/>
      <c r="T15" s="315"/>
      <c r="U15" s="315"/>
      <c r="V15" s="315"/>
      <c r="W15" s="315"/>
      <c r="X15" s="315"/>
      <c r="Y15" s="315"/>
      <c r="Z15" s="315"/>
      <c r="AA15" s="315"/>
      <c r="AB15" s="315"/>
      <c r="AC15" s="315"/>
      <c r="AD15" s="1026"/>
      <c r="AE15" s="1026"/>
      <c r="AF15" s="1026"/>
      <c r="AG15" s="1026"/>
      <c r="AH15" s="1026"/>
      <c r="AI15" s="1026"/>
      <c r="AJ15" s="1026"/>
      <c r="AK15" s="1026"/>
      <c r="AL15" s="1026"/>
      <c r="AM15" s="1026"/>
      <c r="AN15" s="1026"/>
      <c r="AO15" s="1026"/>
      <c r="AP15" s="1026"/>
      <c r="AQ15" s="1026"/>
      <c r="AR15" s="1026"/>
      <c r="AS15" s="1026"/>
      <c r="AT15" s="1026"/>
      <c r="AU15" s="1026"/>
      <c r="AV15" s="1026"/>
      <c r="AW15" s="1026"/>
      <c r="AX15" s="1026"/>
      <c r="AY15" s="1026"/>
      <c r="AZ15" s="1026"/>
      <c r="BA15" s="1026"/>
      <c r="BB15" s="1026"/>
      <c r="BC15" s="1026"/>
      <c r="BD15" s="1026"/>
      <c r="BE15" s="1026"/>
      <c r="BF15" s="1026"/>
      <c r="BG15" s="1026"/>
      <c r="BI15" s="1"/>
      <c r="BJ15" s="1027"/>
      <c r="BK15" s="443"/>
      <c r="BL15" s="313"/>
      <c r="BN15" s="159" t="s">
        <v>188</v>
      </c>
      <c r="BO15" s="316" t="s">
        <v>325</v>
      </c>
      <c r="BP15" s="316"/>
      <c r="BQ15" s="316"/>
      <c r="BR15" s="316"/>
      <c r="BS15" s="316"/>
      <c r="BT15" s="316"/>
      <c r="BV15" s="316"/>
      <c r="BW15" s="314"/>
      <c r="BX15" s="162"/>
      <c r="BZ15" s="312" t="s">
        <v>326</v>
      </c>
      <c r="CA15" s="707"/>
      <c r="CB15" s="162"/>
      <c r="CC15" s="162"/>
      <c r="CD15" s="162"/>
      <c r="CE15" s="162"/>
      <c r="CF15" s="162"/>
      <c r="CG15" s="162"/>
      <c r="CH15" s="162"/>
      <c r="CI15" s="162"/>
      <c r="CJ15" s="162"/>
      <c r="CK15" s="162"/>
      <c r="CL15" s="162"/>
    </row>
    <row r="16" spans="1:90" ht="18" x14ac:dyDescent="0.25">
      <c r="A16" s="310"/>
      <c r="B16" s="2"/>
      <c r="C16" s="310"/>
      <c r="D16" s="311"/>
      <c r="E16" s="311"/>
      <c r="F16" s="311"/>
      <c r="G16" s="311"/>
      <c r="H16" s="311"/>
      <c r="I16" s="311"/>
      <c r="J16" s="311"/>
      <c r="K16" s="311"/>
      <c r="L16" s="311"/>
      <c r="M16" s="311"/>
      <c r="N16" s="311"/>
      <c r="O16" s="2"/>
      <c r="P16" s="310"/>
      <c r="Q16" s="310"/>
      <c r="R16" s="306"/>
      <c r="S16" s="310"/>
      <c r="T16" s="306"/>
      <c r="U16" s="306"/>
      <c r="V16" s="306"/>
      <c r="W16" s="306"/>
      <c r="X16" s="306"/>
      <c r="Y16" s="306"/>
      <c r="Z16" s="306"/>
      <c r="AA16" s="2"/>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I16" s="2"/>
      <c r="BJ16" s="310"/>
      <c r="BK16" s="311"/>
      <c r="BL16" s="311"/>
      <c r="BN16" s="316"/>
      <c r="BO16" s="310"/>
      <c r="BP16" s="310"/>
      <c r="BQ16" s="310"/>
      <c r="BR16" s="310"/>
      <c r="BS16" s="310"/>
      <c r="BT16" s="310"/>
      <c r="BV16" s="310"/>
      <c r="BW16" s="310"/>
      <c r="BZ16" s="312"/>
      <c r="CA16" s="707"/>
      <c r="CB16" s="162"/>
      <c r="CC16" s="162"/>
      <c r="CD16" s="162"/>
      <c r="CE16" s="162"/>
      <c r="CF16" s="162"/>
      <c r="CG16" s="162"/>
      <c r="CH16" s="162"/>
      <c r="CI16" s="162"/>
      <c r="CJ16" s="162"/>
      <c r="CK16" s="162"/>
      <c r="CL16" s="162"/>
    </row>
    <row r="17" spans="1:90" x14ac:dyDescent="0.25">
      <c r="A17" s="317"/>
      <c r="B17" s="2"/>
      <c r="C17" s="317"/>
      <c r="D17" s="318"/>
      <c r="E17" s="318"/>
      <c r="F17" s="318"/>
      <c r="G17" s="318"/>
      <c r="H17" s="318"/>
      <c r="I17" s="318"/>
      <c r="J17" s="318"/>
      <c r="K17" s="318"/>
      <c r="L17" s="318"/>
      <c r="M17" s="318"/>
      <c r="N17" s="426"/>
      <c r="O17" s="2"/>
      <c r="P17" s="317"/>
      <c r="Q17" s="317"/>
      <c r="R17" s="149"/>
      <c r="S17" s="317"/>
      <c r="T17" s="149"/>
      <c r="U17" s="149"/>
      <c r="V17" s="149"/>
      <c r="W17" s="149"/>
      <c r="X17" s="149"/>
      <c r="Y17" s="149"/>
      <c r="Z17" s="149"/>
      <c r="AA17" s="2"/>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I17" s="2"/>
      <c r="BJ17" s="317"/>
      <c r="BK17" s="318"/>
      <c r="BL17" s="318"/>
    </row>
    <row r="18" spans="1:90" x14ac:dyDescent="0.25">
      <c r="A18" s="1">
        <f>MAX($A$1:A17)+1</f>
        <v>1</v>
      </c>
      <c r="B18" s="319" t="str">
        <f>IF(ISBLANK(INDEX(ModelGroup,A18,1)),"Not Used",INDEX(ModelGroup,A18,1))</f>
        <v>SB Off-ramp to Ave 280</v>
      </c>
      <c r="C18" s="2"/>
      <c r="D18" s="2"/>
      <c r="E18" s="2"/>
      <c r="F18" s="2"/>
      <c r="G18" s="2"/>
      <c r="H18" s="2"/>
      <c r="I18" s="2"/>
      <c r="J18" s="2"/>
      <c r="K18" s="2"/>
      <c r="L18" s="2"/>
      <c r="M18" s="2"/>
      <c r="N18" s="2"/>
      <c r="O18" s="2"/>
      <c r="P18" s="320"/>
      <c r="Q18" s="320"/>
      <c r="R18" s="2"/>
      <c r="S18" s="320"/>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I18" s="319"/>
      <c r="BJ18" s="2"/>
      <c r="BK18" s="2"/>
      <c r="BL18" s="2"/>
    </row>
    <row r="19" spans="1:90" ht="15.75" x14ac:dyDescent="0.25">
      <c r="B19" s="2"/>
      <c r="C19" s="2"/>
      <c r="D19" s="321"/>
      <c r="E19" s="321"/>
      <c r="F19" s="321"/>
      <c r="G19" s="321"/>
      <c r="H19" s="321"/>
      <c r="I19" s="321"/>
      <c r="J19" s="321"/>
      <c r="K19" s="321"/>
      <c r="L19" s="321"/>
      <c r="M19" s="321"/>
      <c r="N19" s="321"/>
      <c r="O19" s="2"/>
      <c r="P19" s="320"/>
      <c r="Q19" s="1788" t="s">
        <v>327</v>
      </c>
      <c r="R19" s="1789"/>
      <c r="S19" s="1789"/>
      <c r="T19" s="1790"/>
      <c r="U19" s="1788" t="s">
        <v>328</v>
      </c>
      <c r="V19" s="1789"/>
      <c r="W19" s="1788" t="s">
        <v>329</v>
      </c>
      <c r="X19" s="1790"/>
      <c r="Y19" s="1788" t="s">
        <v>330</v>
      </c>
      <c r="Z19" s="1790"/>
      <c r="AA19" s="2"/>
      <c r="AB19" s="149"/>
      <c r="AC19" s="149"/>
      <c r="AD19" s="1791" t="s">
        <v>327</v>
      </c>
      <c r="AE19" s="1792"/>
      <c r="AF19" s="1792"/>
      <c r="AG19" s="1792"/>
      <c r="AH19" s="1792"/>
      <c r="AI19" s="1792"/>
      <c r="AJ19" s="1793"/>
      <c r="AK19" s="1791" t="s">
        <v>328</v>
      </c>
      <c r="AL19" s="1792"/>
      <c r="AM19" s="1792"/>
      <c r="AN19" s="1792"/>
      <c r="AO19" s="1792"/>
      <c r="AP19" s="1792"/>
      <c r="AQ19" s="1793"/>
      <c r="AR19" s="1791" t="s">
        <v>329</v>
      </c>
      <c r="AS19" s="1792"/>
      <c r="AT19" s="1792"/>
      <c r="AU19" s="1792"/>
      <c r="AV19" s="1792"/>
      <c r="AW19" s="1792"/>
      <c r="AX19" s="1793"/>
      <c r="AY19" s="1791" t="s">
        <v>330</v>
      </c>
      <c r="AZ19" s="1792"/>
      <c r="BA19" s="1792"/>
      <c r="BB19" s="1792"/>
      <c r="BC19" s="1792"/>
      <c r="BD19" s="1792"/>
      <c r="BE19" s="1793"/>
      <c r="BF19" s="149"/>
      <c r="BG19" s="149"/>
      <c r="BI19" s="2"/>
      <c r="BJ19" s="2"/>
      <c r="BK19" s="321"/>
      <c r="BL19" s="321"/>
    </row>
    <row r="20" spans="1:90" ht="16.5" customHeight="1" x14ac:dyDescent="0.25">
      <c r="B20" s="322"/>
      <c r="C20" s="325" t="s">
        <v>271</v>
      </c>
      <c r="D20" s="326"/>
      <c r="E20" s="325" t="s">
        <v>190</v>
      </c>
      <c r="F20" s="326"/>
      <c r="G20" s="325" t="s">
        <v>331</v>
      </c>
      <c r="H20" s="326"/>
      <c r="I20" s="325" t="s">
        <v>193</v>
      </c>
      <c r="J20" s="326"/>
      <c r="K20" s="323" t="s">
        <v>272</v>
      </c>
      <c r="L20" s="427"/>
      <c r="M20" s="325" t="s">
        <v>192</v>
      </c>
      <c r="N20" s="326"/>
      <c r="O20" s="323" t="s">
        <v>332</v>
      </c>
      <c r="P20" s="324"/>
      <c r="Q20" s="327" t="s">
        <v>333</v>
      </c>
      <c r="R20" s="328"/>
      <c r="S20" s="327" t="s">
        <v>334</v>
      </c>
      <c r="T20" s="328"/>
      <c r="U20" s="327" t="s">
        <v>333</v>
      </c>
      <c r="V20" s="328"/>
      <c r="W20" s="327" t="s">
        <v>335</v>
      </c>
      <c r="X20" s="328"/>
      <c r="Y20" s="323" t="s">
        <v>335</v>
      </c>
      <c r="Z20" s="323"/>
      <c r="AA20" s="329"/>
      <c r="AB20" s="330"/>
      <c r="AC20" s="2"/>
      <c r="AD20" s="680" t="s">
        <v>336</v>
      </c>
      <c r="AE20" s="680"/>
      <c r="AF20" s="681"/>
      <c r="AG20" s="681"/>
      <c r="AH20" s="681"/>
      <c r="AI20" s="681"/>
      <c r="AJ20" s="683"/>
      <c r="AK20" s="852" t="s">
        <v>336</v>
      </c>
      <c r="AL20" s="681"/>
      <c r="AM20" s="681"/>
      <c r="AN20" s="681"/>
      <c r="AO20" s="681"/>
      <c r="AP20" s="681"/>
      <c r="AQ20" s="683"/>
      <c r="AR20" s="852" t="s">
        <v>336</v>
      </c>
      <c r="AS20" s="681"/>
      <c r="AT20" s="681"/>
      <c r="AU20" s="681"/>
      <c r="AV20" s="681"/>
      <c r="AW20" s="681"/>
      <c r="AX20" s="683"/>
      <c r="AY20" s="852" t="s">
        <v>336</v>
      </c>
      <c r="AZ20" s="681"/>
      <c r="BA20" s="681"/>
      <c r="BB20" s="681"/>
      <c r="BC20" s="681"/>
      <c r="BD20" s="681"/>
      <c r="BE20" s="683"/>
      <c r="BF20" s="849" t="s">
        <v>337</v>
      </c>
      <c r="BG20" s="682"/>
      <c r="BH20" s="681"/>
      <c r="BI20" s="681"/>
      <c r="BJ20" s="681"/>
      <c r="BK20" s="683"/>
      <c r="BL20" s="697"/>
      <c r="BN20" s="322"/>
      <c r="BO20" s="52">
        <v>1</v>
      </c>
      <c r="BP20" s="52">
        <v>2</v>
      </c>
      <c r="BQ20" s="52">
        <v>3</v>
      </c>
      <c r="BR20" s="52">
        <v>4</v>
      </c>
      <c r="BS20" s="52">
        <v>5</v>
      </c>
      <c r="BT20" s="52">
        <v>6</v>
      </c>
      <c r="BV20" s="333" t="s">
        <v>39</v>
      </c>
      <c r="BW20" s="334"/>
      <c r="BX20" s="333"/>
      <c r="BZ20" s="680" t="s">
        <v>336</v>
      </c>
      <c r="CA20" s="680"/>
      <c r="CB20" s="681"/>
      <c r="CC20" s="681"/>
      <c r="CD20" s="681"/>
      <c r="CE20" s="681"/>
      <c r="CF20" s="681"/>
      <c r="CG20" s="680" t="s">
        <v>337</v>
      </c>
      <c r="CH20" s="682"/>
      <c r="CI20" s="681"/>
      <c r="CJ20" s="681"/>
      <c r="CK20" s="681"/>
      <c r="CL20" s="683"/>
    </row>
    <row r="21" spans="1:90" x14ac:dyDescent="0.25">
      <c r="B21" s="335"/>
      <c r="C21" s="338" t="s">
        <v>274</v>
      </c>
      <c r="D21" s="339"/>
      <c r="E21" s="338" t="s">
        <v>275</v>
      </c>
      <c r="F21" s="339"/>
      <c r="G21" s="338" t="s">
        <v>338</v>
      </c>
      <c r="H21" s="339"/>
      <c r="I21" s="338" t="s">
        <v>339</v>
      </c>
      <c r="J21" s="339"/>
      <c r="K21" s="336" t="s">
        <v>276</v>
      </c>
      <c r="L21" s="428"/>
      <c r="M21" s="338" t="s">
        <v>277</v>
      </c>
      <c r="N21" s="339"/>
      <c r="O21" s="336" t="s">
        <v>340</v>
      </c>
      <c r="P21" s="337"/>
      <c r="Q21" s="340" t="s">
        <v>203</v>
      </c>
      <c r="R21" s="341"/>
      <c r="S21" s="340" t="s">
        <v>203</v>
      </c>
      <c r="T21" s="341"/>
      <c r="U21" s="340" t="s">
        <v>203</v>
      </c>
      <c r="V21" s="341"/>
      <c r="W21" s="340" t="s">
        <v>203</v>
      </c>
      <c r="X21" s="341"/>
      <c r="Y21" s="336" t="s">
        <v>203</v>
      </c>
      <c r="Z21" s="336"/>
      <c r="AA21" s="342"/>
      <c r="AB21" s="343"/>
      <c r="AC21" s="2"/>
      <c r="AD21" s="684" t="s">
        <v>341</v>
      </c>
      <c r="AE21" s="684"/>
      <c r="AF21" s="685"/>
      <c r="AG21" s="685"/>
      <c r="AH21" s="685"/>
      <c r="AI21" s="685"/>
      <c r="AJ21" s="686"/>
      <c r="AK21" s="684" t="s">
        <v>341</v>
      </c>
      <c r="AL21" s="685"/>
      <c r="AM21" s="685"/>
      <c r="AN21" s="685"/>
      <c r="AO21" s="685"/>
      <c r="AP21" s="685"/>
      <c r="AQ21" s="686"/>
      <c r="AR21" s="684" t="s">
        <v>341</v>
      </c>
      <c r="AS21" s="685"/>
      <c r="AT21" s="685"/>
      <c r="AU21" s="685"/>
      <c r="AV21" s="685"/>
      <c r="AW21" s="685"/>
      <c r="AX21" s="686"/>
      <c r="AY21" s="684" t="s">
        <v>341</v>
      </c>
      <c r="AZ21" s="685"/>
      <c r="BA21" s="685"/>
      <c r="BB21" s="685"/>
      <c r="BC21" s="685"/>
      <c r="BD21" s="685"/>
      <c r="BE21" s="686"/>
      <c r="BF21" s="685" t="s">
        <v>342</v>
      </c>
      <c r="BG21" s="687"/>
      <c r="BH21" s="688"/>
      <c r="BI21" s="688"/>
      <c r="BJ21" s="688"/>
      <c r="BK21" s="687"/>
      <c r="BL21" s="698"/>
      <c r="BN21" s="335"/>
      <c r="BO21" s="1777" t="str">
        <f t="shared" ref="BO21:BT21" si="0">IF(ISBLANK(INDEX(ModelGroup,BO20,1)),"Not Used",INDEX(ModelGroup,BO20,1))</f>
        <v>SB Off-ramp to Ave 280</v>
      </c>
      <c r="BP21" s="1777" t="str">
        <f t="shared" si="0"/>
        <v>SB On-ramp from Ave 280</v>
      </c>
      <c r="BQ21" s="1777" t="str">
        <f t="shared" si="0"/>
        <v>NB Off-ramp to Ave 280</v>
      </c>
      <c r="BR21" s="1777" t="str">
        <f t="shared" si="0"/>
        <v>NB On-ramp from Ave 280</v>
      </c>
      <c r="BS21" s="1777" t="str">
        <f t="shared" si="0"/>
        <v>NB Mainline</v>
      </c>
      <c r="BT21" s="1777" t="str">
        <f t="shared" si="0"/>
        <v>SB Mainline</v>
      </c>
      <c r="BV21" s="347" t="s">
        <v>204</v>
      </c>
      <c r="BW21" s="334"/>
      <c r="BX21" s="347"/>
      <c r="BZ21" s="684" t="s">
        <v>341</v>
      </c>
      <c r="CA21" s="684"/>
      <c r="CB21" s="685"/>
      <c r="CC21" s="685"/>
      <c r="CD21" s="685"/>
      <c r="CE21" s="685"/>
      <c r="CF21" s="686"/>
      <c r="CG21" s="684" t="s">
        <v>342</v>
      </c>
      <c r="CH21" s="687"/>
      <c r="CI21" s="688"/>
      <c r="CJ21" s="688"/>
      <c r="CK21" s="688"/>
      <c r="CL21" s="687"/>
    </row>
    <row r="22" spans="1:90" x14ac:dyDescent="0.25">
      <c r="B22" s="77" t="s">
        <v>34</v>
      </c>
      <c r="C22" s="348"/>
      <c r="D22" s="349"/>
      <c r="E22" s="348"/>
      <c r="F22" s="349"/>
      <c r="G22" s="348"/>
      <c r="H22" s="349"/>
      <c r="I22" s="348"/>
      <c r="J22" s="349"/>
      <c r="K22" s="348"/>
      <c r="L22" s="349"/>
      <c r="M22" s="348"/>
      <c r="N22" s="349"/>
      <c r="O22" s="348"/>
      <c r="P22" s="349"/>
      <c r="Q22" s="348"/>
      <c r="R22" s="349"/>
      <c r="S22" s="348"/>
      <c r="T22" s="349"/>
      <c r="U22" s="348"/>
      <c r="V22" s="349"/>
      <c r="W22" s="723"/>
      <c r="X22" s="349"/>
      <c r="Y22" s="723"/>
      <c r="Z22" s="349"/>
      <c r="AA22" s="351" t="s">
        <v>208</v>
      </c>
      <c r="AB22" s="347" t="s">
        <v>39</v>
      </c>
      <c r="AC22" s="352"/>
      <c r="AD22" s="689"/>
      <c r="AE22" s="690"/>
      <c r="AF22" s="690"/>
      <c r="AG22" s="690"/>
      <c r="AH22" s="690"/>
      <c r="AI22" s="690"/>
      <c r="AJ22" s="692"/>
      <c r="AK22" s="689"/>
      <c r="AL22" s="690"/>
      <c r="AM22" s="690"/>
      <c r="AN22" s="690"/>
      <c r="AO22" s="690"/>
      <c r="AP22" s="690"/>
      <c r="AQ22" s="692"/>
      <c r="AR22" s="689"/>
      <c r="AS22" s="690"/>
      <c r="AT22" s="690"/>
      <c r="AU22" s="690"/>
      <c r="AV22" s="690"/>
      <c r="AW22" s="690"/>
      <c r="AX22" s="692"/>
      <c r="AY22" s="689"/>
      <c r="AZ22" s="690"/>
      <c r="BA22" s="690"/>
      <c r="BB22" s="690"/>
      <c r="BC22" s="690"/>
      <c r="BD22" s="690"/>
      <c r="BE22" s="692"/>
      <c r="BF22" s="850"/>
      <c r="BG22" s="690"/>
      <c r="BH22" s="690"/>
      <c r="BI22" s="690"/>
      <c r="BJ22" s="690"/>
      <c r="BK22" s="692"/>
      <c r="BL22" s="354"/>
      <c r="BN22" s="77" t="s">
        <v>34</v>
      </c>
      <c r="BO22" s="1778"/>
      <c r="BP22" s="1778"/>
      <c r="BQ22" s="1778"/>
      <c r="BR22" s="1778"/>
      <c r="BS22" s="1778"/>
      <c r="BT22" s="1778"/>
      <c r="BV22" s="347" t="s">
        <v>343</v>
      </c>
      <c r="BW22" s="334"/>
      <c r="BX22" s="347" t="s">
        <v>208</v>
      </c>
      <c r="BZ22" s="689"/>
      <c r="CA22" s="690"/>
      <c r="CB22" s="690"/>
      <c r="CC22" s="690"/>
      <c r="CD22" s="690"/>
      <c r="CE22" s="690"/>
      <c r="CF22" s="691"/>
      <c r="CG22" s="689"/>
      <c r="CH22" s="690"/>
      <c r="CI22" s="690"/>
      <c r="CJ22" s="690"/>
      <c r="CK22" s="690"/>
      <c r="CL22" s="692"/>
    </row>
    <row r="23" spans="1:90" ht="16.5" x14ac:dyDescent="0.25">
      <c r="B23" s="355"/>
      <c r="C23" s="356" t="s">
        <v>74</v>
      </c>
      <c r="D23" s="357" t="s">
        <v>125</v>
      </c>
      <c r="E23" s="356" t="s">
        <v>74</v>
      </c>
      <c r="F23" s="357" t="s">
        <v>125</v>
      </c>
      <c r="G23" s="356" t="s">
        <v>74</v>
      </c>
      <c r="H23" s="357" t="s">
        <v>125</v>
      </c>
      <c r="I23" s="356" t="s">
        <v>74</v>
      </c>
      <c r="J23" s="357" t="s">
        <v>125</v>
      </c>
      <c r="K23" s="356" t="s">
        <v>74</v>
      </c>
      <c r="L23" s="357" t="s">
        <v>125</v>
      </c>
      <c r="M23" s="356" t="s">
        <v>74</v>
      </c>
      <c r="N23" s="357" t="s">
        <v>125</v>
      </c>
      <c r="O23" s="356" t="s">
        <v>74</v>
      </c>
      <c r="P23" s="357" t="s">
        <v>125</v>
      </c>
      <c r="Q23" s="356" t="s">
        <v>74</v>
      </c>
      <c r="R23" s="357" t="s">
        <v>125</v>
      </c>
      <c r="S23" s="356" t="s">
        <v>74</v>
      </c>
      <c r="T23" s="357" t="s">
        <v>125</v>
      </c>
      <c r="U23" s="356" t="s">
        <v>74</v>
      </c>
      <c r="V23" s="357" t="s">
        <v>125</v>
      </c>
      <c r="W23" s="724" t="s">
        <v>74</v>
      </c>
      <c r="X23" s="357" t="s">
        <v>125</v>
      </c>
      <c r="Y23" s="724" t="s">
        <v>74</v>
      </c>
      <c r="Z23" s="357" t="s">
        <v>125</v>
      </c>
      <c r="AA23" s="359" t="s">
        <v>48</v>
      </c>
      <c r="AB23" s="360" t="s">
        <v>49</v>
      </c>
      <c r="AC23" s="352"/>
      <c r="AD23" s="693" t="s">
        <v>344</v>
      </c>
      <c r="AE23" s="694" t="s">
        <v>345</v>
      </c>
      <c r="AF23" s="694" t="s">
        <v>346</v>
      </c>
      <c r="AG23" s="694" t="s">
        <v>347</v>
      </c>
      <c r="AH23" s="694" t="s">
        <v>348</v>
      </c>
      <c r="AI23" s="694" t="s">
        <v>349</v>
      </c>
      <c r="AJ23" s="696" t="s">
        <v>350</v>
      </c>
      <c r="AK23" s="693" t="s">
        <v>344</v>
      </c>
      <c r="AL23" s="694" t="s">
        <v>345</v>
      </c>
      <c r="AM23" s="694" t="s">
        <v>346</v>
      </c>
      <c r="AN23" s="694" t="s">
        <v>347</v>
      </c>
      <c r="AO23" s="694" t="s">
        <v>348</v>
      </c>
      <c r="AP23" s="694" t="s">
        <v>349</v>
      </c>
      <c r="AQ23" s="696" t="s">
        <v>350</v>
      </c>
      <c r="AR23" s="693" t="s">
        <v>344</v>
      </c>
      <c r="AS23" s="694" t="s">
        <v>345</v>
      </c>
      <c r="AT23" s="694" t="s">
        <v>346</v>
      </c>
      <c r="AU23" s="694" t="s">
        <v>347</v>
      </c>
      <c r="AV23" s="694" t="s">
        <v>348</v>
      </c>
      <c r="AW23" s="694" t="s">
        <v>349</v>
      </c>
      <c r="AX23" s="696" t="s">
        <v>350</v>
      </c>
      <c r="AY23" s="693" t="s">
        <v>344</v>
      </c>
      <c r="AZ23" s="694" t="s">
        <v>345</v>
      </c>
      <c r="BA23" s="694" t="s">
        <v>346</v>
      </c>
      <c r="BB23" s="694" t="s">
        <v>347</v>
      </c>
      <c r="BC23" s="694" t="s">
        <v>348</v>
      </c>
      <c r="BD23" s="694" t="s">
        <v>349</v>
      </c>
      <c r="BE23" s="696" t="s">
        <v>350</v>
      </c>
      <c r="BF23" s="851" t="s">
        <v>344</v>
      </c>
      <c r="BG23" s="694" t="s">
        <v>345</v>
      </c>
      <c r="BH23" s="694" t="s">
        <v>346</v>
      </c>
      <c r="BI23" s="694" t="s">
        <v>347</v>
      </c>
      <c r="BJ23" s="694" t="s">
        <v>348</v>
      </c>
      <c r="BK23" s="696" t="s">
        <v>349</v>
      </c>
      <c r="BL23" s="354"/>
      <c r="BN23" s="355"/>
      <c r="BO23" s="1779"/>
      <c r="BP23" s="1779"/>
      <c r="BQ23" s="1779"/>
      <c r="BR23" s="1779"/>
      <c r="BS23" s="1779"/>
      <c r="BT23" s="1779"/>
      <c r="BV23" s="360" t="str">
        <f>IF(Emissions&lt;&gt;"N","Benefits","Benefits*")</f>
        <v>Benefits</v>
      </c>
      <c r="BW23" s="334"/>
      <c r="BX23" s="360" t="s">
        <v>48</v>
      </c>
      <c r="BZ23" s="693" t="s">
        <v>344</v>
      </c>
      <c r="CA23" s="694" t="s">
        <v>345</v>
      </c>
      <c r="CB23" s="694" t="s">
        <v>346</v>
      </c>
      <c r="CC23" s="694" t="s">
        <v>347</v>
      </c>
      <c r="CD23" s="694" t="s">
        <v>348</v>
      </c>
      <c r="CE23" s="694" t="s">
        <v>349</v>
      </c>
      <c r="CF23" s="695" t="s">
        <v>350</v>
      </c>
      <c r="CG23" s="693" t="s">
        <v>344</v>
      </c>
      <c r="CH23" s="694" t="s">
        <v>345</v>
      </c>
      <c r="CI23" s="694" t="s">
        <v>346</v>
      </c>
      <c r="CJ23" s="694" t="s">
        <v>347</v>
      </c>
      <c r="CK23" s="694" t="s">
        <v>348</v>
      </c>
      <c r="CL23" s="696" t="s">
        <v>349</v>
      </c>
    </row>
    <row r="24" spans="1:90" x14ac:dyDescent="0.25">
      <c r="B24" s="363">
        <f>YearFirst</f>
        <v>2026</v>
      </c>
      <c r="C24" s="364">
        <f>INDEX(ModelData1NB,A18,2)*AnnualFactor</f>
        <v>751535</v>
      </c>
      <c r="D24" s="365">
        <f>INDEX(ModelData1B,A18,2)*AnnualFactor</f>
        <v>723430</v>
      </c>
      <c r="E24" s="364">
        <f>IF(INDEX(HwyTransitModelGroup,A18,1)=Hwy,INDEX(ModelData1NB,A18,3),0)*AnnualFactor</f>
        <v>17520</v>
      </c>
      <c r="F24" s="365">
        <f>IF(INDEX(HwyTransitModelGroup,A18,1)=Hwy,INDEX(ModelData1B,A18,3),0)*AnnualFactor</f>
        <v>17155</v>
      </c>
      <c r="G24" s="364">
        <f>IF(INDEX(HwyTransitModelGroup,A18,1)&lt;&gt;Hwy,INDEX(ModelData1NB,A18,4),0)*AnnualFactor</f>
        <v>0</v>
      </c>
      <c r="H24" s="365">
        <f>IF(INDEX(HwyTransitModelGroup,A18,1)&lt;&gt;Hwy,INDEX(ModelData1B,A18,4),0)*AnnualFactor</f>
        <v>0</v>
      </c>
      <c r="I24" s="364">
        <f>IF(INDEX(HwyTransitModelGroup,A18,1)&lt;&gt;Hwy,INDEX(ModelData1NB,A18,5),0)*AnnualFactor</f>
        <v>0</v>
      </c>
      <c r="J24" s="365">
        <f>IF(INDEX(HwyTransitModelGroup,A18,1)&lt;&gt;Hwy,INDEX(ModelData1B,A18,5),0)*AnnualFactor</f>
        <v>0</v>
      </c>
      <c r="K24" s="429">
        <f>IFERROR(IF(INDEX(HwyTransitModelGroup,A18,1)=Hwy,MAX(5,ROUND(C24/E24,1)),MAX(5,ROUND(G24/I24,1))),55)</f>
        <v>42.9</v>
      </c>
      <c r="L24" s="430">
        <f>IFERROR(IF(INDEX(HwyTransitModelGroup,A18,1)=Hwy,MAX(5,ROUND(D24/F24,1)),MAX(5,ROUND(H24/J24,1))),55)</f>
        <v>42.2</v>
      </c>
      <c r="M24" s="803">
        <f>IF(INDEX(HwyTransitModelGroup,A18,1)=Hwy,INDEX(ModelData1NB,A18,9),0)</f>
        <v>0.24</v>
      </c>
      <c r="N24" s="804">
        <f>IF(INDEX(HwyTransitModelGroup,A18,1)=Hwy,INDEX(ModelData1B,A18,9),0)</f>
        <v>0.24</v>
      </c>
      <c r="O24" s="364">
        <f>IF(OR(INDEX(ModelData1NB,A18,8)=0,INDEX(HwyTransitModelGroup,A18,1)&lt;&gt;Hwy),0,INDEX(ModelData1NB,A18,1)*AnnualFactor/INDEX(ModelData1NB,A18,8))</f>
        <v>0</v>
      </c>
      <c r="P24" s="365">
        <f>IF(OR(INDEX(ModelData1B,A18,8)=0,INDEX(HwyTransitModelGroup,A18,1)&lt;&gt;Hwy),0,INDEX(ModelData1B,A18,1)*AnnualFactor/INDEX(ModelData1B,A18,8))</f>
        <v>0</v>
      </c>
      <c r="Q24" s="808">
        <f>IF(INDEX(HwyTransitModelGroup,A18,1)=Hwy,C24*(1-M24)*0.00000110231131*(VLOOKUP(K24,EmAuto1,2)*VLOOKUP(ProjLoc,EmCost,2)+VLOOKUP(K24,EmAuto1,3)*VLOOKUP(ProjLoc,EmCost,3)*(1+CO2Uprater)^($B24-YearCurrent)+VLOOKUP(K24,EmAuto1,4)*VLOOKUP(ProjLoc,EmCost,4)+VLOOKUP(K24,EmAuto1,5)*VLOOKUP(ProjLoc,EmCost,5)+VLOOKUP(K24,EmAuto1,6)*VLOOKUP(ProjLoc,EmCost,6)+VLOOKUP(K24,EmAuto1,7)*VLOOKUP(ProjLoc,EmCost,7))+C24*M24*0.00000110231131*(VLOOKUP(K24,EmTruck1,2)*VLOOKUP(ProjLoc,EmCost,2)+VLOOKUP(K24,EmTruck1,3)*VLOOKUP(ProjLoc,EmCost,3)*(1+CO2Uprater)^($B24-YearCurrent)+VLOOKUP(K24,EmTruck1,4)*VLOOKUP(ProjLoc,EmCost,4)+VLOOKUP(K24,EmTruck1,5)*VLOOKUP(ProjLoc,EmCost,5)+VLOOKUP(K24,EmTruck1,6)*VLOOKUP(ProjLoc,EmCost,6)+VLOOKUP(K24,EmTruck1,7)*VLOOKUP(ProjLoc,EmCost,7)),0)</f>
        <v>23872.085057097167</v>
      </c>
      <c r="R24" s="844">
        <f>IF(INDEX(HwyTransitModelGroup,A18,1)=Hwy,D24*(1-N24)*0.00000110231131*(VLOOKUP(L24,EmAuto1,2)*VLOOKUP(ProjLoc,EmCost,2)+VLOOKUP(L24,EmAuto1,3)*VLOOKUP(ProjLoc,EmCost,3)*(1+CO2Uprater)^($B24-YearCurrent)+VLOOKUP(L24,EmAuto1,4)*VLOOKUP(ProjLoc,EmCost,4)+VLOOKUP(L24,EmAuto1,5)*VLOOKUP(ProjLoc,EmCost,5)+VLOOKUP(L24,EmAuto1,6)*VLOOKUP(ProjLoc,EmCost,6)+VLOOKUP(L24,EmAuto1,7)*VLOOKUP(ProjLoc,EmCost,7))+D24*N24*0.00000110231131*(VLOOKUP(L24,EmTruck1,2)*VLOOKUP(ProjLoc,EmCost,2)+VLOOKUP(L24,EmTruck1,3)*VLOOKUP(ProjLoc,EmCost,3)*(1+CO2Uprater)^($B24-YearCurrent)+VLOOKUP(L24,EmTruck1,4)*VLOOKUP(ProjLoc,EmCost,4)+VLOOKUP(L24,EmTruck1,5)*VLOOKUP(ProjLoc,EmCost,5)+VLOOKUP(L24,EmTruck1,6)*VLOOKUP(ProjLoc,EmCost,6)+VLOOKUP(L24,EmTruck1,7)*VLOOKUP(ProjLoc,EmCost,7)),0)</f>
        <v>22979.345596486924</v>
      </c>
      <c r="S24" s="808">
        <f>IF(INDEX(HwyTransitModelGroup,A18,1)=Hwy,O24*(1-M24)*0.00000110231131*(VLOOKUP(0,EmAuto1,2)*VLOOKUP(ProjLoc,EmCost,2)+VLOOKUP(0,EmAuto1,3)*VLOOKUP(ProjLoc,EmCost,3)*(1+CO2Uprater)^($B24-YearCurrent)+VLOOKUP(0,EmAuto1,4)*VLOOKUP(ProjLoc,EmCost,4)+VLOOKUP(0,EmAuto1,5)*VLOOKUP(ProjLoc,EmCost,5)+VLOOKUP(0,EmAuto1,6)*VLOOKUP(ProjLoc,EmCost,6)+VLOOKUP(0,EmAuto1,7)*VLOOKUP(ProjLoc,EmCost,7))+O24*M24*0.00000110231131*(VLOOKUP(0,EmTruck1,2)*VLOOKUP(ProjLoc,EmCost,2)+VLOOKUP(0,EmTruck1,3)*VLOOKUP(ProjLoc,EmCost,3)*(1+CO2Uprater)^($B24-YearCurrent)+VLOOKUP(0,EmTruck1,4)*VLOOKUP(ProjLoc,EmCost,4)+VLOOKUP(0,EmTruck1,5)*VLOOKUP(ProjLoc,EmCost,5)+VLOOKUP(0,EmTruck1,6)*VLOOKUP(ProjLoc,EmCost,6)+VLOOKUP(0,EmTruck1,7)*VLOOKUP(ProjLoc,EmCost,7)),0)</f>
        <v>0</v>
      </c>
      <c r="T24" s="844">
        <f>IF(INDEX(HwyTransitModelGroup,A18,1)=Hwy,P24*(1-N24)*0.00000110231131*(VLOOKUP(0,EmAuto1,2)*VLOOKUP(ProjLoc,EmCost,2)+VLOOKUP(0,EmAuto1,3)*VLOOKUP(ProjLoc,EmCost,3)*(1+CO2Uprater)^($B24-YearCurrent)+VLOOKUP(0,EmAuto1,4)*VLOOKUP(ProjLoc,EmCost,4)+VLOOKUP(0,EmAuto1,5)*VLOOKUP(ProjLoc,EmCost,5)+VLOOKUP(0,EmAuto1,6)*VLOOKUP(ProjLoc,EmCost,6)+VLOOKUP(0,EmAuto1,7)*VLOOKUP(ProjLoc,EmCost,7))+P24*N24*0.00000110231131*(VLOOKUP(0,EmTruck1,2)*VLOOKUP(ProjLoc,EmCost,2)+VLOOKUP(0,EmTruck1,3)*VLOOKUP(ProjLoc,EmCost,3)*(1+CO2Uprater)^($B24-YearCurrent)+VLOOKUP(0,EmTruck1,4)*VLOOKUP(ProjLoc,EmCost,4)+VLOOKUP(0,EmTruck1,5)*VLOOKUP(ProjLoc,EmCost,5)+VLOOKUP(0,EmTruck1,6)*VLOOKUP(ProjLoc,EmCost,6)+VLOOKUP(0,EmTruck1,7)*VLOOKUP(ProjLoc,EmCost,7)),0)</f>
        <v>0</v>
      </c>
      <c r="U24" s="808">
        <f>IF(INDEX(HwyTransitModelGroup,A18,1)=PARAMETERS!$J$9,C24*0.00000110231131*(VLOOKUP(K24,EmBus1,2)*VLOOKUP(ProjLoc,EmCost,2)+VLOOKUP(K24,EmBus1,3)*VLOOKUP(ProjLoc,EmCost,3)*(1+CO2Uprater)^($B24-YearCurrent)+VLOOKUP(K24,EmBus1,4)*VLOOKUP(ProjLoc,EmCost,4)+VLOOKUP(K24,EmBus1,5)*VLOOKUP(ProjLoc,EmCost,5)+VLOOKUP(K24,EmBus1,6)*VLOOKUP(ProjLoc,EmCost,6)+VLOOKUP(K24,EmBus1,7)*VLOOKUP(ProjLoc,EmCost,7)),0)</f>
        <v>0</v>
      </c>
      <c r="V24" s="844">
        <f>IF(INDEX(HwyTransitModelGroup,A18,1)=PARAMETERS!$J$9,D24*0.00000110231131*(VLOOKUP(L24,EmBus1,2)*VLOOKUP(ProjLoc,EmCost,2)+VLOOKUP(L24,EmBus1,3)*VLOOKUP(ProjLoc,EmCost,3)*(1+CO2Uprater)^($B24-YearCurrent)+VLOOKUP(L24,EmBus1,4)*VLOOKUP(ProjLoc,EmCost,4)+VLOOKUP(L24,EmBus1,5)*VLOOKUP(ProjLoc,EmCost,5)+VLOOKUP(L24,EmBus1,6)*VLOOKUP(ProjLoc,EmCost,6)+VLOOKUP(L24,EmBus1,7)*VLOOKUP(ProjLoc,EmCost,7)),0)</f>
        <v>0</v>
      </c>
      <c r="W24" s="808">
        <f>IF(INDEX(HwyTransitModelGroup,A18,1)=PARAMETERS!$J$10,C24*0.00000110231131*(PARAMETERS!$CQ$28*VLOOKUP(ProjLoc,EmCost,2)+PARAMETERS!$CR$28*VLOOKUP(ProjLoc,EmCost,3)*(1+CO2Uprater)^($B24-YearCurrent)+PARAMETERS!$CS$28*VLOOKUP(ProjLoc,EmCost,4)+PARAMETERS!$CT$28*VLOOKUP(ProjLoc,EmCost,5)+PARAMETERS!$CU$28*VLOOKUP(ProjLoc,EmCost,6)+PARAMETERS!$CV$28*VLOOKUP(ProjLoc,EmCost,7)),0)</f>
        <v>0</v>
      </c>
      <c r="X24" s="844">
        <f>IF(INDEX(HwyTransitModelGroup,A18,1)=PARAMETERS!$J$10,D24*0.00000110231131*(PARAMETERS!$CQ$28*VLOOKUP(ProjLoc,EmCost,2)+PARAMETERS!$CR$28*VLOOKUP(ProjLoc,EmCost,3)*(1+CO2Uprater)^($B24-YearCurrent)+PARAMETERS!$CS$28*VLOOKUP(ProjLoc,EmCost,4)+PARAMETERS!$CT$28*VLOOKUP(ProjLoc,EmCost,5)+PARAMETERS!$CU$28*VLOOKUP(ProjLoc,EmCost,6)+PARAMETERS!$CV$28*VLOOKUP(ProjLoc,EmCost,7)),0)</f>
        <v>0</v>
      </c>
      <c r="Y24" s="808">
        <f>IF(INDEX(HwyTransitModelGroup,A18,1)=PARAMETERS!$J$11,C24*0.00000110231131*(PARAMETERS!$CQ$36*VLOOKUP(ProjLoc,EmCost,2)+PARAMETERS!$CR$36*VLOOKUP(ProjLoc,EmCost,3)*(1+CO2Uprater)^($B24-YearCurrent)+PARAMETERS!$CS$36*VLOOKUP(ProjLoc,EmCost,4)+PARAMETERS!$CT$36*VLOOKUP(ProjLoc,EmCost,5)+PARAMETERS!$CU$36*VLOOKUP(ProjLoc,EmCost,6)+PARAMETERS!$CV$36*VLOOKUP(ProjLoc,EmCost,7)),0)</f>
        <v>0</v>
      </c>
      <c r="Z24" s="844">
        <f>IF(INDEX(HwyTransitModelGroup,A18,1)=PARAMETERS!$J$11,D24*0.00000110231131*(PARAMETERS!$CQ$36*VLOOKUP(ProjLoc,EmCost,2)+PARAMETERS!$CR$36*VLOOKUP(ProjLoc,EmCost,3)*(1+CO2Uprater)^($B24-YearCurrent)+PARAMETERS!$CS$36*VLOOKUP(ProjLoc,EmCost,4)+PARAMETERS!$CT$36*VLOOKUP(ProjLoc,EmCost,5)+PARAMETERS!$CU$36*VLOOKUP(ProjLoc,EmCost,6)+PARAMETERS!$CV$36*VLOOKUP(ProjLoc,EmCost,7)),0)</f>
        <v>0</v>
      </c>
      <c r="AA24" s="369">
        <f>(Q24+S24+U24+W24+Y24)-(R24+T24+V24+X24+Z24)</f>
        <v>892.73946061024253</v>
      </c>
      <c r="AB24" s="370">
        <f>AA24/(1+DiscRate)^(B24-YearCurrent)</f>
        <v>763.11743242725208</v>
      </c>
      <c r="AC24" s="371"/>
      <c r="AD24" s="853">
        <f>IF(INDEX(HwyTransitModelGroup,A18,1)=Hwy,0.00000110231131*(C24*(1-M24)*VLOOKUP(K24,EmAuto1,2)-D24*(1-N24)*VLOOKUP(L24,EmAuto1,2)+(O24*(1-M24)-P24*(1-N24))*VLOOKUP(0,EmAuto1,2))+0.00000110231131*(C24*M24*VLOOKUP(K24,EmTruck1,2)-D24*N24*VLOOKUP(L24,EmTruck1,2)+(O24*M24-P24*N24)*VLOOKUP(0,EmTruck1,2)),0)</f>
        <v>2.5741787610334639E-2</v>
      </c>
      <c r="AE24" s="854">
        <f>IF(INDEX(HwyTransitModelGroup,A18,1)=Hwy,0.00000110231131*(C24*(1-M24)*VLOOKUP(K24,EmAuto1,3)-D24*(1-N24)*VLOOKUP(L24,EmAuto1,3)+(O24*(1-M24)-P24*(1-N24))*VLOOKUP(0,EmAuto1,3))+0.00000110231131*(C24*M24*VLOOKUP(K24,EmTruck1,3)-D24*N24*VLOOKUP(L24,EmTruck1,3)+(O24*M24-P24*N24)*VLOOKUP(0,EmTruck1,3)),0)</f>
        <v>13.946124925283049</v>
      </c>
      <c r="AF24" s="854">
        <f>IF(INDEX(HwyTransitModelGroup,A18,1)=Hwy,0.00000110231131*(C24*(1-M24)*VLOOKUP(K24,EmAuto1,4)-D24*(1-N24)*VLOOKUP(L24,EmAuto1,4)+(O24*(1-M24)-P24*(1-N24))*VLOOKUP(0,EmAuto1,4))+0.00000110231131*(C24*M24*VLOOKUP(K24,EmTruck1,4)-D24*N24*VLOOKUP(L24,EmTruck1,4)+(O24*M24-P24*N24)*VLOOKUP(0,EmTruck1,4)),0)</f>
        <v>9.5936568914304823E-3</v>
      </c>
      <c r="AG24" s="854">
        <f>IF(INDEX(HwyTransitModelGroup,A18,1)=Hwy,0.00000110231131*(C24*(1-M24)*VLOOKUP(K24,EmAuto1,5)-D24*(1-N24)*VLOOKUP(L24,EmAuto1,5)+(O24*(1-M24)-P24*(1-N24))*VLOOKUP(0,EmAuto1,5))+0.00000110231131*(C24*M24*VLOOKUP(K24,EmTruck1,5)-D24*N24*VLOOKUP(L24,EmTruck1,5)+(O24*M24-P24*N24)*VLOOKUP(0,EmTruck1,5)),0)</f>
        <v>1.0843160778642506E-4</v>
      </c>
      <c r="AH24" s="854">
        <f>IF(INDEX(HwyTransitModelGroup,A18,1)=Hwy,0.00000110231131*(C24*(1-M24)*VLOOKUP(K24,EmAuto1,6)-D24*(1-N24)*VLOOKUP(L24,EmAuto1,6)+(O24*(1-M24)-P24*(1-N24))*VLOOKUP(0,EmAuto1,6))+0.00000110231131*(C24*M24*VLOOKUP(K24,EmTruck1,6)-D24*N24*VLOOKUP(L24,EmTruck1,6)+(O24*M24-P24*N24)*VLOOKUP(0,EmTruck1,6)),0)</f>
        <v>1.3358774079287562E-4</v>
      </c>
      <c r="AI24" s="854">
        <f>IF(INDEX(HwyTransitModelGroup,A18,1)=Hwy,0.00000110231131*(C24*(1-M24)*VLOOKUP(K24,EmAuto1,7)-D24*(1-N24)*VLOOKUP(L24,EmAuto1,7)+(O24*(1-M24)-P24*(1-N24))*VLOOKUP(0,EmAuto1,7))+0.00000110231131*(C24*M24*VLOOKUP(K24,EmTruck1,7)-D24*N24*VLOOKUP(L24,EmTruck1,7)+(O24*M24-P24*N24)*VLOOKUP(0,EmTruck1,7)),0)</f>
        <v>6.1713075060159598E-4</v>
      </c>
      <c r="AJ24" s="855">
        <f>IF(INDEX(HwyTransitModelGroup,A18,1)=Hwy,0.00000110231131*(C24*(1-M24)*VLOOKUP(K24,EmAuto1,8)-D24*(1-N24)*VLOOKUP(L24,EmAuto1,8)+(O24*(1-M24)-P24*(1-N24))*VLOOKUP(0,EmAuto1,8))+0.00000110231131*(C24*M24*VLOOKUP(K24,EmTruck1,8)-D24*N24*VLOOKUP(L24,EmTruck1,8)+(O24*M24-P24*N24)*VLOOKUP(0,EmTruck1,8)),0)</f>
        <v>1.0235943775038509E-4</v>
      </c>
      <c r="AK24" s="853">
        <f>IF(INDEX(HwyTransitModelGroup,A18,1)=PARAMETERS!$J$9,0.00000110231131*(C24*VLOOKUP(K24,EmBus1,2)-D24*VLOOKUP(L24,EmBus1,2)+(O24-P24)*VLOOKUP(0,EmBus1,2)),0)</f>
        <v>0</v>
      </c>
      <c r="AL24" s="854">
        <f>IF(INDEX(HwyTransitModelGroup,A18,1)=PARAMETERS!$J$9,0.00000110231131*(C24*VLOOKUP(K24,EmBus1,3)-D24*VLOOKUP(L24,EmBus1,3)+(O24-P24)*VLOOKUP(0,EmBus1,3)),0)</f>
        <v>0</v>
      </c>
      <c r="AM24" s="854">
        <f>IF(INDEX(HwyTransitModelGroup,A18,1)=PARAMETERS!$J$9,0.00000110231131*(C24*VLOOKUP(K24,EmBus1,4)-D24*VLOOKUP(L24,EmBus1,4)+(O24-P24)*VLOOKUP(0,EmBus1,4)),0)</f>
        <v>0</v>
      </c>
      <c r="AN24" s="854">
        <f>IF(INDEX(HwyTransitModelGroup,A18,1)=PARAMETERS!$J$9,0.00000110231131*(C24*VLOOKUP(K24,EmBus1,5)-D24*VLOOKUP(L24,EmBus1,5)+(O24-P24)*VLOOKUP(0,EmBus1,5)),0)</f>
        <v>0</v>
      </c>
      <c r="AO24" s="854">
        <f>IF(INDEX(HwyTransitModelGroup,A18,1)=PARAMETERS!$J$9,0.00000110231131*(C24*VLOOKUP(K24,EmBus1,6)-D24*VLOOKUP(L24,EmBus1,6)+(O24-P24)*VLOOKUP(0,EmBus1,6)),0)</f>
        <v>0</v>
      </c>
      <c r="AP24" s="854">
        <f>IF(INDEX(HwyTransitModelGroup,A18,1)=PARAMETERS!$J$9,0.00000110231131*(C24*VLOOKUP(K24,EmBus1,7)-D24*VLOOKUP(L24,EmBus1,7)+(O24-P24)*VLOOKUP(0,EmBus1,7)),0)</f>
        <v>0</v>
      </c>
      <c r="AQ24" s="855">
        <f>IF(INDEX(HwyTransitModelGroup,A18,1)=PARAMETERS!$J$9,0.00000110231131*(C24*VLOOKUP(K24,EmBus1,8)-D24*VLOOKUP(L24,EmBus1,8)+(O24-P24)*VLOOKUP(0,EmBus1,8)),0)</f>
        <v>0</v>
      </c>
      <c r="AR24" s="853">
        <f>IF(INDEX(HwyTransitModelGroup,A18,1)=PARAMETERS!$J$10,0.00000110231131*((C24-D24)*PARAMETERS!$CQ$28),0)</f>
        <v>0</v>
      </c>
      <c r="AS24" s="854">
        <f>IF(INDEX(HwyTransitModelGroup,A18,1)=PARAMETERS!$J$10,0.00000110231131*((C24-D24)*PARAMETERS!$CR$28),0)</f>
        <v>0</v>
      </c>
      <c r="AT24" s="854">
        <f>IF(INDEX(HwyTransitModelGroup,A18,1)=PARAMETERS!$J$10,0.00000110231131*((C24-D24)*PARAMETERS!$CS$28),0)</f>
        <v>0</v>
      </c>
      <c r="AU24" s="854">
        <f>IF(INDEX(HwyTransitModelGroup,A18,1)=PARAMETERS!$J$10,0.00000110231131*((C24-D24)*PARAMETERS!$CT$28),0)</f>
        <v>0</v>
      </c>
      <c r="AV24" s="854">
        <f>IF(INDEX(HwyTransitModelGroup,A18,1)=PARAMETERS!$J$10,0.00000110231131*((C24-D24)*PARAMETERS!$CU$28),0)</f>
        <v>0</v>
      </c>
      <c r="AW24" s="854">
        <f>IF(INDEX(HwyTransitModelGroup,A18,1)=PARAMETERS!$J$10,0.00000110231131*((C24-D24)*PARAMETERS!$CV$28),0)</f>
        <v>0</v>
      </c>
      <c r="AX24" s="855">
        <f>IF(INDEX(HwyTransitModelGroup,A18,1)=PARAMETERS!$J$10,0.00000110231131*((C24-D24)*PARAMETERS!$CW$28),0)</f>
        <v>0</v>
      </c>
      <c r="AY24" s="853">
        <f>IF(INDEX(HwyTransitModelGroup,A18,1)=PARAMETERS!$J$11,0.00000110231131*((C24-D24)*PARAMETERS!$CQ$36),0)</f>
        <v>0</v>
      </c>
      <c r="AZ24" s="854">
        <f>IF(INDEX(HwyTransitModelGroup,A18,1)=PARAMETERS!$J$11,0.00000110231131*((C24-D24)*PARAMETERS!$CR$36),0)</f>
        <v>0</v>
      </c>
      <c r="BA24" s="854">
        <f>IF(INDEX(HwyTransitModelGroup,A18,1)=PARAMETERS!$J$11,0.00000110231131*((C24-D24)*PARAMETERS!$CS$36),0)</f>
        <v>0</v>
      </c>
      <c r="BB24" s="854">
        <f>IF(INDEX(HwyTransitModelGroup,A18,1)=PARAMETERS!$J$11,0.00000110231131*((C24-D24)*PARAMETERS!$CT$36),0)</f>
        <v>0</v>
      </c>
      <c r="BC24" s="854">
        <f>IF(INDEX(HwyTransitModelGroup,A18,1)=PARAMETERS!$J$11,0.00000110231131*((C24-D24)*PARAMETERS!$CU$36),0)</f>
        <v>0</v>
      </c>
      <c r="BD24" s="854">
        <f>IF(INDEX(HwyTransitModelGroup,A18,1)=PARAMETERS!$J$11,0.00000110231131*((C24-D24)*PARAMETERS!$CV$36),0)</f>
        <v>0</v>
      </c>
      <c r="BE24" s="855">
        <f>IF(INDEX(HwyTransitModelGroup,A18,1)=PARAMETERS!$J$11,0.00000110231131*((C24-D24)*PARAMETERS!$CW$36),0)</f>
        <v>0</v>
      </c>
      <c r="BF24" s="832">
        <f>(AD24+AK24+AR24+AY24)*VLOOKUP(ProjLoc,EmCost,2)/(1+DiscRate)^($B24-YearCurrent)</f>
        <v>1.7603350347128892</v>
      </c>
      <c r="BG24" s="701">
        <f>(AE24+AL24+AS24+AZ24)*VLOOKUP(ProjLoc,EmCost,3)*(1+CO2Uprater)^($B24-YearCurrent)/(1+DiscRate)^($B24-YearCurrent)</f>
        <v>619.38704630429027</v>
      </c>
      <c r="BH24" s="701">
        <f>(AF24+AM24+AT24+BA24)*VLOOKUP(ProjLoc,EmCost,4)/(1+DiscRate)^($B24-YearCurrent)</f>
        <v>123.83054158324938</v>
      </c>
      <c r="BI24" s="701">
        <f>(AG24+AN24+AU24+BB24)*VLOOKUP(ProjLoc,EmCost,5)/(1+DiscRate)^($B24-YearCurrent)</f>
        <v>10.81666541695075</v>
      </c>
      <c r="BJ24" s="701">
        <f>(AH24+AO24+AV24+BC24)*VLOOKUP(ProjLoc,EmCost,6)/(1+DiscRate)^($B24-YearCurrent)</f>
        <v>6.7372902812966204</v>
      </c>
      <c r="BK24" s="368">
        <f>(AI24+AP24+AW24+BD24)*VLOOKUP(ProjLoc,EmCost,7)/(1+DiscRate)^($B24-YearCurrent)</f>
        <v>0.58555380675059676</v>
      </c>
      <c r="BL24" s="392"/>
      <c r="BN24" s="375">
        <f>YearOpen</f>
        <v>2026</v>
      </c>
      <c r="BO24" s="376">
        <f t="shared" ref="BO24:BT43" ca="1" si="1">OFFSET($AB9,MATCH(BO$20,$A:$A),0)</f>
        <v>763.11743242725208</v>
      </c>
      <c r="BP24" s="376">
        <f t="shared" ca="1" si="1"/>
        <v>-638.68051081445299</v>
      </c>
      <c r="BQ24" s="376">
        <f t="shared" ca="1" si="1"/>
        <v>757.50014539639221</v>
      </c>
      <c r="BR24" s="376">
        <f t="shared" ca="1" si="1"/>
        <v>-1387.2521266674573</v>
      </c>
      <c r="BS24" s="376">
        <f t="shared" ca="1" si="1"/>
        <v>44528.354731883373</v>
      </c>
      <c r="BT24" s="376">
        <f t="shared" ca="1" si="1"/>
        <v>66189.768675264742</v>
      </c>
      <c r="BV24" s="370">
        <f ca="1">IF(Emissions&lt;&gt;"N",SUM($BO24:BU24),0)</f>
        <v>110212.80834748986</v>
      </c>
      <c r="BW24" s="377"/>
      <c r="BX24" s="370">
        <f t="shared" ref="BX24:BX43" ca="1" si="2">$BV24*(1+DiscRate)^($BN24-YearCurrent)</f>
        <v>128933.39726695049</v>
      </c>
      <c r="BZ24" s="393">
        <f ca="1">SUM($BO58:BU58)</f>
        <v>2.6071042364057275</v>
      </c>
      <c r="CA24" s="862">
        <f ca="1">SUM($BO92:BU92)</f>
        <v>2000.8984789298206</v>
      </c>
      <c r="CB24" s="860">
        <f ca="1">SUM($BO126:BU126)</f>
        <v>1.3690580254893634</v>
      </c>
      <c r="CC24" s="862">
        <f ca="1">SUM($BO160:BU160)</f>
        <v>2.4608337328600849E-2</v>
      </c>
      <c r="CD24" s="860">
        <f ca="1">SUM($BO194:BU194)</f>
        <v>1.9292825985281526E-2</v>
      </c>
      <c r="CE24" s="862">
        <f ca="1">SUM($BO228:BU228)</f>
        <v>7.3705985865599649E-2</v>
      </c>
      <c r="CF24" s="860">
        <f ca="1">SUM($BO262:BU262)</f>
        <v>2.3450245913704499E-2</v>
      </c>
      <c r="CG24" s="367">
        <f ca="1">SUM($BO296:BU296)</f>
        <v>178.28509021847751</v>
      </c>
      <c r="CH24" s="701">
        <f ca="1">SUM($BO330:BU330)</f>
        <v>88865.588502817409</v>
      </c>
      <c r="CI24" s="701">
        <f ca="1">SUM($BO364:BU364)</f>
        <v>17671.175723062952</v>
      </c>
      <c r="CJ24" s="701">
        <f ca="1">SUM($BO398:BU398)</f>
        <v>2454.8206633182381</v>
      </c>
      <c r="CK24" s="701">
        <f ca="1">SUM($BO432:BU432)</f>
        <v>973.00372203252493</v>
      </c>
      <c r="CL24" s="368">
        <f ca="1">SUM($BO466:BU466)</f>
        <v>69.93464604030045</v>
      </c>
    </row>
    <row r="25" spans="1:90" x14ac:dyDescent="0.25">
      <c r="B25" s="379">
        <f>YearLast</f>
        <v>2046</v>
      </c>
      <c r="C25" s="380">
        <f>INDEX(ModelData20NB,A18,2)*AnnualFactor</f>
        <v>944985</v>
      </c>
      <c r="D25" s="381">
        <f>INDEX(ModelData20B,A18,2)*AnnualFactor</f>
        <v>1045725</v>
      </c>
      <c r="E25" s="380">
        <f>IF(INDEX(HwyTransitModelGroup,A18,1)=Hwy,INDEX(ModelData20NB,A18,3),0)*AnnualFactor</f>
        <v>22630</v>
      </c>
      <c r="F25" s="381">
        <f>IF(INDEX(HwyTransitModelGroup,A18,1)=Hwy,INDEX(ModelData20B,A18,3),0)*AnnualFactor</f>
        <v>24820</v>
      </c>
      <c r="G25" s="380">
        <f>IF(INDEX(HwyTransitModelGroup,A18,1)&lt;&gt;Hwy,INDEX(ModelData20NB,A18,4),0)*AnnualFactor</f>
        <v>0</v>
      </c>
      <c r="H25" s="381">
        <f>IF(INDEX(HwyTransitModelGroup,A18,1)&lt;&gt;Hwy,INDEX(ModelData20B,A18,4),0)*AnnualFactor</f>
        <v>0</v>
      </c>
      <c r="I25" s="380">
        <f>IF(INDEX(HwyTransitModelGroup,A18,1)&lt;&gt;Hwy,INDEX(ModelData20NB,A18,5),0)*AnnualFactor</f>
        <v>0</v>
      </c>
      <c r="J25" s="381">
        <f>IF(INDEX(HwyTransitModelGroup,A18,1)&lt;&gt;Hwy,INDEX(ModelData20B,A18,5),0)*AnnualFactor</f>
        <v>0</v>
      </c>
      <c r="K25" s="432">
        <f>IFERROR(IF(INDEX(HwyTransitModelGroup,A18,1)=Hwy,MAX(5,ROUND(C25/E25,1)),MAX(5,ROUND(G25/I25,1))),55)</f>
        <v>41.8</v>
      </c>
      <c r="L25" s="433">
        <f>IFERROR(IF(INDEX(HwyTransitModelGroup,A18,1)=Hwy,MAX(5,ROUND(D25/F25,1)),MAX(5,ROUND(H25/J25,1))),55)</f>
        <v>42.1</v>
      </c>
      <c r="M25" s="805">
        <f>IF(INDEX(HwyTransitModelGroup,A18,1)=Hwy,INDEX(ModelData20NB,A18,9),0)</f>
        <v>0.24</v>
      </c>
      <c r="N25" s="806">
        <f>IF(INDEX(HwyTransitModelGroup,A18,1)=Hwy,INDEX(ModelData20B,A18,9),0)</f>
        <v>0.24</v>
      </c>
      <c r="O25" s="380">
        <f>IF(OR(INDEX(ModelData20NB,A18,8)=0,INDEX(HwyTransitModelGroup,A18,1)&lt;&gt;Hwy),0,INDEX(ModelData20NB,A18,1)*AnnualFactor/INDEX(ModelData20NB,A18,8))</f>
        <v>0</v>
      </c>
      <c r="P25" s="381">
        <f>IF(OR(INDEX(ModelData20B,A18,8)=0,INDEX(HwyTransitModelGroup,A18,1)&lt;&gt;Hwy),0,INDEX(ModelData20B,A18,1)*AnnualFactor/INDEX(ModelData20B,A18,8))</f>
        <v>0</v>
      </c>
      <c r="Q25" s="845">
        <f>IF(INDEX(HwyTransitModelGroup,A18,1)=Hwy,C25*(1-M25)*0.00000110231131*(VLOOKUP(K25,EmAuto20,2)*VLOOKUP(ProjLoc,EmCost,2)+VLOOKUP(K25,EmAuto20,3)*VLOOKUP(ProjLoc,EmCost,3)*(1+CO2Uprater)^($B25-YearCurrent)+VLOOKUP(K25,EmAuto20,4)*VLOOKUP(ProjLoc,EmCost,4)+VLOOKUP(K25,EmAuto20,5)*VLOOKUP(ProjLoc,EmCost,5)+VLOOKUP(K25,EmAuto20,6)*VLOOKUP(ProjLoc,EmCost,6)+VLOOKUP(K25,EmAuto20,7)*VLOOKUP(ProjLoc,EmCost,7))+C25*M25*0.00000110231131*(VLOOKUP(K25,EmTruck20,2)*VLOOKUP(ProjLoc,EmCost,2)+VLOOKUP(K25,EmTruck20,3)*VLOOKUP(ProjLoc,EmCost,3)*(1+CO2Uprater)^($B25-YearCurrent)+VLOOKUP(K25,EmTruck20,4)*VLOOKUP(ProjLoc,EmCost,4)+VLOOKUP(K25,EmTruck20,5)*VLOOKUP(ProjLoc,EmCost,5)+VLOOKUP(K25,EmTruck20,6)*VLOOKUP(ProjLoc,EmCost,6)+VLOOKUP(K25,EmTruck20,7)*VLOOKUP(ProjLoc,EmCost,7)),0)</f>
        <v>27435.692145886704</v>
      </c>
      <c r="R25" s="846">
        <f>IF(INDEX(HwyTransitModelGroup,A18,1)=Hwy,D25*(1-N25)*0.00000110231131*(VLOOKUP(L25,EmAuto20,2)*VLOOKUP(ProjLoc,EmCost,2)+VLOOKUP(L25,EmAuto20,3)*VLOOKUP(ProjLoc,EmCost,3)*(1+CO2Uprater)^($B25-YearCurrent)+VLOOKUP(L25,EmAuto20,4)*VLOOKUP(ProjLoc,EmCost,4)+VLOOKUP(L25,EmAuto20,5)*VLOOKUP(ProjLoc,EmCost,5)+VLOOKUP(L25,EmAuto20,6)*VLOOKUP(ProjLoc,EmCost,6)+VLOOKUP(L25,EmAuto20,7)*VLOOKUP(ProjLoc,EmCost,7))+D25*N25*0.00000110231131*(VLOOKUP(L25,EmTruck20,2)*VLOOKUP(ProjLoc,EmCost,2)+VLOOKUP(L25,EmTruck20,3)*VLOOKUP(ProjLoc,EmCost,3)*(1+CO2Uprater)^($B25-YearCurrent)+VLOOKUP(L25,EmTruck20,4)*VLOOKUP(ProjLoc,EmCost,4)+VLOOKUP(L25,EmTruck20,5)*VLOOKUP(ProjLoc,EmCost,5)+VLOOKUP(L25,EmTruck20,6)*VLOOKUP(ProjLoc,EmCost,6)+VLOOKUP(L25,EmTruck20,7)*VLOOKUP(ProjLoc,EmCost,7)),0)</f>
        <v>30486.568597433783</v>
      </c>
      <c r="S25" s="845">
        <f>IF(INDEX(HwyTransitModelGroup,A18,1)=Hwy,O25*(1-M25)*0.00000110231131*(VLOOKUP(0,EmAuto20,2)*VLOOKUP(ProjLoc,EmCost,2)+VLOOKUP(0,EmAuto20,3)*VLOOKUP(ProjLoc,EmCost,3)*(1+CO2Uprater)^($B25-YearCurrent)+VLOOKUP(0,EmAuto20,4)*VLOOKUP(ProjLoc,EmCost,4)+VLOOKUP(0,EmAuto20,5)*VLOOKUP(ProjLoc,EmCost,5)+VLOOKUP(0,EmAuto20,6)*VLOOKUP(ProjLoc,EmCost,6)+VLOOKUP(0,EmAuto20,7)*VLOOKUP(ProjLoc,EmCost,7))+O25*M25*0.00000110231131*(VLOOKUP(0,EmTruck20,2)*VLOOKUP(ProjLoc,EmCost,2)+VLOOKUP(0,EmTruck20,3)*VLOOKUP(ProjLoc,EmCost,3)*(1+CO2Uprater)^($B25-YearCurrent)+VLOOKUP(0,EmTruck20,4)*VLOOKUP(ProjLoc,EmCost,4)+VLOOKUP(0,EmTruck20,5)*VLOOKUP(ProjLoc,EmCost,5)+VLOOKUP(0,EmTruck20,6)*VLOOKUP(ProjLoc,EmCost,6)+VLOOKUP(0,EmTruck20,7)*VLOOKUP(ProjLoc,EmCost,7)),0)</f>
        <v>0</v>
      </c>
      <c r="T25" s="846">
        <f>IF(INDEX(HwyTransitModelGroup,A18,1)=Hwy,P25*(1-N25)*0.00000110231131*(VLOOKUP(0,EmAuto20,2)*VLOOKUP(ProjLoc,EmCost,2)+VLOOKUP(0,EmAuto20,3)*VLOOKUP(ProjLoc,EmCost,3)*(1+CO2Uprater)^($B25-YearCurrent)+VLOOKUP(0,EmAuto20,4)*VLOOKUP(ProjLoc,EmCost,4)+VLOOKUP(0,EmAuto20,5)*VLOOKUP(ProjLoc,EmCost,5)+VLOOKUP(0,EmAuto20,6)*VLOOKUP(ProjLoc,EmCost,6)+VLOOKUP(0,EmAuto20,7)*VLOOKUP(ProjLoc,EmCost,7))+P25*N25*0.00000110231131*(VLOOKUP(0,EmTruck20,2)*VLOOKUP(ProjLoc,EmCost,2)+VLOOKUP(0,EmTruck20,3)*VLOOKUP(ProjLoc,EmCost,3)*(1+CO2Uprater)^($B25-YearCurrent)+VLOOKUP(0,EmTruck20,4)*VLOOKUP(ProjLoc,EmCost,4)+VLOOKUP(0,EmTruck20,5)*VLOOKUP(ProjLoc,EmCost,5)+VLOOKUP(0,EmTruck20,6)*VLOOKUP(ProjLoc,EmCost,6)+VLOOKUP(0,EmTruck20,7)*VLOOKUP(ProjLoc,EmCost,7)),0)</f>
        <v>0</v>
      </c>
      <c r="U25" s="845">
        <f>IF(INDEX(HwyTransitModelGroup,A18,1)=PARAMETERS!$J$9,C25*0.00000110231131*(VLOOKUP(K25,EmBus20,2)*VLOOKUP(ProjLoc,EmCost,2)+VLOOKUP(K25,EmBus20,3)*VLOOKUP(ProjLoc,EmCost,3)*(1+CO2Uprater)^($B25-YearCurrent)+VLOOKUP(K25,EmBus20,4)*VLOOKUP(ProjLoc,EmCost,4)+VLOOKUP(K25,EmBus20,5)*VLOOKUP(ProjLoc,EmCost,5)+VLOOKUP(K25,EmBus20,6)*VLOOKUP(ProjLoc,EmCost,6)+VLOOKUP(K25,EmBus20,7)*VLOOKUP(ProjLoc,EmCost,7)),0)</f>
        <v>0</v>
      </c>
      <c r="V25" s="846">
        <f>IF(INDEX(HwyTransitModelGroup,A18,1)=PARAMETERS!$J$9,D25*0.00000110231131*(VLOOKUP(L25,EmBus20,2)*VLOOKUP(ProjLoc,EmCost,2)+VLOOKUP(L25,EmBus20,3)*VLOOKUP(ProjLoc,EmCost,3)*(1+CO2Uprater)^($B25-YearCurrent)+VLOOKUP(L25,EmBus20,4)*VLOOKUP(ProjLoc,EmCost,4)+VLOOKUP(L25,EmBus20,5)*VLOOKUP(ProjLoc,EmCost,5)+VLOOKUP(L25,EmBus20,6)*VLOOKUP(ProjLoc,EmCost,6)+VLOOKUP(L25,EmBus20,7)*VLOOKUP(ProjLoc,EmCost,7)),0)</f>
        <v>0</v>
      </c>
      <c r="W25" s="845">
        <f>IF(INDEX(HwyTransitModelGroup,A18,1)=PARAMETERS!$J$10,C25*0.00000110231131*(PARAMETERS!$CQ$29*VLOOKUP(ProjLoc,EmCost,2)+PARAMETERS!$CR$29*VLOOKUP(ProjLoc,EmCost,3)*(1+CO2Uprater)^($B25-YearCurrent)+PARAMETERS!$CS$29*VLOOKUP(ProjLoc,EmCost,4)+PARAMETERS!$CT$29*VLOOKUP(ProjLoc,EmCost,5)+PARAMETERS!$CU$29*VLOOKUP(ProjLoc,EmCost,6)+PARAMETERS!$CV$29*VLOOKUP(ProjLoc,EmCost,7)),0)</f>
        <v>0</v>
      </c>
      <c r="X25" s="846">
        <f>IF(INDEX(HwyTransitModelGroup,A18,1)=PARAMETERS!$J$10,D25*0.00000110231131*(PARAMETERS!$CQ$29*VLOOKUP(ProjLoc,EmCost,2)+PARAMETERS!$CR$29*VLOOKUP(ProjLoc,EmCost,3)*(1+CO2Uprater)^($B25-YearCurrent)+PARAMETERS!$CS$29*VLOOKUP(ProjLoc,EmCost,4)+PARAMETERS!$CT$29*VLOOKUP(ProjLoc,EmCost,5)+PARAMETERS!$CU$29*VLOOKUP(ProjLoc,EmCost,6)+PARAMETERS!$CV$29*VLOOKUP(ProjLoc,EmCost,7)),0)</f>
        <v>0</v>
      </c>
      <c r="Y25" s="845">
        <f>IF(INDEX(HwyTransitModelGroup,A18,1)=PARAMETERS!$J$11,C25*0.00000110231131*(PARAMETERS!$CQ$37*VLOOKUP(ProjLoc,EmCost,2)+PARAMETERS!$CR$37*VLOOKUP(ProjLoc,EmCost,3)*(1+CO2Uprater)^($B25-YearCurrent)+PARAMETERS!$CS$37*VLOOKUP(ProjLoc,EmCost,4)+PARAMETERS!$CT$37*VLOOKUP(ProjLoc,EmCost,5)+PARAMETERS!$CU$37*VLOOKUP(ProjLoc,EmCost,6)+PARAMETERS!$CV$37*VLOOKUP(ProjLoc,EmCost,7)),0)</f>
        <v>0</v>
      </c>
      <c r="Z25" s="846">
        <f>IF(INDEX(HwyTransitModelGroup,A18,1)=PARAMETERS!$J$11,D25*0.00000110231131*(PARAMETERS!$CQ$37*VLOOKUP(ProjLoc,EmCost,2)+PARAMETERS!$CR$37*VLOOKUP(ProjLoc,EmCost,3)*(1+CO2Uprater)^($B25-YearCurrent)+PARAMETERS!$CS$37*VLOOKUP(ProjLoc,EmCost,4)+PARAMETERS!$CT$37*VLOOKUP(ProjLoc,EmCost,5)+PARAMETERS!$CU$37*VLOOKUP(ProjLoc,EmCost,6)+PARAMETERS!$CV$37*VLOOKUP(ProjLoc,EmCost,7)),0)</f>
        <v>0</v>
      </c>
      <c r="AA25" s="369">
        <f>(Q25+S25+U25+W25+Y25)-(R25+T25+V25+X25+Z25)</f>
        <v>-3050.8764515470793</v>
      </c>
      <c r="AB25" s="370">
        <f>AA25/(1+DiscRate)^(B25-YearCurrent)</f>
        <v>-1190.212419319311</v>
      </c>
      <c r="AC25" s="371"/>
      <c r="AD25" s="856">
        <f>IF(INDEX(HwyTransitModelGroup,A18,1)=Hwy,0.00000110231131*(C25*(1-M25)*VLOOKUP(K25,EmAuto20,2)-D25*(1-N25)*VLOOKUP(L25,EmAuto20,2)+(O25*(1-M25)-P25*(1-N25))*VLOOKUP(0,EmAuto20,2))+0.00000110231131*(C25*M25*VLOOKUP(K25,EmTruck20,2)-D25*N25*VLOOKUP(L25,EmTruck20,2)+(O25*M25-P25*N25)*VLOOKUP(0,EmTruck20,2)),0)</f>
        <v>-4.1968932180309726E-2</v>
      </c>
      <c r="AE25" s="857">
        <f>IF(INDEX(HwyTransitModelGroup,A18,1)=Hwy,0.00000110231131*(C25*(1-M25)*VLOOKUP(K25,EmAuto20,3)-D25*(1-N25)*VLOOKUP(L25,EmAuto20,3)+(O25*(1-M25)-P25*(1-N25))*VLOOKUP(0,EmAuto20,3))+0.00000110231131*(C25*M25*VLOOKUP(K25,EmTruck20,3)-D25*N25*VLOOKUP(L25,EmTruck20,3)+(O25*M25-P25*N25)*VLOOKUP(0,EmTruck20,3)),0)</f>
        <v>-37.019899866345753</v>
      </c>
      <c r="AF25" s="857">
        <f>IF(INDEX(HwyTransitModelGroup,A18,1)=Hwy,0.00000110231131*(C25*(1-M25)*VLOOKUP(K25,EmAuto20,4)-D25*(1-N25)*VLOOKUP(L25,EmAuto20,4)+(O25*(1-M25)-P25*(1-N25))*VLOOKUP(0,EmAuto20,4))+0.00000110231131*(C25*M25*VLOOKUP(K25,EmTruck20,4)-D25*N25*VLOOKUP(L25,EmTruck20,4)+(O25*M25-P25*N25)*VLOOKUP(0,EmTruck20,4)),0)</f>
        <v>-9.5887499085415585E-3</v>
      </c>
      <c r="AG25" s="857">
        <f>IF(INDEX(HwyTransitModelGroup,A18,1)=Hwy,0.00000110231131*(C25*(1-M25)*VLOOKUP(K25,EmAuto20,5)-D25*(1-N25)*VLOOKUP(L25,EmAuto20,5)+(O25*(1-M25)-P25*(1-N25))*VLOOKUP(0,EmAuto20,5))+0.00000110231131*(C25*M25*VLOOKUP(K25,EmTruck20,5)-D25*N25*VLOOKUP(L25,EmTruck20,5)+(O25*M25-P25*N25)*VLOOKUP(0,EmTruck20,5)),0)</f>
        <v>-2.0635400000557183E-4</v>
      </c>
      <c r="AH25" s="857">
        <f>IF(INDEX(HwyTransitModelGroup,A18,1)=Hwy,0.00000110231131*(C25*(1-M25)*VLOOKUP(K25,EmAuto20,6)-D25*(1-N25)*VLOOKUP(L25,EmAuto20,6)+(O25*(1-M25)-P25*(1-N25))*VLOOKUP(0,EmAuto20,6))+0.00000110231131*(C25*M25*VLOOKUP(K25,EmTruck20,6)-D25*N25*VLOOKUP(L25,EmTruck20,6)+(O25*M25-P25*N25)*VLOOKUP(0,EmTruck20,6)),0)</f>
        <v>-3.375823977629761E-4</v>
      </c>
      <c r="AI25" s="857">
        <f>IF(INDEX(HwyTransitModelGroup,A18,1)=Hwy,0.00000110231131*(C25*(1-M25)*VLOOKUP(K25,EmAuto20,7)-D25*(1-N25)*VLOOKUP(L25,EmAuto20,7)+(O25*(1-M25)-P25*(1-N25))*VLOOKUP(0,EmAuto20,7))+0.00000110231131*(C25*M25*VLOOKUP(K25,EmTruck20,7)-D25*N25*VLOOKUP(L25,EmTruck20,7)+(O25*M25-P25*N25)*VLOOKUP(0,EmTruck20,7)),0)</f>
        <v>-5.4866313071205426E-4</v>
      </c>
      <c r="AJ25" s="858">
        <f>IF(INDEX(HwyTransitModelGroup,A18,1)=Hwy,0.00000110231131*(C25*(1-M25)*VLOOKUP(K25,EmAuto20,8)-D25*(1-N25)*VLOOKUP(L25,EmAuto20,8)+(O25*(1-M25)-P25*(1-N25))*VLOOKUP(0,EmAuto20,8))+0.00000110231131*(C25*M25*VLOOKUP(K25,EmTruck20,8)-D25*N25*VLOOKUP(L25,EmTruck20,8)+(O25*M25-P25*N25)*VLOOKUP(0,EmTruck20,8)),0)</f>
        <v>-2.0102375161984104E-4</v>
      </c>
      <c r="AK25" s="856">
        <f>IF(INDEX(HwyTransitModelGroup,A18,1)=PARAMETERS!$J$9,0.00000110231131*(C25*VLOOKUP(K25,EmBus20,2)-D25*VLOOKUP(L25,EmBus20,2)+(O25-P25)*VLOOKUP(0,EmBus20,2)),0)</f>
        <v>0</v>
      </c>
      <c r="AL25" s="857">
        <f>IF(INDEX(HwyTransitModelGroup,A18,1)=PARAMETERS!$J$9,0.00000110231131*(C25*VLOOKUP(K25,EmBus20,3)-D25*VLOOKUP(L25,EmBus20,3)+(O25-P25)*VLOOKUP(0,EmBus20,3)),0)</f>
        <v>0</v>
      </c>
      <c r="AM25" s="857">
        <f>IF(INDEX(HwyTransitModelGroup,A18,1)=PARAMETERS!$J$9,0.00000110231131*(C25*VLOOKUP(K25,EmBus20,4)-D25*VLOOKUP(L25,EmBus20,4)+(O25-P25)*VLOOKUP(0,EmBus20,4)),0)</f>
        <v>0</v>
      </c>
      <c r="AN25" s="857">
        <f>IF(INDEX(HwyTransitModelGroup,A18,1)=PARAMETERS!$J$9,0.00000110231131*(C25*VLOOKUP(K25,EmBus20,5)-D25*VLOOKUP(L25,EmBus20,5)+(O25-P25)*VLOOKUP(0,EmBus20,5)),0)</f>
        <v>0</v>
      </c>
      <c r="AO25" s="857">
        <f>IF(INDEX(HwyTransitModelGroup,A18,1)=PARAMETERS!$J$9,0.00000110231131*(C25*VLOOKUP(K25,EmBus20,6)-D25*VLOOKUP(L25,EmBus20,6)+(O25-P25)*VLOOKUP(0,EmBus20,6)),0)</f>
        <v>0</v>
      </c>
      <c r="AP25" s="857">
        <f>IF(INDEX(HwyTransitModelGroup,A18,1)=PARAMETERS!$J$9,0.00000110231131*(C25*VLOOKUP(K25,EmBus20,7)-D25*VLOOKUP(L25,EmBus20,7)+(O25-P25)*VLOOKUP(0,EmBus20,7)),0)</f>
        <v>0</v>
      </c>
      <c r="AQ25" s="858">
        <f>IF(INDEX(HwyTransitModelGroup,A18,1)=PARAMETERS!$J$9,0.00000110231131*(C25*VLOOKUP(K25,EmBus20,8)-D25*VLOOKUP(L25,EmBus20,8)+(O25-P25)*VLOOKUP(0,EmBus20,8)),0)</f>
        <v>0</v>
      </c>
      <c r="AR25" s="856">
        <f>IF(INDEX(HwyTransitModelGroup,A18,1)=PARAMETERS!$J$10,0.00000110231131*((C25-D25)*PARAMETERS!$CQ$29),0)</f>
        <v>0</v>
      </c>
      <c r="AS25" s="857">
        <f>IF(INDEX(HwyTransitModelGroup,A18,1)=PARAMETERS!$J$10,0.00000110231131*((C25-D25)*PARAMETERS!$CR$29),0)</f>
        <v>0</v>
      </c>
      <c r="AT25" s="857">
        <f>IF(INDEX(HwyTransitModelGroup,A18,1)=PARAMETERS!$J$10,0.00000110231131*((C25-D25)*PARAMETERS!$CS$29),0)</f>
        <v>0</v>
      </c>
      <c r="AU25" s="857">
        <f>IF(INDEX(HwyTransitModelGroup,A18,1)=PARAMETERS!$J$10,0.00000110231131*((C25-D25)*PARAMETERS!$CT$29),0)</f>
        <v>0</v>
      </c>
      <c r="AV25" s="857">
        <f>IF(INDEX(HwyTransitModelGroup,A18,1)=PARAMETERS!$J$10,0.00000110231131*((C25-D25)*PARAMETERS!$CU$29),0)</f>
        <v>0</v>
      </c>
      <c r="AW25" s="857">
        <f>IF(INDEX(HwyTransitModelGroup,A18,1)=PARAMETERS!$J$10,0.00000110231131*((C25-D25)*PARAMETERS!$CV$29),0)</f>
        <v>0</v>
      </c>
      <c r="AX25" s="858">
        <f>IF(INDEX(HwyTransitModelGroup,A18,1)=PARAMETERS!$J$10,0.00000110231131*((C25-D25)*PARAMETERS!$CW$29),0)</f>
        <v>0</v>
      </c>
      <c r="AY25" s="856">
        <f>IF(INDEX(HwyTransitModelGroup,A18,1)=PARAMETERS!$J$11,0.00000110231131*((C25-D25)*PARAMETERS!$CQ$37),0)</f>
        <v>0</v>
      </c>
      <c r="AZ25" s="857">
        <f>IF(INDEX(HwyTransitModelGroup,A18,1)=PARAMETERS!$J$11,0.00000110231131*((C25-D25)*PARAMETERS!$CR$37),0)</f>
        <v>0</v>
      </c>
      <c r="BA25" s="857">
        <f>IF(INDEX(HwyTransitModelGroup,A18,1)=PARAMETERS!$J$11,0.00000110231131*((C25-D25)*PARAMETERS!$CS$37),0)</f>
        <v>0</v>
      </c>
      <c r="BB25" s="857">
        <f>IF(INDEX(HwyTransitModelGroup,A18,1)=PARAMETERS!$J$11,0.00000110231131*((C25-D25)*PARAMETERS!$CT$37),0)</f>
        <v>0</v>
      </c>
      <c r="BC25" s="857">
        <f>IF(INDEX(HwyTransitModelGroup,A18,1)=PARAMETERS!$J$11,0.00000110231131*((C25-D25)*PARAMETERS!$CU$37),0)</f>
        <v>0</v>
      </c>
      <c r="BD25" s="857">
        <f>IF(INDEX(HwyTransitModelGroup,A18,1)=PARAMETERS!$J$11,0.00000110231131*((C25-D25)*PARAMETERS!$CV$37),0)</f>
        <v>0</v>
      </c>
      <c r="BE25" s="858">
        <f>IF(INDEX(HwyTransitModelGroup,A18,1)=PARAMETERS!$J$11,0.00000110231131*((C25-D25)*PARAMETERS!$CW$37),0)</f>
        <v>0</v>
      </c>
      <c r="BF25" s="859">
        <f>(AD25+AK25+AR25+AY25)*VLOOKUP(ProjLoc,EmCost,2)/(1+DiscRate)^($B25-YearCurrent)</f>
        <v>-1.309838535906473</v>
      </c>
      <c r="BG25" s="702">
        <f>(AE25+AL25+AS25+AZ25)*VLOOKUP(ProjLoc,EmCost,3)*(1+CO2Uprater)^($B25-YearCurrent)/(1+DiscRate)^($B25-YearCurrent)</f>
        <v>-1115.0143487285368</v>
      </c>
      <c r="BH25" s="702">
        <f>(AF25+AM25+AT25+BA25)*VLOOKUP(ProjLoc,EmCost,4)/(1+DiscRate)^($B25-YearCurrent)</f>
        <v>-56.485736496703254</v>
      </c>
      <c r="BI25" s="702">
        <f>(AG25+AN25+AU25+BB25)*VLOOKUP(ProjLoc,EmCost,5)/(1+DiscRate)^($B25-YearCurrent)</f>
        <v>-9.3947148881050513</v>
      </c>
      <c r="BJ25" s="702">
        <f>(AH25+AO25+AV25+BC25)*VLOOKUP(ProjLoc,EmCost,6)/(1+DiscRate)^($B25-YearCurrent)</f>
        <v>-7.7701904209470554</v>
      </c>
      <c r="BK25" s="384">
        <f>(AI25+AP25+AW25+BD25)*VLOOKUP(ProjLoc,EmCost,7)/(1+DiscRate)^($B25-YearCurrent)</f>
        <v>-0.23759024911352991</v>
      </c>
      <c r="BL25" s="392"/>
      <c r="BN25" s="375">
        <f>BN24+1</f>
        <v>2027</v>
      </c>
      <c r="BO25" s="376">
        <f t="shared" ca="1" si="1"/>
        <v>574.75314733417179</v>
      </c>
      <c r="BP25" s="376">
        <f t="shared" ca="1" si="1"/>
        <v>-636.56073408058126</v>
      </c>
      <c r="BQ25" s="376">
        <f t="shared" ca="1" si="1"/>
        <v>751.28976934775415</v>
      </c>
      <c r="BR25" s="376">
        <f t="shared" ca="1" si="1"/>
        <v>-1367.715904646589</v>
      </c>
      <c r="BS25" s="376">
        <f t="shared" ca="1" si="1"/>
        <v>45940.205044450027</v>
      </c>
      <c r="BT25" s="376">
        <f t="shared" ca="1" si="1"/>
        <v>66651.639194194227</v>
      </c>
      <c r="BV25" s="370">
        <f ca="1">IF(Emissions&lt;&gt;"N",SUM($BO25:BU25),0)</f>
        <v>111913.610516599</v>
      </c>
      <c r="BW25" s="377"/>
      <c r="BX25" s="370">
        <f t="shared" ca="1" si="2"/>
        <v>136160.01905308338</v>
      </c>
      <c r="BZ25" s="401">
        <f ca="1">SUM($BO59:BU59)</f>
        <v>2.6967528381985639</v>
      </c>
      <c r="CA25" s="863">
        <f ca="1">SUM($BO93:BU93)</f>
        <v>2079.4357660906685</v>
      </c>
      <c r="CB25" s="861">
        <f ca="1">SUM($BO127:BU127)</f>
        <v>1.4224646046557723</v>
      </c>
      <c r="CC25" s="863">
        <f ca="1">SUM($BO161:BU161)</f>
        <v>2.5669886872734922E-2</v>
      </c>
      <c r="CD25" s="861">
        <f ca="1">SUM($BO195:BU195)</f>
        <v>2.005193390460399E-2</v>
      </c>
      <c r="CE25" s="863">
        <f ca="1">SUM($BO229:BU229)</f>
        <v>7.6394664461488015E-2</v>
      </c>
      <c r="CF25" s="861">
        <f ca="1">SUM($BO263:BU263)</f>
        <v>2.4462633894602202E-2</v>
      </c>
      <c r="CG25" s="399">
        <f ca="1">SUM($BO297:BU297)</f>
        <v>177.32274063564924</v>
      </c>
      <c r="CH25" s="706">
        <f ca="1">SUM($BO331:BU331)</f>
        <v>90577.620866532205</v>
      </c>
      <c r="CI25" s="706">
        <f ca="1">SUM($BO365:BU365)</f>
        <v>17654.349476281786</v>
      </c>
      <c r="CJ25" s="706">
        <f ca="1">SUM($BO399:BU399)</f>
        <v>2462.2271414787397</v>
      </c>
      <c r="CK25" s="706">
        <f ca="1">SUM($BO433:BU433)</f>
        <v>972.39245312931337</v>
      </c>
      <c r="CL25" s="400">
        <f ca="1">SUM($BO467:BU467)</f>
        <v>69.697838541277349</v>
      </c>
    </row>
    <row r="26" spans="1:90" x14ac:dyDescent="0.25">
      <c r="B26" s="385"/>
      <c r="C26" s="388"/>
      <c r="D26" s="388"/>
      <c r="E26" s="388"/>
      <c r="F26" s="388"/>
      <c r="G26" s="388"/>
      <c r="H26" s="388"/>
      <c r="I26" s="388"/>
      <c r="J26" s="388"/>
      <c r="K26" s="434"/>
      <c r="L26" s="434"/>
      <c r="M26" s="434"/>
      <c r="N26" s="434"/>
      <c r="O26" s="386"/>
      <c r="P26" s="386"/>
      <c r="Q26" s="386"/>
      <c r="R26" s="386"/>
      <c r="S26" s="386"/>
      <c r="T26" s="386"/>
      <c r="U26" s="386"/>
      <c r="V26" s="386"/>
      <c r="W26" s="842"/>
      <c r="X26" s="843"/>
      <c r="Y26" s="388"/>
      <c r="Z26" s="388"/>
      <c r="AA26" s="388"/>
      <c r="AB26" s="389"/>
      <c r="AC26" s="390"/>
      <c r="AD26" s="847"/>
      <c r="AE26" s="389"/>
      <c r="AF26" s="389"/>
      <c r="AG26" s="389"/>
      <c r="AH26" s="389"/>
      <c r="AI26" s="389"/>
      <c r="AJ26" s="848"/>
      <c r="AK26" s="847"/>
      <c r="AL26" s="389"/>
      <c r="AM26" s="389"/>
      <c r="AN26" s="389"/>
      <c r="AO26" s="389"/>
      <c r="AP26" s="389"/>
      <c r="AQ26" s="848"/>
      <c r="AR26" s="847"/>
      <c r="AS26" s="389"/>
      <c r="AT26" s="389"/>
      <c r="AU26" s="389"/>
      <c r="AV26" s="389"/>
      <c r="AW26" s="389"/>
      <c r="AX26" s="848"/>
      <c r="AY26" s="847"/>
      <c r="AZ26" s="389"/>
      <c r="BA26" s="389"/>
      <c r="BB26" s="389"/>
      <c r="BC26" s="389"/>
      <c r="BD26" s="389"/>
      <c r="BE26" s="848"/>
      <c r="BF26" s="388"/>
      <c r="BG26" s="388"/>
      <c r="BH26" s="388"/>
      <c r="BI26" s="388"/>
      <c r="BJ26" s="388"/>
      <c r="BK26" s="388"/>
      <c r="BL26" s="392"/>
      <c r="BN26" s="375">
        <f t="shared" ref="BN26:BN43" si="3">BN25+1</f>
        <v>2028</v>
      </c>
      <c r="BO26" s="376">
        <f t="shared" ca="1" si="1"/>
        <v>394.62299601101131</v>
      </c>
      <c r="BP26" s="376">
        <f t="shared" ca="1" si="1"/>
        <v>-634.25572463482195</v>
      </c>
      <c r="BQ26" s="376">
        <f t="shared" ca="1" si="1"/>
        <v>744.94342823512704</v>
      </c>
      <c r="BR26" s="376">
        <f t="shared" ca="1" si="1"/>
        <v>-1348.373056859398</v>
      </c>
      <c r="BS26" s="376">
        <f t="shared" ca="1" si="1"/>
        <v>47266.593128827313</v>
      </c>
      <c r="BT26" s="376">
        <f t="shared" ca="1" si="1"/>
        <v>67061.45515627788</v>
      </c>
      <c r="BV26" s="370">
        <f ca="1">IF(Emissions&lt;&gt;"N",SUM($BO26:BU26),0)</f>
        <v>113484.98592785711</v>
      </c>
      <c r="BW26" s="377"/>
      <c r="BX26" s="370">
        <f t="shared" ca="1" si="2"/>
        <v>143594.71100826858</v>
      </c>
      <c r="BZ26" s="401">
        <f ca="1">SUM($BO60:BU60)</f>
        <v>2.7864014399914021</v>
      </c>
      <c r="CA26" s="863">
        <f ca="1">SUM($BO94:BU94)</f>
        <v>2157.9730532515214</v>
      </c>
      <c r="CB26" s="861">
        <f ca="1">SUM($BO128:BU128)</f>
        <v>1.4758711838221856</v>
      </c>
      <c r="CC26" s="863">
        <f ca="1">SUM($BO162:BU162)</f>
        <v>2.6731436416869064E-2</v>
      </c>
      <c r="CD26" s="861">
        <f ca="1">SUM($BO196:BU196)</f>
        <v>2.0811041823926478E-2</v>
      </c>
      <c r="CE26" s="863">
        <f ca="1">SUM($BO230:BU230)</f>
        <v>7.908334305737641E-2</v>
      </c>
      <c r="CF26" s="861">
        <f ca="1">SUM($BO264:BU264)</f>
        <v>2.5475021875499937E-2</v>
      </c>
      <c r="CG26" s="399">
        <f ca="1">SUM($BO298:BU298)</f>
        <v>176.170682603248</v>
      </c>
      <c r="CH26" s="706">
        <f ca="1">SUM($BO332:BU332)</f>
        <v>92190.941338853299</v>
      </c>
      <c r="CI26" s="706">
        <f ca="1">SUM($BO366:BU366)</f>
        <v>17612.67676368641</v>
      </c>
      <c r="CJ26" s="706">
        <f ca="1">SUM($BO400:BU400)</f>
        <v>2465.4324990361947</v>
      </c>
      <c r="CK26" s="706">
        <f ca="1">SUM($BO434:BU434)</f>
        <v>970.38885029257426</v>
      </c>
      <c r="CL26" s="400">
        <f ca="1">SUM($BO468:BU468)</f>
        <v>69.375793385314779</v>
      </c>
    </row>
    <row r="27" spans="1:90" x14ac:dyDescent="0.25">
      <c r="B27" s="375">
        <f>YearOpen</f>
        <v>2026</v>
      </c>
      <c r="C27" s="393">
        <f>MAX(TREND(C24:C25,B24:B25,B27),0)</f>
        <v>751535</v>
      </c>
      <c r="D27" s="394">
        <f>MAX(TREND(D24:D25,B24:B25,B27),0)</f>
        <v>723430</v>
      </c>
      <c r="E27" s="393">
        <f>MAX(TREND(E24:E25,B24:B25,B27),0)</f>
        <v>17520</v>
      </c>
      <c r="F27" s="394">
        <f>MAX(TREND(F24:F25,B24:B25,B27),0)</f>
        <v>17155</v>
      </c>
      <c r="G27" s="393">
        <f>MAX(TREND(G24:G25,B24:B25,B27),0)</f>
        <v>0</v>
      </c>
      <c r="H27" s="394">
        <f>MAX(TREND(H24:H25,B24:B25,B27),0)</f>
        <v>0</v>
      </c>
      <c r="I27" s="393">
        <f>MAX(TREND(I24:I25,B24:B25,B27),0)</f>
        <v>0</v>
      </c>
      <c r="J27" s="394">
        <f>MAX(TREND(J24:J25,B24:B25,B27),0)</f>
        <v>0</v>
      </c>
      <c r="K27" s="435">
        <f>IFERROR(IF(INDEX(HwyTransitModelGroup,A18,1)=Hwy,MAX(5,ROUND(C27/E27,1)),MAX(5,ROUND(G27/I27,1))),55)</f>
        <v>42.9</v>
      </c>
      <c r="L27" s="436">
        <f>IFERROR(IF(INDEX(HwyTransitModelGroup,A18,1)=Hwy,MAX(5,ROUND(D27/F27,1)),MAX(5,ROUND(H27/J27,1))),55)</f>
        <v>42.2</v>
      </c>
      <c r="M27" s="397">
        <f>MIN(MAX(TREND(M24:M25,B24:B25,B27),0),1)</f>
        <v>0.24</v>
      </c>
      <c r="N27" s="398">
        <f>MIN(MAX(TREND(N24:N25,B24:B25,B27),0),1)</f>
        <v>0.24</v>
      </c>
      <c r="O27" s="393">
        <f>MAX(TREND(O24:O25,B24:B25,B27),0)</f>
        <v>0</v>
      </c>
      <c r="P27" s="394">
        <f>MAX(TREND(P24:P25,B24:B25,B27),0)</f>
        <v>0</v>
      </c>
      <c r="Q27" s="727">
        <f>IF(INDEX(HwyTransitModelGroup,A18,1)=Hwy,C27*(1-M27)*0.00000110231131*(VLOOKUP(K27,EmAuto1,2)*VLOOKUP(ProjLoc,EmCost,2)+VLOOKUP(K27,EmAuto1,3)*VLOOKUP(ProjLoc,EmCost,3)*(1+CO2Uprater)^($B27-YearCurrent)+VLOOKUP(K27,EmAuto1,4)*VLOOKUP(ProjLoc,EmCost,4)+VLOOKUP(K27,EmAuto1,5)*VLOOKUP(ProjLoc,EmCost,5)+VLOOKUP(K27,EmAuto1,6)*VLOOKUP(ProjLoc,EmCost,6)+VLOOKUP(K27,EmAuto1,7)*VLOOKUP(ProjLoc,EmCost,7))+C27*M27*0.00000110231131*(VLOOKUP(K27,EmTruck1,2)*VLOOKUP(ProjLoc,EmCost,2)+VLOOKUP(K27,EmTruck1,3)*VLOOKUP(ProjLoc,EmCost,3)*(1+CO2Uprater)^($B27-YearCurrent)+VLOOKUP(K27,EmTruck1,4)*VLOOKUP(ProjLoc,EmCost,4)+VLOOKUP(K27,EmTruck1,5)*VLOOKUP(ProjLoc,EmCost,5)+VLOOKUP(K27,EmTruck1,6)*VLOOKUP(ProjLoc,EmCost,6)+VLOOKUP(K27,EmTruck1,7)*VLOOKUP(ProjLoc,EmCost,7)),0)</f>
        <v>23872.085057097167</v>
      </c>
      <c r="R27" s="801">
        <f>IF(INDEX(HwyTransitModelGroup,A18,1)=Hwy,D27*(1-N27)*0.00000110231131*(VLOOKUP(L27,EmAuto1,2)*VLOOKUP(ProjLoc,EmCost,2)+VLOOKUP(L27,EmAuto1,3)*VLOOKUP(ProjLoc,EmCost,3)*(1+CO2Uprater)^($B27-YearCurrent)+VLOOKUP(L27,EmAuto1,4)*VLOOKUP(ProjLoc,EmCost,4)+VLOOKUP(L27,EmAuto1,5)*VLOOKUP(ProjLoc,EmCost,5)+VLOOKUP(L27,EmAuto1,6)*VLOOKUP(ProjLoc,EmCost,6)+VLOOKUP(L27,EmAuto1,7)*VLOOKUP(ProjLoc,EmCost,7))+D27*N27*0.00000110231131*(VLOOKUP(L27,EmTruck1,2)*VLOOKUP(ProjLoc,EmCost,2)+VLOOKUP(L27,EmTruck1,3)*VLOOKUP(ProjLoc,EmCost,3)*(1+CO2Uprater)^($B27-YearCurrent)+VLOOKUP(L27,EmTruck1,4)*VLOOKUP(ProjLoc,EmCost,4)+VLOOKUP(L27,EmTruck1,5)*VLOOKUP(ProjLoc,EmCost,5)+VLOOKUP(L27,EmTruck1,6)*VLOOKUP(ProjLoc,EmCost,6)+VLOOKUP(L27,EmTruck1,7)*VLOOKUP(ProjLoc,EmCost,7)),0)</f>
        <v>22979.345596486924</v>
      </c>
      <c r="S27" s="727">
        <f>IF(INDEX(HwyTransitModelGroup,A18,1)=Hwy,O27*(1-M27)*0.00000110231131*(VLOOKUP(0,EmAuto1,2)*VLOOKUP(ProjLoc,EmCost,2)+VLOOKUP(0,EmAuto1,3)*VLOOKUP(ProjLoc,EmCost,3)*(1+CO2Uprater)^($B27-YearCurrent)+VLOOKUP(0,EmAuto1,4)*VLOOKUP(ProjLoc,EmCost,4)+VLOOKUP(0,EmAuto1,5)*VLOOKUP(ProjLoc,EmCost,5)+VLOOKUP(0,EmAuto1,6)*VLOOKUP(ProjLoc,EmCost,6)+VLOOKUP(0,EmAuto1,7)*VLOOKUP(ProjLoc,EmCost,7))+O27*M27*0.00000110231131*(VLOOKUP(0,EmTruck1,2)*VLOOKUP(ProjLoc,EmCost,2)+VLOOKUP(0,EmTruck1,3)*VLOOKUP(ProjLoc,EmCost,3)*(1+CO2Uprater)^($B27-YearCurrent)+VLOOKUP(0,EmTruck1,4)*VLOOKUP(ProjLoc,EmCost,4)+VLOOKUP(0,EmTruck1,5)*VLOOKUP(ProjLoc,EmCost,5)+VLOOKUP(0,EmTruck1,6)*VLOOKUP(ProjLoc,EmCost,6)+VLOOKUP(0,EmTruck1,7)*VLOOKUP(ProjLoc,EmCost,7)),0)</f>
        <v>0</v>
      </c>
      <c r="T27" s="801">
        <f>IF(INDEX(HwyTransitModelGroup,A18,1)=Hwy,P27*(1-N27)*0.00000110231131*(VLOOKUP(0,EmAuto1,2)*VLOOKUP(ProjLoc,EmCost,2)+VLOOKUP(0,EmAuto1,3)*VLOOKUP(ProjLoc,EmCost,3)*(1+CO2Uprater)^($B27-YearCurrent)+VLOOKUP(0,EmAuto1,4)*VLOOKUP(ProjLoc,EmCost,4)+VLOOKUP(0,EmAuto1,5)*VLOOKUP(ProjLoc,EmCost,5)+VLOOKUP(0,EmAuto1,6)*VLOOKUP(ProjLoc,EmCost,6)+VLOOKUP(0,EmAuto1,7)*VLOOKUP(ProjLoc,EmCost,7))+P27*N27*0.00000110231131*(VLOOKUP(0,EmTruck1,2)*VLOOKUP(ProjLoc,EmCost,2)+VLOOKUP(0,EmTruck1,3)*VLOOKUP(ProjLoc,EmCost,3)*(1+CO2Uprater)^($B27-YearCurrent)+VLOOKUP(0,EmTruck1,4)*VLOOKUP(ProjLoc,EmCost,4)+VLOOKUP(0,EmTruck1,5)*VLOOKUP(ProjLoc,EmCost,5)+VLOOKUP(0,EmTruck1,6)*VLOOKUP(ProjLoc,EmCost,6)+VLOOKUP(0,EmTruck1,7)*VLOOKUP(ProjLoc,EmCost,7)),0)</f>
        <v>0</v>
      </c>
      <c r="U27" s="727">
        <f>IF(INDEX(HwyTransitModelGroup,A18,1)=PARAMETERS!$J$9,C27*0.00000110231131*(VLOOKUP(K27,EmBus1,2)*VLOOKUP(ProjLoc,EmCost,2)+VLOOKUP(K27,EmBus1,3)*VLOOKUP(ProjLoc,EmCost,3)*(1+CO2Uprater)^($B27-YearCurrent)+VLOOKUP(K27,EmBus1,4)*VLOOKUP(ProjLoc,EmCost,4)+VLOOKUP(K27,EmBus1,5)*VLOOKUP(ProjLoc,EmCost,5)+VLOOKUP(K27,EmBus1,6)*VLOOKUP(ProjLoc,EmCost,6)+VLOOKUP(K27,EmBus1,7)*VLOOKUP(ProjLoc,EmCost,7)),0)</f>
        <v>0</v>
      </c>
      <c r="V27" s="801">
        <f>IF(INDEX(HwyTransitModelGroup,A18,1)=PARAMETERS!$J$9,D27*0.00000110231131*(VLOOKUP(L27,EmBus1,2)*VLOOKUP(ProjLoc,EmCost,2)+VLOOKUP(L27,EmBus1,3)*VLOOKUP(ProjLoc,EmCost,3)*(1+CO2Uprater)^($B27-YearCurrent)+VLOOKUP(L27,EmBus1,4)*VLOOKUP(ProjLoc,EmCost,4)+VLOOKUP(L27,EmBus1,5)*VLOOKUP(ProjLoc,EmCost,5)+VLOOKUP(L27,EmBus1,6)*VLOOKUP(ProjLoc,EmCost,6)+VLOOKUP(L27,EmBus1,7)*VLOOKUP(ProjLoc,EmCost,7)),0)</f>
        <v>0</v>
      </c>
      <c r="W27" s="808">
        <f>IF(INDEX(HwyTransitModelGroup,A18,1)=PARAMETERS!$J$10,C27*0.00000110231131*(PARAMETERS!$CQ$28*VLOOKUP(ProjLoc,EmCost,2)+PARAMETERS!$CR$28*VLOOKUP(ProjLoc,EmCost,3)*(1+CO2Uprater)^($B27-YearCurrent)+PARAMETERS!$CS$28*VLOOKUP(ProjLoc,EmCost,4)+PARAMETERS!$CT$28*VLOOKUP(ProjLoc,EmCost,5)+PARAMETERS!$CU$28*VLOOKUP(ProjLoc,EmCost,6)+PARAMETERS!$CV$28*VLOOKUP(ProjLoc,EmCost,7)),0)</f>
        <v>0</v>
      </c>
      <c r="X27" s="844">
        <f>IF(INDEX(HwyTransitModelGroup,A18,1)=PARAMETERS!$J$10,D27*0.00000110231131*(PARAMETERS!$CQ$28*VLOOKUP(ProjLoc,EmCost,2)+PARAMETERS!$CR$28*VLOOKUP(ProjLoc,EmCost,3)*(1+CO2Uprater)^($B27-YearCurrent)+PARAMETERS!$CS$28*VLOOKUP(ProjLoc,EmCost,4)+PARAMETERS!$CT$28*VLOOKUP(ProjLoc,EmCost,5)+PARAMETERS!$CU$28*VLOOKUP(ProjLoc,EmCost,6)+PARAMETERS!$CV$28*VLOOKUP(ProjLoc,EmCost,7)),0)</f>
        <v>0</v>
      </c>
      <c r="Y27" s="808">
        <f>IF(INDEX(HwyTransitModelGroup,A18,1)=PARAMETERS!$J$11,C27*0.00000110231131*(PARAMETERS!$CQ$36*VLOOKUP(ProjLoc,EmCost,2)+PARAMETERS!$CR$36*VLOOKUP(ProjLoc,EmCost,3)*(1+CO2Uprater)^($B27-YearCurrent)+PARAMETERS!$CS$36*VLOOKUP(ProjLoc,EmCost,4)+PARAMETERS!$CT$36*VLOOKUP(ProjLoc,EmCost,5)+PARAMETERS!$CU$36*VLOOKUP(ProjLoc,EmCost,6)+PARAMETERS!$CV$36*VLOOKUP(ProjLoc,EmCost,7)),0)</f>
        <v>0</v>
      </c>
      <c r="Z27" s="844">
        <f>IF(INDEX(HwyTransitModelGroup,A18,1)=PARAMETERS!$J$11,D27*0.00000110231131*(PARAMETERS!$CQ$36*VLOOKUP(ProjLoc,EmCost,2)+PARAMETERS!$CR$36*VLOOKUP(ProjLoc,EmCost,3)*(1+CO2Uprater)^($B27-YearCurrent)+PARAMETERS!$CS$36*VLOOKUP(ProjLoc,EmCost,4)+PARAMETERS!$CT$36*VLOOKUP(ProjLoc,EmCost,5)+PARAMETERS!$CU$36*VLOOKUP(ProjLoc,EmCost,6)+PARAMETERS!$CV$36*VLOOKUP(ProjLoc,EmCost,7)),0)</f>
        <v>0</v>
      </c>
      <c r="AA27" s="369">
        <f t="shared" ref="AA27:AA46" si="4">(Q27+S27+U27+W27+Y27)-(R27+T27+V27+X27+Z27)</f>
        <v>892.73946061024253</v>
      </c>
      <c r="AB27" s="370">
        <f t="shared" ref="AB27:AB46" si="5">AA27/(1+DiscRate)^(B27-YearCurrent)</f>
        <v>763.11743242725208</v>
      </c>
      <c r="AC27" s="371"/>
      <c r="AD27" s="393">
        <f>IF(INDEX(HwyTransitModelGroup,A18,1)=Hwy,0.00000110231131*(C27*(1-M27)*VLOOKUP(K27,EmAuto1,2)-D27*(1-N27)*VLOOKUP(L27,EmAuto1,2)+(O27*(1-M27)-P27*(1-N27))*VLOOKUP(0,EmAuto1,2))+0.00000110231131*(C27*M27*VLOOKUP(K27,EmTruck1,2)-D27*N27*VLOOKUP(L27,EmTruck1,2)+(O27*M27-P27*N27)*VLOOKUP(0,EmTruck1,2)),0)</f>
        <v>2.5741787610334639E-2</v>
      </c>
      <c r="AE27" s="862">
        <f>IF(INDEX(HwyTransitModelGroup,A18,1)=Hwy,0.00000110231131*(C27*(1-M27)*VLOOKUP(K27,EmAuto1,3)-D27*(1-N27)*VLOOKUP(L27,EmAuto1,3)+(O27*(1-M27)-P27*(1-N27))*VLOOKUP(0,EmAuto1,3))+0.00000110231131*(C27*M27*VLOOKUP(K27,EmTruck1,3)-D27*N27*VLOOKUP(L27,EmTruck1,3)+(O27*M27-P27*N27)*VLOOKUP(0,EmTruck1,3)),0)</f>
        <v>13.946124925283049</v>
      </c>
      <c r="AF27" s="860">
        <f>IF(INDEX(HwyTransitModelGroup,A18,1)=Hwy,0.00000110231131*(C27*(1-M27)*VLOOKUP(K27,EmAuto1,4)-D27*(1-N27)*VLOOKUP(L27,EmAuto1,4)+(O27*(1-M27)-P27*(1-N27))*VLOOKUP(0,EmAuto1,4))+0.00000110231131*(C27*M27*VLOOKUP(K27,EmTruck1,4)-D27*N27*VLOOKUP(L27,EmTruck1,4)+(O27*M27-P27*N27)*VLOOKUP(0,EmTruck1,4)),0)</f>
        <v>9.5936568914304823E-3</v>
      </c>
      <c r="AG27" s="862">
        <f>IF(INDEX(HwyTransitModelGroup,A18,1)=Hwy,0.00000110231131*(C27*(1-M27)*VLOOKUP(K27,EmAuto1,5)-D27*(1-N27)*VLOOKUP(L27,EmAuto1,5)+(O27*(1-M27)-P27*(1-N27))*VLOOKUP(0,EmAuto1,5))+0.00000110231131*(C27*M27*VLOOKUP(K27,EmTruck1,5)-D27*N27*VLOOKUP(L27,EmTruck1,5)+(O27*M27-P27*N27)*VLOOKUP(0,EmTruck1,5)),0)</f>
        <v>1.0843160778642506E-4</v>
      </c>
      <c r="AH27" s="860">
        <f>IF(INDEX(HwyTransitModelGroup,A18,1)=Hwy,0.00000110231131*(C27*(1-M27)*VLOOKUP(K27,EmAuto1,6)-D27*(1-N27)*VLOOKUP(L27,EmAuto1,6)+(O27*(1-M27)-P27*(1-N27))*VLOOKUP(0,EmAuto1,6))+0.00000110231131*(C27*M27*VLOOKUP(K27,EmTruck1,6)-D27*N27*VLOOKUP(L27,EmTruck1,6)+(O27*M27-P27*N27)*VLOOKUP(0,EmTruck1,6)),0)</f>
        <v>1.3358774079287562E-4</v>
      </c>
      <c r="AI27" s="862">
        <f>IF(INDEX(HwyTransitModelGroup,A18,1)=Hwy,0.00000110231131*(C27*(1-M27)*VLOOKUP(K27,EmAuto1,7)-D27*(1-N27)*VLOOKUP(L27,EmAuto1,7)+(O27*(1-M27)-P27*(1-N27))*VLOOKUP(0,EmAuto1,7))+0.00000110231131*(C27*M27*VLOOKUP(K27,EmTruck1,7)-D27*N27*VLOOKUP(L27,EmTruck1,7)+(O27*M27-P27*N27)*VLOOKUP(0,EmTruck1,7)),0)</f>
        <v>6.1713075060159598E-4</v>
      </c>
      <c r="AJ27" s="860">
        <f>IF(INDEX(HwyTransitModelGroup,A18,1)=Hwy,0.00000110231131*(C27*(1-M27)*VLOOKUP(K27,EmAuto1,8)-D27*(1-N27)*VLOOKUP(L27,EmAuto1,8)+(O27*(1-M27)-P27*(1-N27))*VLOOKUP(0,EmAuto1,8))+0.00000110231131*(C27*M27*VLOOKUP(K27,EmTruck1,8)-D27*N27*VLOOKUP(L27,EmTruck1,8)+(O27*M27-P27*N27)*VLOOKUP(0,EmTruck1,8)),0)</f>
        <v>1.0235943775038509E-4</v>
      </c>
      <c r="AK27" s="393">
        <f>IF(INDEX(HwyTransitModelGroup,A18,1)=PARAMETERS!$J$9,0.00000110231131*(C27*VLOOKUP(K27,EmBus1,2)-D27*VLOOKUP(L27,EmBus1,2)+(O27-P27)*VLOOKUP(0,EmBus1,2)),0)</f>
        <v>0</v>
      </c>
      <c r="AL27" s="862">
        <f>IF(INDEX(HwyTransitModelGroup,A18,1)=PARAMETERS!$J$9,0.00000110231131*(C27*VLOOKUP(K27,EmBus1,3)-D27*VLOOKUP(L27,EmBus1,3)+(O27-P27)*VLOOKUP(0,EmBus1,3)),0)</f>
        <v>0</v>
      </c>
      <c r="AM27" s="860">
        <f>IF(INDEX(HwyTransitModelGroup,A18,1)=PARAMETERS!$J$9,0.00000110231131*(C27*VLOOKUP(K27,EmBus1,4)-D27*VLOOKUP(L27,EmBus1,4)+(O27-P27)*VLOOKUP(0,EmBus1,4)),0)</f>
        <v>0</v>
      </c>
      <c r="AN27" s="862">
        <f>IF(INDEX(HwyTransitModelGroup,A18,1)=PARAMETERS!$J$9,0.00000110231131*(C27*VLOOKUP(K27,EmBus1,5)-D27*VLOOKUP(L27,EmBus1,5)+(O27-P27)*VLOOKUP(0,EmBus1,5)),0)</f>
        <v>0</v>
      </c>
      <c r="AO27" s="860">
        <f>IF(INDEX(HwyTransitModelGroup,A18,1)=PARAMETERS!$J$9,0.00000110231131*(C27*VLOOKUP(K27,EmBus1,6)-D27*VLOOKUP(L27,EmBus1,6)+(O27-P27)*VLOOKUP(0,EmBus1,6)),0)</f>
        <v>0</v>
      </c>
      <c r="AP27" s="862">
        <f>IF(INDEX(HwyTransitModelGroup,A18,1)=PARAMETERS!$J$9,0.00000110231131*(C27*VLOOKUP(K27,EmBus1,7)-D27*VLOOKUP(L27,EmBus1,7)+(O27-P27)*VLOOKUP(0,EmBus1,7)),0)</f>
        <v>0</v>
      </c>
      <c r="AQ27" s="860">
        <f>IF(INDEX(HwyTransitModelGroup,A18,1)=PARAMETERS!$J$9,0.00000110231131*(C27*VLOOKUP(K27,EmBus1,8)-D27*VLOOKUP(L27,EmBus1,8)+(O27-P27)*VLOOKUP(0,EmBus1,8)),0)</f>
        <v>0</v>
      </c>
      <c r="AR27" s="393">
        <f>IF(INDEX(HwyTransitModelGroup,A18,1)=PARAMETERS!$J$10,0.00000110231131*((C27-D27)*PARAMETERS!$CQ$28),0)</f>
        <v>0</v>
      </c>
      <c r="AS27" s="862">
        <f>IF(INDEX(HwyTransitModelGroup,A18,1)=PARAMETERS!$J$10,0.00000110231131*((C27-D27)*PARAMETERS!$CR$28),0)</f>
        <v>0</v>
      </c>
      <c r="AT27" s="860">
        <f>IF(INDEX(HwyTransitModelGroup,A18,1)=PARAMETERS!$J$10,0.00000110231131*((C27-D27)*PARAMETERS!$CS$28),0)</f>
        <v>0</v>
      </c>
      <c r="AU27" s="862">
        <f>IF(INDEX(HwyTransitModelGroup,A18,1)=PARAMETERS!$J$10,0.00000110231131*((C27-D27)*PARAMETERS!$CT$28),0)</f>
        <v>0</v>
      </c>
      <c r="AV27" s="860">
        <f>IF(INDEX(HwyTransitModelGroup,A18,1)=PARAMETERS!$J$10,0.00000110231131*((C27-D27)*PARAMETERS!$CU$28),0)</f>
        <v>0</v>
      </c>
      <c r="AW27" s="862">
        <f>IF(INDEX(HwyTransitModelGroup,A18,1)=PARAMETERS!$J$10,0.00000110231131*((C27-D27)*PARAMETERS!$CV$28),0)</f>
        <v>0</v>
      </c>
      <c r="AX27" s="860">
        <f>IF(INDEX(HwyTransitModelGroup,A18,1)=PARAMETERS!$J$10,0.00000110231131*((C27-D27)*PARAMETERS!$CW$28),0)</f>
        <v>0</v>
      </c>
      <c r="AY27" s="393">
        <f>IF(INDEX(HwyTransitModelGroup,A18,1)=PARAMETERS!$J$11,0.00000110231131*((C27-D27)*PARAMETERS!$CQ$36),0)</f>
        <v>0</v>
      </c>
      <c r="AZ27" s="862">
        <f>IF(INDEX(HwyTransitModelGroup,A18,1)=PARAMETERS!$J$11,0.00000110231131*((C27-D27)*PARAMETERS!$CR$36),0)</f>
        <v>0</v>
      </c>
      <c r="BA27" s="860">
        <f>IF(INDEX(HwyTransitModelGroup,A18,1)=PARAMETERS!$J$11,0.00000110231131*((C27-D27)*PARAMETERS!$CS$36),0)</f>
        <v>0</v>
      </c>
      <c r="BB27" s="862">
        <f>IF(INDEX(HwyTransitModelGroup,A18,1)=PARAMETERS!$J$11,0.00000110231131*((C27-D27)*PARAMETERS!$CT$36),0)</f>
        <v>0</v>
      </c>
      <c r="BC27" s="860">
        <f>IF(INDEX(HwyTransitModelGroup,A18,1)=PARAMETERS!$J$11,0.00000110231131*((C27-D27)*PARAMETERS!$CU$36),0)</f>
        <v>0</v>
      </c>
      <c r="BD27" s="862">
        <f>IF(INDEX(HwyTransitModelGroup,A18,1)=PARAMETERS!$J$11,0.00000110231131*((C27-D27)*PARAMETERS!$CV$36),0)</f>
        <v>0</v>
      </c>
      <c r="BE27" s="864">
        <f>IF(INDEX(HwyTransitModelGroup,A18,1)=PARAMETERS!$J$11,0.00000110231131*((C27-D27)*PARAMETERS!$CW$36),0)</f>
        <v>0</v>
      </c>
      <c r="BF27" s="727">
        <f t="shared" ref="BF27:BF46" si="6">(AD27+AK27+AR27+AY27)*VLOOKUP(ProjLoc,EmCost,2)/(1+DiscRate)^($B27-YearCurrent)</f>
        <v>1.7603350347128892</v>
      </c>
      <c r="BG27" s="866">
        <f t="shared" ref="BG27:BG46" si="7">(AE27+AL27+AS27+AZ27)*VLOOKUP(ProjLoc,EmCost,3)*(1+CO2Uprater)^($B27-YearCurrent)/(1+DiscRate)^($B27-YearCurrent)</f>
        <v>619.38704630429027</v>
      </c>
      <c r="BH27" s="866">
        <f t="shared" ref="BH27:BH46" si="8">(AF27+AM27+AT27+BA27)*VLOOKUP(ProjLoc,EmCost,4)/(1+DiscRate)^($B27-YearCurrent)</f>
        <v>123.83054158324938</v>
      </c>
      <c r="BI27" s="866">
        <f t="shared" ref="BI27:BI46" si="9">(AG27+AN27+AU27+BB27)*VLOOKUP(ProjLoc,EmCost,5)/(1+DiscRate)^($B27-YearCurrent)</f>
        <v>10.81666541695075</v>
      </c>
      <c r="BJ27" s="866">
        <f t="shared" ref="BJ27:BJ46" si="10">(AH27+AO27+AV27+BC27)*VLOOKUP(ProjLoc,EmCost,6)/(1+DiscRate)^($B27-YearCurrent)</f>
        <v>6.7372902812966204</v>
      </c>
      <c r="BK27" s="868">
        <f t="shared" ref="BK27:BK46" si="11">(AI27+AP27+AW27+BD27)*VLOOKUP(ProjLoc,EmCost,7)/(1+DiscRate)^($B27-YearCurrent)</f>
        <v>0.58555380675059676</v>
      </c>
      <c r="BL27" s="392"/>
      <c r="BN27" s="375">
        <f t="shared" si="3"/>
        <v>2029</v>
      </c>
      <c r="BO27" s="376">
        <f t="shared" ca="1" si="1"/>
        <v>222.41932020822586</v>
      </c>
      <c r="BP27" s="376">
        <f t="shared" ca="1" si="1"/>
        <v>-631.7751849079076</v>
      </c>
      <c r="BQ27" s="376">
        <f t="shared" ca="1" si="1"/>
        <v>738.47421586532323</v>
      </c>
      <c r="BR27" s="376">
        <f t="shared" ca="1" si="1"/>
        <v>-1329.2272624485372</v>
      </c>
      <c r="BS27" s="376">
        <f t="shared" ca="1" si="1"/>
        <v>48511.020981417918</v>
      </c>
      <c r="BT27" s="376">
        <f t="shared" ca="1" si="1"/>
        <v>67421.565269021812</v>
      </c>
      <c r="BV27" s="370">
        <f ca="1">IF(Emissions&lt;&gt;"N",SUM($BO27:BU27),0)</f>
        <v>114932.47733915685</v>
      </c>
      <c r="BW27" s="377"/>
      <c r="BX27" s="370">
        <f t="shared" ca="1" si="2"/>
        <v>151243.29939689956</v>
      </c>
      <c r="BZ27" s="401">
        <f ca="1">SUM($BO61:BU61)</f>
        <v>2.8760500417842412</v>
      </c>
      <c r="CA27" s="863">
        <f ca="1">SUM($BO95:BU95)</f>
        <v>2236.5103404123729</v>
      </c>
      <c r="CB27" s="861">
        <f ca="1">SUM($BO129:BU129)</f>
        <v>1.5292777629885981</v>
      </c>
      <c r="CC27" s="863">
        <f ca="1">SUM($BO163:BU163)</f>
        <v>2.7792985961003172E-2</v>
      </c>
      <c r="CD27" s="861">
        <f ca="1">SUM($BO197:BU197)</f>
        <v>2.1570149743248966E-2</v>
      </c>
      <c r="CE27" s="863">
        <f ca="1">SUM($BO231:BU231)</f>
        <v>8.1772021653264831E-2</v>
      </c>
      <c r="CF27" s="861">
        <f ca="1">SUM($BO265:BU265)</f>
        <v>2.6487409856397647E-2</v>
      </c>
      <c r="CG27" s="399">
        <f ca="1">SUM($BO299:BU299)</f>
        <v>174.84493267299067</v>
      </c>
      <c r="CH27" s="706">
        <f ca="1">SUM($BO333:BU333)</f>
        <v>93708.713382924354</v>
      </c>
      <c r="CI27" s="706">
        <f ca="1">SUM($BO367:BU367)</f>
        <v>17548.093742775462</v>
      </c>
      <c r="CJ27" s="706">
        <f ca="1">SUM($BO401:BU401)</f>
        <v>2464.7489427852652</v>
      </c>
      <c r="CK27" s="706">
        <f ca="1">SUM($BO435:BU435)</f>
        <v>967.10092037651725</v>
      </c>
      <c r="CL27" s="400">
        <f ca="1">SUM($BO469:BU469)</f>
        <v>68.975417622205455</v>
      </c>
    </row>
    <row r="28" spans="1:90" x14ac:dyDescent="0.25">
      <c r="B28" s="375">
        <f>B27+1</f>
        <v>2027</v>
      </c>
      <c r="C28" s="401">
        <f>MAX(TREND(C24:C25,B24:B25,B28),0)</f>
        <v>761207.5</v>
      </c>
      <c r="D28" s="402">
        <f>MAX(TREND(D24:D25,B24:B25,B28),0)</f>
        <v>739544.75</v>
      </c>
      <c r="E28" s="401">
        <f>MAX(TREND(E24:E25,B24:B25,B28),0)</f>
        <v>17775.5</v>
      </c>
      <c r="F28" s="402">
        <f>MAX(TREND(F24:F25,B24:B25,B28),0)</f>
        <v>17538.25</v>
      </c>
      <c r="G28" s="401">
        <f>MAX(TREND(G24:G25,B24:B25,B28),0)</f>
        <v>0</v>
      </c>
      <c r="H28" s="402">
        <f>MAX(TREND(H24:H25,B24:B25,B28),0)</f>
        <v>0</v>
      </c>
      <c r="I28" s="401">
        <f>MAX(TREND(I24:I25,B24:B25,B28),0)</f>
        <v>0</v>
      </c>
      <c r="J28" s="402">
        <f>MAX(TREND(J24:J25,B24:B25,B28),0)</f>
        <v>0</v>
      </c>
      <c r="K28" s="435">
        <f>IFERROR(IF(INDEX(HwyTransitModelGroup,A18,1)=Hwy,MAX(5,ROUND(C28/E28,1)),MAX(5,ROUND(G28/I28,1))),55)</f>
        <v>42.8</v>
      </c>
      <c r="L28" s="436">
        <f>IFERROR(IF(INDEX(HwyTransitModelGroup,A18,1)=Hwy,MAX(5,ROUND(D28/F28,1)),MAX(5,ROUND(H28/J28,1))),55)</f>
        <v>42.2</v>
      </c>
      <c r="M28" s="405">
        <f>MIN(MAX(TREND(M24:M25,B24:B25,B28),0),1)</f>
        <v>0.24</v>
      </c>
      <c r="N28" s="406">
        <f>MIN(MAX(TREND(N24:N25,B24:B25,B28),0),1)</f>
        <v>0.24</v>
      </c>
      <c r="O28" s="401">
        <f>MAX(TREND(O24:O25,B24:B25,B28),0)</f>
        <v>0</v>
      </c>
      <c r="P28" s="402">
        <f>MAX(TREND(P24:P25,B24:B25,B28),0)</f>
        <v>0</v>
      </c>
      <c r="Q28" s="729">
        <f>IF(INDEX(HwyTransitModelGroup,A18,1)=Hwy,C28*(1-M28)*0.00000110231131*(VLOOKUP(K28,EmAuto1,2)*VLOOKUP(ProjLoc,EmCost,2)+VLOOKUP(K28,EmAuto1,3)*VLOOKUP(ProjLoc,EmCost,3)*(1+CO2Uprater)^($B28-YearCurrent)+VLOOKUP(K28,EmAuto1,4)*VLOOKUP(ProjLoc,EmCost,4)+VLOOKUP(K28,EmAuto1,5)*VLOOKUP(ProjLoc,EmCost,5)+VLOOKUP(K28,EmAuto1,6)*VLOOKUP(ProjLoc,EmCost,6)+VLOOKUP(K28,EmAuto1,7)*VLOOKUP(ProjLoc,EmCost,7))+C28*M28*0.00000110231131*(VLOOKUP(K28,EmTruck1,2)*VLOOKUP(ProjLoc,EmCost,2)+VLOOKUP(K28,EmTruck1,3)*VLOOKUP(ProjLoc,EmCost,3)*(1+CO2Uprater)^($B28-YearCurrent)+VLOOKUP(K28,EmTruck1,4)*VLOOKUP(ProjLoc,EmCost,4)+VLOOKUP(K28,EmTruck1,5)*VLOOKUP(ProjLoc,EmCost,5)+VLOOKUP(K28,EmTruck1,6)*VLOOKUP(ProjLoc,EmCost,6)+VLOOKUP(K28,EmTruck1,7)*VLOOKUP(ProjLoc,EmCost,7)),0)</f>
        <v>24571.831330943431</v>
      </c>
      <c r="R28" s="802">
        <f>IF(INDEX(HwyTransitModelGroup,A18,1)=Hwy,D28*(1-N28)*0.00000110231131*(VLOOKUP(L28,EmAuto1,2)*VLOOKUP(ProjLoc,EmCost,2)+VLOOKUP(L28,EmAuto1,3)*VLOOKUP(ProjLoc,EmCost,3)*(1+CO2Uprater)^($B28-YearCurrent)+VLOOKUP(L28,EmAuto1,4)*VLOOKUP(ProjLoc,EmCost,4)+VLOOKUP(L28,EmAuto1,5)*VLOOKUP(ProjLoc,EmCost,5)+VLOOKUP(L28,EmAuto1,6)*VLOOKUP(ProjLoc,EmCost,6)+VLOOKUP(L28,EmAuto1,7)*VLOOKUP(ProjLoc,EmCost,7))+D28*N28*0.00000110231131*(VLOOKUP(L28,EmTruck1,2)*VLOOKUP(ProjLoc,EmCost,2)+VLOOKUP(L28,EmTruck1,3)*VLOOKUP(ProjLoc,EmCost,3)*(1+CO2Uprater)^($B28-YearCurrent)+VLOOKUP(L28,EmTruck1,4)*VLOOKUP(ProjLoc,EmCost,4)+VLOOKUP(L28,EmTruck1,5)*VLOOKUP(ProjLoc,EmCost,5)+VLOOKUP(L28,EmTruck1,6)*VLOOKUP(ProjLoc,EmCost,6)+VLOOKUP(L28,EmTruck1,7)*VLOOKUP(ProjLoc,EmCost,7)),0)</f>
        <v>23872.556246075776</v>
      </c>
      <c r="S28" s="729">
        <f>IF(INDEX(HwyTransitModelGroup,A18,1)=Hwy,O28*(1-M28)*0.00000110231131*(VLOOKUP(0,EmAuto1,2)*VLOOKUP(ProjLoc,EmCost,2)+VLOOKUP(0,EmAuto1,3)*VLOOKUP(ProjLoc,EmCost,3)*(1+CO2Uprater)^($B28-YearCurrent)+VLOOKUP(0,EmAuto1,4)*VLOOKUP(ProjLoc,EmCost,4)+VLOOKUP(0,EmAuto1,5)*VLOOKUP(ProjLoc,EmCost,5)+VLOOKUP(0,EmAuto1,6)*VLOOKUP(ProjLoc,EmCost,6)+VLOOKUP(0,EmAuto1,7)*VLOOKUP(ProjLoc,EmCost,7))+O28*M28*0.00000110231131*(VLOOKUP(0,EmTruck1,2)*VLOOKUP(ProjLoc,EmCost,2)+VLOOKUP(0,EmTruck1,3)*VLOOKUP(ProjLoc,EmCost,3)*(1+CO2Uprater)^($B28-YearCurrent)+VLOOKUP(0,EmTruck1,4)*VLOOKUP(ProjLoc,EmCost,4)+VLOOKUP(0,EmTruck1,5)*VLOOKUP(ProjLoc,EmCost,5)+VLOOKUP(0,EmTruck1,6)*VLOOKUP(ProjLoc,EmCost,6)+VLOOKUP(0,EmTruck1,7)*VLOOKUP(ProjLoc,EmCost,7)),0)</f>
        <v>0</v>
      </c>
      <c r="T28" s="802">
        <f>IF(INDEX(HwyTransitModelGroup,A18,1)=Hwy,P28*(1-N28)*0.00000110231131*(VLOOKUP(0,EmAuto1,2)*VLOOKUP(ProjLoc,EmCost,2)+VLOOKUP(0,EmAuto1,3)*VLOOKUP(ProjLoc,EmCost,3)*(1+CO2Uprater)^($B28-YearCurrent)+VLOOKUP(0,EmAuto1,4)*VLOOKUP(ProjLoc,EmCost,4)+VLOOKUP(0,EmAuto1,5)*VLOOKUP(ProjLoc,EmCost,5)+VLOOKUP(0,EmAuto1,6)*VLOOKUP(ProjLoc,EmCost,6)+VLOOKUP(0,EmAuto1,7)*VLOOKUP(ProjLoc,EmCost,7))+P28*N28*0.00000110231131*(VLOOKUP(0,EmTruck1,2)*VLOOKUP(ProjLoc,EmCost,2)+VLOOKUP(0,EmTruck1,3)*VLOOKUP(ProjLoc,EmCost,3)*(1+CO2Uprater)^($B28-YearCurrent)+VLOOKUP(0,EmTruck1,4)*VLOOKUP(ProjLoc,EmCost,4)+VLOOKUP(0,EmTruck1,5)*VLOOKUP(ProjLoc,EmCost,5)+VLOOKUP(0,EmTruck1,6)*VLOOKUP(ProjLoc,EmCost,6)+VLOOKUP(0,EmTruck1,7)*VLOOKUP(ProjLoc,EmCost,7)),0)</f>
        <v>0</v>
      </c>
      <c r="U28" s="729">
        <f>IF(INDEX(HwyTransitModelGroup,A18,1)=PARAMETERS!$J$9,C28*0.00000110231131*(VLOOKUP(K28,EmBus1,2)*VLOOKUP(ProjLoc,EmCost,2)+VLOOKUP(K28,EmBus1,3)*VLOOKUP(ProjLoc,EmCost,3)*(1+CO2Uprater)^($B28-YearCurrent)+VLOOKUP(K28,EmBus1,4)*VLOOKUP(ProjLoc,EmCost,4)+VLOOKUP(K28,EmBus1,5)*VLOOKUP(ProjLoc,EmCost,5)+VLOOKUP(K28,EmBus1,6)*VLOOKUP(ProjLoc,EmCost,6)+VLOOKUP(K28,EmBus1,7)*VLOOKUP(ProjLoc,EmCost,7)),0)</f>
        <v>0</v>
      </c>
      <c r="V28" s="802">
        <f>IF(INDEX(HwyTransitModelGroup,A18,1)=PARAMETERS!$J$9,D28*0.00000110231131*(VLOOKUP(L28,EmBus1,2)*VLOOKUP(ProjLoc,EmCost,2)+VLOOKUP(L28,EmBus1,3)*VLOOKUP(ProjLoc,EmCost,3)*(1+CO2Uprater)^($B28-YearCurrent)+VLOOKUP(L28,EmBus1,4)*VLOOKUP(ProjLoc,EmCost,4)+VLOOKUP(L28,EmBus1,5)*VLOOKUP(ProjLoc,EmCost,5)+VLOOKUP(L28,EmBus1,6)*VLOOKUP(ProjLoc,EmCost,6)+VLOOKUP(L28,EmBus1,7)*VLOOKUP(ProjLoc,EmCost,7)),0)</f>
        <v>0</v>
      </c>
      <c r="W28" s="808">
        <f>IF(INDEX(HwyTransitModelGroup,A18,1)=PARAMETERS!$J$10,C28*0.00000110231131*(PARAMETERS!$CQ$28*VLOOKUP(ProjLoc,EmCost,2)+PARAMETERS!$CR$28*VLOOKUP(ProjLoc,EmCost,3)*(1+CO2Uprater)^($B28-YearCurrent)+PARAMETERS!$CS$28*VLOOKUP(ProjLoc,EmCost,4)+PARAMETERS!$CT$28*VLOOKUP(ProjLoc,EmCost,5)+PARAMETERS!$CU$28*VLOOKUP(ProjLoc,EmCost,6)+PARAMETERS!$CV$28*VLOOKUP(ProjLoc,EmCost,7)),0)</f>
        <v>0</v>
      </c>
      <c r="X28" s="844">
        <f>IF(INDEX(HwyTransitModelGroup,A18,1)=PARAMETERS!$J$10,D28*0.00000110231131*(PARAMETERS!$CQ$28*VLOOKUP(ProjLoc,EmCost,2)+PARAMETERS!$CR$28*VLOOKUP(ProjLoc,EmCost,3)*(1+CO2Uprater)^($B28-YearCurrent)+PARAMETERS!$CS$28*VLOOKUP(ProjLoc,EmCost,4)+PARAMETERS!$CT$28*VLOOKUP(ProjLoc,EmCost,5)+PARAMETERS!$CU$28*VLOOKUP(ProjLoc,EmCost,6)+PARAMETERS!$CV$28*VLOOKUP(ProjLoc,EmCost,7)),0)</f>
        <v>0</v>
      </c>
      <c r="Y28" s="808">
        <f>IF(INDEX(HwyTransitModelGroup,A18,1)=PARAMETERS!$J$11,C28*0.00000110231131*(PARAMETERS!$CQ$36*VLOOKUP(ProjLoc,EmCost,2)+PARAMETERS!$CR$36*VLOOKUP(ProjLoc,EmCost,3)*(1+CO2Uprater)^($B28-YearCurrent)+PARAMETERS!$CS$36*VLOOKUP(ProjLoc,EmCost,4)+PARAMETERS!$CT$36*VLOOKUP(ProjLoc,EmCost,5)+PARAMETERS!$CU$36*VLOOKUP(ProjLoc,EmCost,6)+PARAMETERS!$CV$36*VLOOKUP(ProjLoc,EmCost,7)),0)</f>
        <v>0</v>
      </c>
      <c r="Z28" s="844">
        <f>IF(INDEX(HwyTransitModelGroup,A18,1)=PARAMETERS!$J$11,D28*0.00000110231131*(PARAMETERS!$CQ$36*VLOOKUP(ProjLoc,EmCost,2)+PARAMETERS!$CR$36*VLOOKUP(ProjLoc,EmCost,3)*(1+CO2Uprater)^($B28-YearCurrent)+PARAMETERS!$CS$36*VLOOKUP(ProjLoc,EmCost,4)+PARAMETERS!$CT$36*VLOOKUP(ProjLoc,EmCost,5)+PARAMETERS!$CU$36*VLOOKUP(ProjLoc,EmCost,6)+PARAMETERS!$CV$36*VLOOKUP(ProjLoc,EmCost,7)),0)</f>
        <v>0</v>
      </c>
      <c r="AA28" s="369">
        <f t="shared" si="4"/>
        <v>699.2750848676551</v>
      </c>
      <c r="AB28" s="370">
        <f t="shared" si="5"/>
        <v>574.75314733417179</v>
      </c>
      <c r="AC28" s="371"/>
      <c r="AD28" s="401">
        <f>IF(INDEX(HwyTransitModelGroup,A18,1)=Hwy,0.00000110231131*(C28*(1-M28)*VLOOKUP(K28,EmAuto1,2)-D28*(1-N28)*VLOOKUP(L28,EmAuto1,2)+(O28*(1-M28)-P28*(1-N28))*VLOOKUP(0,EmAuto1,2))+0.00000110231131*(C28*M28*VLOOKUP(K28,EmTruck1,2)-D28*N28*VLOOKUP(L28,EmTruck1,2)+(O28*M28-P28*N28)*VLOOKUP(0,EmTruck1,2)),0)</f>
        <v>1.9841234995758031E-2</v>
      </c>
      <c r="AE28" s="863">
        <f>IF(INDEX(HwyTransitModelGroup,A18,1)=Hwy,0.00000110231131*(C28*(1-M28)*VLOOKUP(K28,EmAuto1,3)-D28*(1-N28)*VLOOKUP(L28,EmAuto1,3)+(O28*(1-M28)-P28*(1-N28))*VLOOKUP(0,EmAuto1,3))+0.00000110231131*(C28*M28*VLOOKUP(K28,EmTruck1,3)-D28*N28*VLOOKUP(L28,EmTruck1,3)+(O28*M28-P28*N28)*VLOOKUP(0,EmTruck1,3)),0)</f>
        <v>10.749383302799311</v>
      </c>
      <c r="AF28" s="861">
        <f>IF(INDEX(HwyTransitModelGroup,A18,1)=Hwy,0.00000110231131*(C28*(1-M28)*VLOOKUP(K28,EmAuto1,4)-D28*(1-N28)*VLOOKUP(L28,EmAuto1,4)+(O28*(1-M28)-P28*(1-N28))*VLOOKUP(0,EmAuto1,4))+0.00000110231131*(C28*M28*VLOOKUP(K28,EmTruck1,4)-D28*N28*VLOOKUP(L28,EmTruck1,4)+(O28*M28-P28*N28)*VLOOKUP(0,EmTruck1,4)),0)</f>
        <v>7.3945913831999655E-3</v>
      </c>
      <c r="AG28" s="863">
        <f>IF(INDEX(HwyTransitModelGroup,A18,1)=Hwy,0.00000110231131*(C28*(1-M28)*VLOOKUP(K28,EmAuto1,5)-D28*(1-N28)*VLOOKUP(L28,EmAuto1,5)+(O28*(1-M28)-P28*(1-N28))*VLOOKUP(0,EmAuto1,5))+0.00000110231131*(C28*M28*VLOOKUP(K28,EmTruck1,5)-D28*N28*VLOOKUP(L28,EmTruck1,5)+(O28*M28-P28*N28)*VLOOKUP(0,EmTruck1,5)),0)</f>
        <v>8.3576830157458727E-5</v>
      </c>
      <c r="AH28" s="861">
        <f>IF(INDEX(HwyTransitModelGroup,A18,1)=Hwy,0.00000110231131*(C28*(1-M28)*VLOOKUP(K28,EmAuto1,6)-D28*(1-N28)*VLOOKUP(L28,EmAuto1,6)+(O28*(1-M28)-P28*(1-N28))*VLOOKUP(0,EmAuto1,6))+0.00000110231131*(C28*M28*VLOOKUP(K28,EmTruck1,6)-D28*N28*VLOOKUP(L28,EmTruck1,6)+(O28*M28-P28*N28)*VLOOKUP(0,EmTruck1,6)),0)</f>
        <v>1.0296665475398913E-4</v>
      </c>
      <c r="AI28" s="863">
        <f>IF(INDEX(HwyTransitModelGroup,A18,1)=Hwy,0.00000110231131*(C28*(1-M28)*VLOOKUP(K28,EmAuto1,7)-D28*(1-N28)*VLOOKUP(L28,EmAuto1,7)+(O28*(1-M28)-P28*(1-N28))*VLOOKUP(0,EmAuto1,7))+0.00000110231131*(C28*M28*VLOOKUP(K28,EmTruck1,7)-D28*N28*VLOOKUP(L28,EmTruck1,7)+(O28*M28-P28*N28)*VLOOKUP(0,EmTruck1,7)),0)</f>
        <v>4.7567155906759229E-4</v>
      </c>
      <c r="AJ28" s="861">
        <f>IF(INDEX(HwyTransitModelGroup,A18,1)=Hwy,0.00000110231131*(C28*(1-M28)*VLOOKUP(K28,EmAuto1,8)-D28*(1-N28)*VLOOKUP(L28,EmAuto1,8)+(O28*(1-M28)-P28*(1-N28))*VLOOKUP(0,EmAuto1,8))+0.00000110231131*(C28*M28*VLOOKUP(K28,EmTruck1,8)-D28*N28*VLOOKUP(L28,EmTruck1,8)+(O28*M28-P28*N28)*VLOOKUP(0,EmTruck1,8)),0)</f>
        <v>7.8896527668640768E-5</v>
      </c>
      <c r="AK28" s="401">
        <f>IF(INDEX(HwyTransitModelGroup,A18,1)=PARAMETERS!$J$9,0.00000110231131*(C28*VLOOKUP(K28,EmBus1,2)-D28*VLOOKUP(L28,EmBus1,2)+(O28-P28)*VLOOKUP(0,EmBus1,2)),0)</f>
        <v>0</v>
      </c>
      <c r="AL28" s="863">
        <f>IF(INDEX(HwyTransitModelGroup,A18,1)=PARAMETERS!$J$9,0.00000110231131*(C28*VLOOKUP(K28,EmBus1,3)-D28*VLOOKUP(L28,EmBus1,3)+(O28-P28)*VLOOKUP(0,EmBus1,3)),0)</f>
        <v>0</v>
      </c>
      <c r="AM28" s="861">
        <f>IF(INDEX(HwyTransitModelGroup,A18,1)=PARAMETERS!$J$9,0.00000110231131*(C28*VLOOKUP(K28,EmBus1,4)-D28*VLOOKUP(L28,EmBus1,4)+(O28-P28)*VLOOKUP(0,EmBus1,4)),0)</f>
        <v>0</v>
      </c>
      <c r="AN28" s="863">
        <f>IF(INDEX(HwyTransitModelGroup,A18,1)=PARAMETERS!$J$9,0.00000110231131*(C28*VLOOKUP(K28,EmBus1,5)-D28*VLOOKUP(L28,EmBus1,5)+(O28-P28)*VLOOKUP(0,EmBus1,5)),0)</f>
        <v>0</v>
      </c>
      <c r="AO28" s="861">
        <f>IF(INDEX(HwyTransitModelGroup,A18,1)=PARAMETERS!$J$9,0.00000110231131*(C28*VLOOKUP(K28,EmBus1,6)-D28*VLOOKUP(L28,EmBus1,6)+(O28-P28)*VLOOKUP(0,EmBus1,6)),0)</f>
        <v>0</v>
      </c>
      <c r="AP28" s="863">
        <f>IF(INDEX(HwyTransitModelGroup,A18,1)=PARAMETERS!$J$9,0.00000110231131*(C28*VLOOKUP(K28,EmBus1,7)-D28*VLOOKUP(L28,EmBus1,7)+(O28-P28)*VLOOKUP(0,EmBus1,7)),0)</f>
        <v>0</v>
      </c>
      <c r="AQ28" s="861">
        <f>IF(INDEX(HwyTransitModelGroup,A18,1)=PARAMETERS!$J$9,0.00000110231131*(C28*VLOOKUP(K28,EmBus1,8)-D28*VLOOKUP(L28,EmBus1,8)+(O28-P28)*VLOOKUP(0,EmBus1,8)),0)</f>
        <v>0</v>
      </c>
      <c r="AR28" s="401">
        <f>IF(INDEX(HwyTransitModelGroup,A18,1)=PARAMETERS!$J$10,0.00000110231131*((C28-D28)*PARAMETERS!$CQ$28),0)</f>
        <v>0</v>
      </c>
      <c r="AS28" s="863">
        <f>IF(INDEX(HwyTransitModelGroup,A18,1)=PARAMETERS!$J$10,0.00000110231131*((C28-D28)*PARAMETERS!$CR$28),0)</f>
        <v>0</v>
      </c>
      <c r="AT28" s="861">
        <f>IF(INDEX(HwyTransitModelGroup,A18,1)=PARAMETERS!$J$10,0.00000110231131*((C28-D28)*PARAMETERS!$CS$28),0)</f>
        <v>0</v>
      </c>
      <c r="AU28" s="863">
        <f>IF(INDEX(HwyTransitModelGroup,A18,1)=PARAMETERS!$J$10,0.00000110231131*((C28-D28)*PARAMETERS!$CT$28),0)</f>
        <v>0</v>
      </c>
      <c r="AV28" s="861">
        <f>IF(INDEX(HwyTransitModelGroup,A18,1)=PARAMETERS!$J$10,0.00000110231131*((C28-D28)*PARAMETERS!$CU$28),0)</f>
        <v>0</v>
      </c>
      <c r="AW28" s="863">
        <f>IF(INDEX(HwyTransitModelGroup,A18,1)=PARAMETERS!$J$10,0.00000110231131*((C28-D28)*PARAMETERS!$CV$28),0)</f>
        <v>0</v>
      </c>
      <c r="AX28" s="861">
        <f>IF(INDEX(HwyTransitModelGroup,A18,1)=PARAMETERS!$J$10,0.00000110231131*((C28-D28)*PARAMETERS!$CW$28),0)</f>
        <v>0</v>
      </c>
      <c r="AY28" s="401">
        <f>IF(INDEX(HwyTransitModelGroup,A18,1)=PARAMETERS!$J$11,0.00000110231131*((C28-D28)*PARAMETERS!$CQ$36),0)</f>
        <v>0</v>
      </c>
      <c r="AZ28" s="863">
        <f>IF(INDEX(HwyTransitModelGroup,A18,1)=PARAMETERS!$J$11,0.00000110231131*((C28-D28)*PARAMETERS!$CR$36),0)</f>
        <v>0</v>
      </c>
      <c r="BA28" s="861">
        <f>IF(INDEX(HwyTransitModelGroup,A18,1)=PARAMETERS!$J$11,0.00000110231131*((C28-D28)*PARAMETERS!$CS$36),0)</f>
        <v>0</v>
      </c>
      <c r="BB28" s="863">
        <f>IF(INDEX(HwyTransitModelGroup,A18,1)=PARAMETERS!$J$11,0.00000110231131*((C28-D28)*PARAMETERS!$CT$36),0)</f>
        <v>0</v>
      </c>
      <c r="BC28" s="861">
        <f>IF(INDEX(HwyTransitModelGroup,A18,1)=PARAMETERS!$J$11,0.00000110231131*((C28-D28)*PARAMETERS!$CU$36),0)</f>
        <v>0</v>
      </c>
      <c r="BD28" s="863">
        <f>IF(INDEX(HwyTransitModelGroup,A18,1)=PARAMETERS!$J$11,0.00000110231131*((C28-D28)*PARAMETERS!$CV$36),0)</f>
        <v>0</v>
      </c>
      <c r="BE28" s="865">
        <f>IF(INDEX(HwyTransitModelGroup,A18,1)=PARAMETERS!$J$11,0.00000110231131*((C28-D28)*PARAMETERS!$CW$36),0)</f>
        <v>0</v>
      </c>
      <c r="BF28" s="729">
        <f t="shared" si="6"/>
        <v>1.3046439099676634</v>
      </c>
      <c r="BG28" s="867">
        <f t="shared" si="7"/>
        <v>468.22969058594816</v>
      </c>
      <c r="BH28" s="867">
        <f t="shared" si="8"/>
        <v>91.775008029043804</v>
      </c>
      <c r="BI28" s="867">
        <f t="shared" si="9"/>
        <v>8.0165970591411888</v>
      </c>
      <c r="BJ28" s="867">
        <f t="shared" si="10"/>
        <v>4.993233993443484</v>
      </c>
      <c r="BK28" s="869">
        <f t="shared" si="11"/>
        <v>0.43397375662647109</v>
      </c>
      <c r="BL28" s="392"/>
      <c r="BN28" s="375">
        <f t="shared" si="3"/>
        <v>2030</v>
      </c>
      <c r="BO28" s="376">
        <f t="shared" ca="1" si="1"/>
        <v>57.846031736963177</v>
      </c>
      <c r="BP28" s="376">
        <f t="shared" ca="1" si="1"/>
        <v>-629.12841986472472</v>
      </c>
      <c r="BQ28" s="376">
        <f t="shared" ca="1" si="1"/>
        <v>731.8944845064708</v>
      </c>
      <c r="BR28" s="376">
        <f t="shared" ca="1" si="1"/>
        <v>-1310.2817547183436</v>
      </c>
      <c r="BS28" s="376">
        <f t="shared" ca="1" si="1"/>
        <v>49676.852545418915</v>
      </c>
      <c r="BT28" s="376">
        <f t="shared" ca="1" si="1"/>
        <v>67734.221869049506</v>
      </c>
      <c r="BV28" s="370">
        <f ca="1">IF(Emissions&lt;&gt;"N",SUM($BO28:BU28),0)</f>
        <v>116261.40475612879</v>
      </c>
      <c r="BW28" s="377"/>
      <c r="BX28" s="370">
        <f t="shared" ca="1" si="2"/>
        <v>159111.76030587839</v>
      </c>
      <c r="BZ28" s="401">
        <f ca="1">SUM($BO62:BU62)</f>
        <v>2.9656986435770794</v>
      </c>
      <c r="CA28" s="863">
        <f ca="1">SUM($BO96:BU96)</f>
        <v>2315.0476275732217</v>
      </c>
      <c r="CB28" s="861">
        <f ca="1">SUM($BO130:BU130)</f>
        <v>1.582684342155007</v>
      </c>
      <c r="CC28" s="863">
        <f ca="1">SUM($BO164:BU164)</f>
        <v>2.8854535505137238E-2</v>
      </c>
      <c r="CD28" s="861">
        <f ca="1">SUM($BO198:BU198)</f>
        <v>2.2329257662571409E-2</v>
      </c>
      <c r="CE28" s="863">
        <f ca="1">SUM($BO232:BU232)</f>
        <v>8.446070024915317E-2</v>
      </c>
      <c r="CF28" s="861">
        <f ca="1">SUM($BO266:BU266)</f>
        <v>2.7499797837295344E-2</v>
      </c>
      <c r="CG28" s="399">
        <f ca="1">SUM($BO300:BU300)</f>
        <v>173.36055598795531</v>
      </c>
      <c r="CH28" s="706">
        <f ca="1">SUM($BO334:BU334)</f>
        <v>95134.015296106882</v>
      </c>
      <c r="CI28" s="706">
        <f ca="1">SUM($BO368:BU368)</f>
        <v>17462.424390982345</v>
      </c>
      <c r="CJ28" s="706">
        <f ca="1">SUM($BO402:BU402)</f>
        <v>2460.4708782887865</v>
      </c>
      <c r="CK28" s="706">
        <f ca="1">SUM($BO436:BU436)</f>
        <v>962.63042168137883</v>
      </c>
      <c r="CL28" s="400">
        <f ca="1">SUM($BO470:BU470)</f>
        <v>68.503213081427958</v>
      </c>
    </row>
    <row r="29" spans="1:90" x14ac:dyDescent="0.25">
      <c r="B29" s="375">
        <f t="shared" ref="B29:B46" si="12">B28+1</f>
        <v>2028</v>
      </c>
      <c r="C29" s="401">
        <f>MAX(TREND(C24:C25,B24:B25,B29),0)</f>
        <v>770880</v>
      </c>
      <c r="D29" s="402">
        <f>MAX(TREND(D24:D25,B24:B25,B29),0)</f>
        <v>755659.5</v>
      </c>
      <c r="E29" s="401">
        <f>MAX(TREND(E24:E25,B24:B25,B29),0)</f>
        <v>18031</v>
      </c>
      <c r="F29" s="402">
        <f>MAX(TREND(F24:F25,B24:B25,B29),0)</f>
        <v>17921.5</v>
      </c>
      <c r="G29" s="401">
        <f>MAX(TREND(G24:G25,B24:B25,B29),0)</f>
        <v>0</v>
      </c>
      <c r="H29" s="402">
        <f>MAX(TREND(H24:H25,B24:B25,B29),0)</f>
        <v>0</v>
      </c>
      <c r="I29" s="401">
        <f>MAX(TREND(I24:I25,B24:B25,B29),0)</f>
        <v>0</v>
      </c>
      <c r="J29" s="402">
        <f>MAX(TREND(J24:J25,B24:B25,B29),0)</f>
        <v>0</v>
      </c>
      <c r="K29" s="435">
        <f>IFERROR(IF(INDEX(HwyTransitModelGroup,A18,1)=Hwy,MAX(5,ROUND(C29/E29,1)),MAX(5,ROUND(G29/I29,1))),55)</f>
        <v>42.8</v>
      </c>
      <c r="L29" s="436">
        <f>IFERROR(IF(INDEX(HwyTransitModelGroup,A18,1)=Hwy,MAX(5,ROUND(D29/F29,1)),MAX(5,ROUND(H29/J29,1))),55)</f>
        <v>42.2</v>
      </c>
      <c r="M29" s="405">
        <f>MIN(MAX(TREND(M24:M25,B24:B25,B29),0),1)</f>
        <v>0.24</v>
      </c>
      <c r="N29" s="406">
        <f>MIN(MAX(TREND(N24:N25,B24:B25,B29),0),1)</f>
        <v>0.24</v>
      </c>
      <c r="O29" s="401">
        <f>MAX(TREND(O24:O25,B24:B25,B29),0)</f>
        <v>0</v>
      </c>
      <c r="P29" s="402">
        <f>MAX(TREND(P24:P25,B24:B25,B29),0)</f>
        <v>0</v>
      </c>
      <c r="Q29" s="729">
        <f>IF(INDEX(HwyTransitModelGroup,A18,1)=Hwy,C29*(1-M29)*0.00000110231131*(VLOOKUP(K29,EmAuto1,2)*VLOOKUP(ProjLoc,EmCost,2)+VLOOKUP(K29,EmAuto1,3)*VLOOKUP(ProjLoc,EmCost,3)*(1+CO2Uprater)^($B29-YearCurrent)+VLOOKUP(K29,EmAuto1,4)*VLOOKUP(ProjLoc,EmCost,4)+VLOOKUP(K29,EmAuto1,5)*VLOOKUP(ProjLoc,EmCost,5)+VLOOKUP(K29,EmAuto1,6)*VLOOKUP(ProjLoc,EmCost,6)+VLOOKUP(K29,EmAuto1,7)*VLOOKUP(ProjLoc,EmCost,7))+C29*M29*0.00000110231131*(VLOOKUP(K29,EmTruck1,2)*VLOOKUP(ProjLoc,EmCost,2)+VLOOKUP(K29,EmTruck1,3)*VLOOKUP(ProjLoc,EmCost,3)*(1+CO2Uprater)^($B29-YearCurrent)+VLOOKUP(K29,EmTruck1,4)*VLOOKUP(ProjLoc,EmCost,4)+VLOOKUP(K29,EmTruck1,5)*VLOOKUP(ProjLoc,EmCost,5)+VLOOKUP(K29,EmTruck1,6)*VLOOKUP(ProjLoc,EmCost,6)+VLOOKUP(K29,EmTruck1,7)*VLOOKUP(ProjLoc,EmCost,7)),0)</f>
        <v>25289.502397120603</v>
      </c>
      <c r="R29" s="802">
        <f>IF(INDEX(HwyTransitModelGroup,A18,1)=Hwy,D29*(1-N29)*0.00000110231131*(VLOOKUP(L29,EmAuto1,2)*VLOOKUP(ProjLoc,EmCost,2)+VLOOKUP(L29,EmAuto1,3)*VLOOKUP(ProjLoc,EmCost,3)*(1+CO2Uprater)^($B29-YearCurrent)+VLOOKUP(L29,EmAuto1,4)*VLOOKUP(ProjLoc,EmCost,4)+VLOOKUP(L29,EmAuto1,5)*VLOOKUP(ProjLoc,EmCost,5)+VLOOKUP(L29,EmAuto1,6)*VLOOKUP(ProjLoc,EmCost,6)+VLOOKUP(L29,EmAuto1,7)*VLOOKUP(ProjLoc,EmCost,7))+D29*N29*0.00000110231131*(VLOOKUP(L29,EmTruck1,2)*VLOOKUP(ProjLoc,EmCost,2)+VLOOKUP(L29,EmTruck1,3)*VLOOKUP(ProjLoc,EmCost,3)*(1+CO2Uprater)^($B29-YearCurrent)+VLOOKUP(L29,EmTruck1,4)*VLOOKUP(ProjLoc,EmCost,4)+VLOOKUP(L29,EmTruck1,5)*VLOOKUP(ProjLoc,EmCost,5)+VLOOKUP(L29,EmTruck1,6)*VLOOKUP(ProjLoc,EmCost,6)+VLOOKUP(L29,EmTruck1,7)*VLOOKUP(ProjLoc,EmCost,7)),0)</f>
        <v>24790.178415131999</v>
      </c>
      <c r="S29" s="729">
        <f>IF(INDEX(HwyTransitModelGroup,A18,1)=Hwy,O29*(1-M29)*0.00000110231131*(VLOOKUP(0,EmAuto1,2)*VLOOKUP(ProjLoc,EmCost,2)+VLOOKUP(0,EmAuto1,3)*VLOOKUP(ProjLoc,EmCost,3)*(1+CO2Uprater)^($B29-YearCurrent)+VLOOKUP(0,EmAuto1,4)*VLOOKUP(ProjLoc,EmCost,4)+VLOOKUP(0,EmAuto1,5)*VLOOKUP(ProjLoc,EmCost,5)+VLOOKUP(0,EmAuto1,6)*VLOOKUP(ProjLoc,EmCost,6)+VLOOKUP(0,EmAuto1,7)*VLOOKUP(ProjLoc,EmCost,7))+O29*M29*0.00000110231131*(VLOOKUP(0,EmTruck1,2)*VLOOKUP(ProjLoc,EmCost,2)+VLOOKUP(0,EmTruck1,3)*VLOOKUP(ProjLoc,EmCost,3)*(1+CO2Uprater)^($B29-YearCurrent)+VLOOKUP(0,EmTruck1,4)*VLOOKUP(ProjLoc,EmCost,4)+VLOOKUP(0,EmTruck1,5)*VLOOKUP(ProjLoc,EmCost,5)+VLOOKUP(0,EmTruck1,6)*VLOOKUP(ProjLoc,EmCost,6)+VLOOKUP(0,EmTruck1,7)*VLOOKUP(ProjLoc,EmCost,7)),0)</f>
        <v>0</v>
      </c>
      <c r="T29" s="802">
        <f>IF(INDEX(HwyTransitModelGroup,A18,1)=Hwy,P29*(1-N29)*0.00000110231131*(VLOOKUP(0,EmAuto1,2)*VLOOKUP(ProjLoc,EmCost,2)+VLOOKUP(0,EmAuto1,3)*VLOOKUP(ProjLoc,EmCost,3)*(1+CO2Uprater)^($B29-YearCurrent)+VLOOKUP(0,EmAuto1,4)*VLOOKUP(ProjLoc,EmCost,4)+VLOOKUP(0,EmAuto1,5)*VLOOKUP(ProjLoc,EmCost,5)+VLOOKUP(0,EmAuto1,6)*VLOOKUP(ProjLoc,EmCost,6)+VLOOKUP(0,EmAuto1,7)*VLOOKUP(ProjLoc,EmCost,7))+P29*N29*0.00000110231131*(VLOOKUP(0,EmTruck1,2)*VLOOKUP(ProjLoc,EmCost,2)+VLOOKUP(0,EmTruck1,3)*VLOOKUP(ProjLoc,EmCost,3)*(1+CO2Uprater)^($B29-YearCurrent)+VLOOKUP(0,EmTruck1,4)*VLOOKUP(ProjLoc,EmCost,4)+VLOOKUP(0,EmTruck1,5)*VLOOKUP(ProjLoc,EmCost,5)+VLOOKUP(0,EmTruck1,6)*VLOOKUP(ProjLoc,EmCost,6)+VLOOKUP(0,EmTruck1,7)*VLOOKUP(ProjLoc,EmCost,7)),0)</f>
        <v>0</v>
      </c>
      <c r="U29" s="729">
        <f>IF(INDEX(HwyTransitModelGroup,A18,1)=PARAMETERS!$J$9,C29*0.00000110231131*(VLOOKUP(K29,EmBus1,2)*VLOOKUP(ProjLoc,EmCost,2)+VLOOKUP(K29,EmBus1,3)*VLOOKUP(ProjLoc,EmCost,3)*(1+CO2Uprater)^($B29-YearCurrent)+VLOOKUP(K29,EmBus1,4)*VLOOKUP(ProjLoc,EmCost,4)+VLOOKUP(K29,EmBus1,5)*VLOOKUP(ProjLoc,EmCost,5)+VLOOKUP(K29,EmBus1,6)*VLOOKUP(ProjLoc,EmCost,6)+VLOOKUP(K29,EmBus1,7)*VLOOKUP(ProjLoc,EmCost,7)),0)</f>
        <v>0</v>
      </c>
      <c r="V29" s="802">
        <f>IF(INDEX(HwyTransitModelGroup,A18,1)=PARAMETERS!$J$9,D29*0.00000110231131*(VLOOKUP(L29,EmBus1,2)*VLOOKUP(ProjLoc,EmCost,2)+VLOOKUP(L29,EmBus1,3)*VLOOKUP(ProjLoc,EmCost,3)*(1+CO2Uprater)^($B29-YearCurrent)+VLOOKUP(L29,EmBus1,4)*VLOOKUP(ProjLoc,EmCost,4)+VLOOKUP(L29,EmBus1,5)*VLOOKUP(ProjLoc,EmCost,5)+VLOOKUP(L29,EmBus1,6)*VLOOKUP(ProjLoc,EmCost,6)+VLOOKUP(L29,EmBus1,7)*VLOOKUP(ProjLoc,EmCost,7)),0)</f>
        <v>0</v>
      </c>
      <c r="W29" s="808">
        <f>IF(INDEX(HwyTransitModelGroup,A18,1)=PARAMETERS!$J$10,C29*0.00000110231131*(PARAMETERS!$CQ$28*VLOOKUP(ProjLoc,EmCost,2)+PARAMETERS!$CR$28*VLOOKUP(ProjLoc,EmCost,3)*(1+CO2Uprater)^($B29-YearCurrent)+PARAMETERS!$CS$28*VLOOKUP(ProjLoc,EmCost,4)+PARAMETERS!$CT$28*VLOOKUP(ProjLoc,EmCost,5)+PARAMETERS!$CU$28*VLOOKUP(ProjLoc,EmCost,6)+PARAMETERS!$CV$28*VLOOKUP(ProjLoc,EmCost,7)),0)</f>
        <v>0</v>
      </c>
      <c r="X29" s="844">
        <f>IF(INDEX(HwyTransitModelGroup,A18,1)=PARAMETERS!$J$10,D29*0.00000110231131*(PARAMETERS!$CQ$28*VLOOKUP(ProjLoc,EmCost,2)+PARAMETERS!$CR$28*VLOOKUP(ProjLoc,EmCost,3)*(1+CO2Uprater)^($B29-YearCurrent)+PARAMETERS!$CS$28*VLOOKUP(ProjLoc,EmCost,4)+PARAMETERS!$CT$28*VLOOKUP(ProjLoc,EmCost,5)+PARAMETERS!$CU$28*VLOOKUP(ProjLoc,EmCost,6)+PARAMETERS!$CV$28*VLOOKUP(ProjLoc,EmCost,7)),0)</f>
        <v>0</v>
      </c>
      <c r="Y29" s="808">
        <f>IF(INDEX(HwyTransitModelGroup,A18,1)=PARAMETERS!$J$11,C29*0.00000110231131*(PARAMETERS!$CQ$36*VLOOKUP(ProjLoc,EmCost,2)+PARAMETERS!$CR$36*VLOOKUP(ProjLoc,EmCost,3)*(1+CO2Uprater)^($B29-YearCurrent)+PARAMETERS!$CS$36*VLOOKUP(ProjLoc,EmCost,4)+PARAMETERS!$CT$36*VLOOKUP(ProjLoc,EmCost,5)+PARAMETERS!$CU$36*VLOOKUP(ProjLoc,EmCost,6)+PARAMETERS!$CV$36*VLOOKUP(ProjLoc,EmCost,7)),0)</f>
        <v>0</v>
      </c>
      <c r="Z29" s="844">
        <f>IF(INDEX(HwyTransitModelGroup,A18,1)=PARAMETERS!$J$11,D29*0.00000110231131*(PARAMETERS!$CQ$36*VLOOKUP(ProjLoc,EmCost,2)+PARAMETERS!$CR$36*VLOOKUP(ProjLoc,EmCost,3)*(1+CO2Uprater)^($B29-YearCurrent)+PARAMETERS!$CS$36*VLOOKUP(ProjLoc,EmCost,4)+PARAMETERS!$CT$36*VLOOKUP(ProjLoc,EmCost,5)+PARAMETERS!$CU$36*VLOOKUP(ProjLoc,EmCost,6)+PARAMETERS!$CV$36*VLOOKUP(ProjLoc,EmCost,7)),0)</f>
        <v>0</v>
      </c>
      <c r="AA29" s="369">
        <f t="shared" si="4"/>
        <v>499.32398198860392</v>
      </c>
      <c r="AB29" s="370">
        <f t="shared" si="5"/>
        <v>394.62299601101131</v>
      </c>
      <c r="AC29" s="371"/>
      <c r="AD29" s="401">
        <f>IF(INDEX(HwyTransitModelGroup,A18,1)=Hwy,0.00000110231131*(C29*(1-M29)*VLOOKUP(K29,EmAuto1,2)-D29*(1-N29)*VLOOKUP(L29,EmAuto1,2)+(O29*(1-M29)-P29*(1-N29))*VLOOKUP(0,EmAuto1,2))+0.00000110231131*(C29*M29*VLOOKUP(K29,EmTruck1,2)-D29*N29*VLOOKUP(L29,EmTruck1,2)+(O29*M29-P29*N29)*VLOOKUP(0,EmTruck1,2)),0)</f>
        <v>1.3940682381181424E-2</v>
      </c>
      <c r="AE29" s="863">
        <f>IF(INDEX(HwyTransitModelGroup,A18,1)=Hwy,0.00000110231131*(C29*(1-M29)*VLOOKUP(K29,EmAuto1,3)-D29*(1-N29)*VLOOKUP(L29,EmAuto1,3)+(O29*(1-M29)-P29*(1-N29))*VLOOKUP(0,EmAuto1,3))+0.00000110231131*(C29*M29*VLOOKUP(K29,EmTruck1,3)-D29*N29*VLOOKUP(L29,EmTruck1,3)+(O29*M29-P29*N29)*VLOOKUP(0,EmTruck1,3)),0)</f>
        <v>7.5526416803156042</v>
      </c>
      <c r="AF29" s="861">
        <f>IF(INDEX(HwyTransitModelGroup,A18,1)=Hwy,0.00000110231131*(C29*(1-M29)*VLOOKUP(K29,EmAuto1,4)-D29*(1-N29)*VLOOKUP(L29,EmAuto1,4)+(O29*(1-M29)-P29*(1-N29))*VLOOKUP(0,EmAuto1,4))+0.00000110231131*(C29*M29*VLOOKUP(K29,EmTruck1,4)-D29*N29*VLOOKUP(L29,EmTruck1,4)+(O29*M29-P29*N29)*VLOOKUP(0,EmTruck1,4)),0)</f>
        <v>5.1955258749694895E-3</v>
      </c>
      <c r="AG29" s="863">
        <f>IF(INDEX(HwyTransitModelGroup,A18,1)=Hwy,0.00000110231131*(C29*(1-M29)*VLOOKUP(K29,EmAuto1,5)-D29*(1-N29)*VLOOKUP(L29,EmAuto1,5)+(O29*(1-M29)-P29*(1-N29))*VLOOKUP(0,EmAuto1,5))+0.00000110231131*(C29*M29*VLOOKUP(K29,EmTruck1,5)-D29*N29*VLOOKUP(L29,EmTruck1,5)+(O29*M29-P29*N29)*VLOOKUP(0,EmTruck1,5)),0)</f>
        <v>5.8722052528492492E-5</v>
      </c>
      <c r="AH29" s="861">
        <f>IF(INDEX(HwyTransitModelGroup,A18,1)=Hwy,0.00000110231131*(C29*(1-M29)*VLOOKUP(K29,EmAuto1,6)-D29*(1-N29)*VLOOKUP(L29,EmAuto1,6)+(O29*(1-M29)-P29*(1-N29))*VLOOKUP(0,EmAuto1,6))+0.00000110231131*(C29*M29*VLOOKUP(K29,EmTruck1,6)-D29*N29*VLOOKUP(L29,EmTruck1,6)+(O29*M29-P29*N29)*VLOOKUP(0,EmTruck1,6)),0)</f>
        <v>7.2345568715102666E-5</v>
      </c>
      <c r="AI29" s="863">
        <f>IF(INDEX(HwyTransitModelGroup,A18,1)=Hwy,0.00000110231131*(C29*(1-M29)*VLOOKUP(K29,EmAuto1,7)-D29*(1-N29)*VLOOKUP(L29,EmAuto1,7)+(O29*(1-M29)-P29*(1-N29))*VLOOKUP(0,EmAuto1,7))+0.00000110231131*(C29*M29*VLOOKUP(K29,EmTruck1,7)-D29*N29*VLOOKUP(L29,EmTruck1,7)+(O29*M29-P29*N29)*VLOOKUP(0,EmTruck1,7)),0)</f>
        <v>3.3421236753359261E-4</v>
      </c>
      <c r="AJ29" s="861">
        <f>IF(INDEX(HwyTransitModelGroup,A18,1)=Hwy,0.00000110231131*(C29*(1-M29)*VLOOKUP(K29,EmAuto1,8)-D29*(1-N29)*VLOOKUP(L29,EmAuto1,8)+(O29*(1-M29)-P29*(1-N29))*VLOOKUP(0,EmAuto1,8))+0.00000110231131*(C29*M29*VLOOKUP(K29,EmTruck1,8)-D29*N29*VLOOKUP(L29,EmTruck1,8)+(O29*M29-P29*N29)*VLOOKUP(0,EmTruck1,8)),0)</f>
        <v>5.5433617586896705E-5</v>
      </c>
      <c r="AK29" s="401">
        <f>IF(INDEX(HwyTransitModelGroup,A18,1)=PARAMETERS!$J$9,0.00000110231131*(C29*VLOOKUP(K29,EmBus1,2)-D29*VLOOKUP(L29,EmBus1,2)+(O29-P29)*VLOOKUP(0,EmBus1,2)),0)</f>
        <v>0</v>
      </c>
      <c r="AL29" s="863">
        <f>IF(INDEX(HwyTransitModelGroup,A18,1)=PARAMETERS!$J$9,0.00000110231131*(C29*VLOOKUP(K29,EmBus1,3)-D29*VLOOKUP(L29,EmBus1,3)+(O29-P29)*VLOOKUP(0,EmBus1,3)),0)</f>
        <v>0</v>
      </c>
      <c r="AM29" s="861">
        <f>IF(INDEX(HwyTransitModelGroup,A18,1)=PARAMETERS!$J$9,0.00000110231131*(C29*VLOOKUP(K29,EmBus1,4)-D29*VLOOKUP(L29,EmBus1,4)+(O29-P29)*VLOOKUP(0,EmBus1,4)),0)</f>
        <v>0</v>
      </c>
      <c r="AN29" s="863">
        <f>IF(INDEX(HwyTransitModelGroup,A18,1)=PARAMETERS!$J$9,0.00000110231131*(C29*VLOOKUP(K29,EmBus1,5)-D29*VLOOKUP(L29,EmBus1,5)+(O29-P29)*VLOOKUP(0,EmBus1,5)),0)</f>
        <v>0</v>
      </c>
      <c r="AO29" s="861">
        <f>IF(INDEX(HwyTransitModelGroup,A18,1)=PARAMETERS!$J$9,0.00000110231131*(C29*VLOOKUP(K29,EmBus1,6)-D29*VLOOKUP(L29,EmBus1,6)+(O29-P29)*VLOOKUP(0,EmBus1,6)),0)</f>
        <v>0</v>
      </c>
      <c r="AP29" s="863">
        <f>IF(INDEX(HwyTransitModelGroup,A18,1)=PARAMETERS!$J$9,0.00000110231131*(C29*VLOOKUP(K29,EmBus1,7)-D29*VLOOKUP(L29,EmBus1,7)+(O29-P29)*VLOOKUP(0,EmBus1,7)),0)</f>
        <v>0</v>
      </c>
      <c r="AQ29" s="861">
        <f>IF(INDEX(HwyTransitModelGroup,A18,1)=PARAMETERS!$J$9,0.00000110231131*(C29*VLOOKUP(K29,EmBus1,8)-D29*VLOOKUP(L29,EmBus1,8)+(O29-P29)*VLOOKUP(0,EmBus1,8)),0)</f>
        <v>0</v>
      </c>
      <c r="AR29" s="401">
        <f>IF(INDEX(HwyTransitModelGroup,A18,1)=PARAMETERS!$J$10,0.00000110231131*((C29-D29)*PARAMETERS!$CQ$28),0)</f>
        <v>0</v>
      </c>
      <c r="AS29" s="863">
        <f>IF(INDEX(HwyTransitModelGroup,A18,1)=PARAMETERS!$J$10,0.00000110231131*((C29-D29)*PARAMETERS!$CR$28),0)</f>
        <v>0</v>
      </c>
      <c r="AT29" s="861">
        <f>IF(INDEX(HwyTransitModelGroup,A18,1)=PARAMETERS!$J$10,0.00000110231131*((C29-D29)*PARAMETERS!$CS$28),0)</f>
        <v>0</v>
      </c>
      <c r="AU29" s="863">
        <f>IF(INDEX(HwyTransitModelGroup,A18,1)=PARAMETERS!$J$10,0.00000110231131*((C29-D29)*PARAMETERS!$CT$28),0)</f>
        <v>0</v>
      </c>
      <c r="AV29" s="861">
        <f>IF(INDEX(HwyTransitModelGroup,A18,1)=PARAMETERS!$J$10,0.00000110231131*((C29-D29)*PARAMETERS!$CU$28),0)</f>
        <v>0</v>
      </c>
      <c r="AW29" s="863">
        <f>IF(INDEX(HwyTransitModelGroup,A18,1)=PARAMETERS!$J$10,0.00000110231131*((C29-D29)*PARAMETERS!$CV$28),0)</f>
        <v>0</v>
      </c>
      <c r="AX29" s="861">
        <f>IF(INDEX(HwyTransitModelGroup,A18,1)=PARAMETERS!$J$10,0.00000110231131*((C29-D29)*PARAMETERS!$CW$28),0)</f>
        <v>0</v>
      </c>
      <c r="AY29" s="401">
        <f>IF(INDEX(HwyTransitModelGroup,A18,1)=PARAMETERS!$J$11,0.00000110231131*((C29-D29)*PARAMETERS!$CQ$36),0)</f>
        <v>0</v>
      </c>
      <c r="AZ29" s="863">
        <f>IF(INDEX(HwyTransitModelGroup,A18,1)=PARAMETERS!$J$11,0.00000110231131*((C29-D29)*PARAMETERS!$CR$36),0)</f>
        <v>0</v>
      </c>
      <c r="BA29" s="861">
        <f>IF(INDEX(HwyTransitModelGroup,A18,1)=PARAMETERS!$J$11,0.00000110231131*((C29-D29)*PARAMETERS!$CS$36),0)</f>
        <v>0</v>
      </c>
      <c r="BB29" s="863">
        <f>IF(INDEX(HwyTransitModelGroup,A18,1)=PARAMETERS!$J$11,0.00000110231131*((C29-D29)*PARAMETERS!$CT$36),0)</f>
        <v>0</v>
      </c>
      <c r="BC29" s="861">
        <f>IF(INDEX(HwyTransitModelGroup,A18,1)=PARAMETERS!$J$11,0.00000110231131*((C29-D29)*PARAMETERS!$CU$36),0)</f>
        <v>0</v>
      </c>
      <c r="BD29" s="863">
        <f>IF(INDEX(HwyTransitModelGroup,A18,1)=PARAMETERS!$J$11,0.00000110231131*((C29-D29)*PARAMETERS!$CV$36),0)</f>
        <v>0</v>
      </c>
      <c r="BE29" s="865">
        <f>IF(INDEX(HwyTransitModelGroup,A18,1)=PARAMETERS!$J$11,0.00000110231131*((C29-D29)*PARAMETERS!$CW$36),0)</f>
        <v>0</v>
      </c>
      <c r="BF29" s="729">
        <f t="shared" si="6"/>
        <v>0.8814019027550396</v>
      </c>
      <c r="BG29" s="867">
        <f t="shared" si="7"/>
        <v>322.65701606154352</v>
      </c>
      <c r="BH29" s="867">
        <f t="shared" si="8"/>
        <v>62.002103473707706</v>
      </c>
      <c r="BI29" s="867">
        <f t="shared" si="9"/>
        <v>5.4159175906646944</v>
      </c>
      <c r="BJ29" s="867">
        <f t="shared" si="10"/>
        <v>3.3733694758374879</v>
      </c>
      <c r="BK29" s="869">
        <f t="shared" si="11"/>
        <v>0.293187506501911</v>
      </c>
      <c r="BL29" s="392"/>
      <c r="BN29" s="375">
        <f t="shared" si="3"/>
        <v>2031</v>
      </c>
      <c r="BO29" s="376">
        <f t="shared" ca="1" si="1"/>
        <v>-99.381843093469271</v>
      </c>
      <c r="BP29" s="376">
        <f t="shared" ca="1" si="1"/>
        <v>-626.32435318761475</v>
      </c>
      <c r="BQ29" s="376">
        <f t="shared" ca="1" si="1"/>
        <v>911.63822875580752</v>
      </c>
      <c r="BR29" s="376">
        <f t="shared" ca="1" si="1"/>
        <v>-1291.5393490740887</v>
      </c>
      <c r="BS29" s="376">
        <f t="shared" ca="1" si="1"/>
        <v>50767.319324787393</v>
      </c>
      <c r="BT29" s="376">
        <f t="shared" ca="1" si="1"/>
        <v>68001.584939804641</v>
      </c>
      <c r="BV29" s="370">
        <f ca="1">IF(Emissions&lt;&gt;"N",SUM($BO29:BU29),0)</f>
        <v>117663.29694799267</v>
      </c>
      <c r="BW29" s="377"/>
      <c r="BX29" s="370">
        <f t="shared" ca="1" si="2"/>
        <v>167471.56043453485</v>
      </c>
      <c r="BZ29" s="401">
        <f ca="1">SUM($BO63:BU63)</f>
        <v>3.0660035360410909</v>
      </c>
      <c r="CA29" s="863">
        <f ca="1">SUM($BO97:BU97)</f>
        <v>2397.5312478972146</v>
      </c>
      <c r="CB29" s="861">
        <f ca="1">SUM($BO131:BU131)</f>
        <v>1.6387185366272079</v>
      </c>
      <c r="CC29" s="863">
        <f ca="1">SUM($BO165:BU165)</f>
        <v>2.9900738858606491E-2</v>
      </c>
      <c r="CD29" s="861">
        <f ca="1">SUM($BO199:BU199)</f>
        <v>2.3085720172538834E-2</v>
      </c>
      <c r="CE29" s="863">
        <f ca="1">SUM($BO233:BU233)</f>
        <v>8.748758407074092E-2</v>
      </c>
      <c r="CF29" s="861">
        <f ca="1">SUM($BO267:BU267)</f>
        <v>2.8528847672522027E-2</v>
      </c>
      <c r="CG29" s="399">
        <f ca="1">SUM($BO301:BU301)</f>
        <v>172.3306732528209</v>
      </c>
      <c r="CH29" s="706">
        <f ca="1">SUM($BO335:BU335)</f>
        <v>96628.893342280295</v>
      </c>
      <c r="CI29" s="706">
        <f ca="1">SUM($BO369:BU369)</f>
        <v>17385.262798439566</v>
      </c>
      <c r="CJ29" s="706">
        <f ca="1">SUM($BO403:BU403)</f>
        <v>2451.6175544576008</v>
      </c>
      <c r="CK29" s="706">
        <f ca="1">SUM($BO437:BU437)</f>
        <v>956.9635256961144</v>
      </c>
      <c r="CL29" s="400">
        <f ca="1">SUM($BO471:BU471)</f>
        <v>68.229053866493814</v>
      </c>
    </row>
    <row r="30" spans="1:90" x14ac:dyDescent="0.25">
      <c r="B30" s="375">
        <f t="shared" si="12"/>
        <v>2029</v>
      </c>
      <c r="C30" s="401">
        <f>MAX(TREND(C24:C25,B24:B25,B30),0)</f>
        <v>780552.5</v>
      </c>
      <c r="D30" s="402">
        <f>MAX(TREND(D24:D25,B24:B25,B30),0)</f>
        <v>771774.25</v>
      </c>
      <c r="E30" s="401">
        <f>MAX(TREND(E24:E25,B24:B25,B30),0)</f>
        <v>18286.5</v>
      </c>
      <c r="F30" s="402">
        <f>MAX(TREND(F24:F25,B24:B25,B30),0)</f>
        <v>18304.75</v>
      </c>
      <c r="G30" s="401">
        <f>MAX(TREND(G24:G25,B24:B25,B30),0)</f>
        <v>0</v>
      </c>
      <c r="H30" s="402">
        <f>MAX(TREND(H24:H25,B24:B25,B30),0)</f>
        <v>0</v>
      </c>
      <c r="I30" s="401">
        <f>MAX(TREND(I24:I25,B24:B25,B30),0)</f>
        <v>0</v>
      </c>
      <c r="J30" s="402">
        <f>MAX(TREND(J24:J25,B24:B25,B30),0)</f>
        <v>0</v>
      </c>
      <c r="K30" s="435">
        <f>IFERROR(IF(INDEX(HwyTransitModelGroup,A18,1)=Hwy,MAX(5,ROUND(C30/E30,1)),MAX(5,ROUND(G30/I30,1))),55)</f>
        <v>42.7</v>
      </c>
      <c r="L30" s="436">
        <f>IFERROR(IF(INDEX(HwyTransitModelGroup,A18,1)=Hwy,MAX(5,ROUND(D30/F30,1)),MAX(5,ROUND(H30/J30,1))),55)</f>
        <v>42.2</v>
      </c>
      <c r="M30" s="405">
        <f>MIN(MAX(TREND(M24:M25,B24:B25,B30),0),1)</f>
        <v>0.24</v>
      </c>
      <c r="N30" s="406">
        <f>MIN(MAX(TREND(N24:N25,B24:B25,B30),0),1)</f>
        <v>0.24</v>
      </c>
      <c r="O30" s="401">
        <f>MAX(TREND(O24:O25,B24:B25,B30),0)</f>
        <v>0</v>
      </c>
      <c r="P30" s="402">
        <f>MAX(TREND(P24:P25,B24:B25,B30),0)</f>
        <v>0</v>
      </c>
      <c r="Q30" s="729">
        <f>IF(INDEX(HwyTransitModelGroup,A18,1)=Hwy,C30*(1-M30)*0.00000110231131*(VLOOKUP(K30,EmAuto1,2)*VLOOKUP(ProjLoc,EmCost,2)+VLOOKUP(K30,EmAuto1,3)*VLOOKUP(ProjLoc,EmCost,3)*(1+CO2Uprater)^($B30-YearCurrent)+VLOOKUP(K30,EmAuto1,4)*VLOOKUP(ProjLoc,EmCost,4)+VLOOKUP(K30,EmAuto1,5)*VLOOKUP(ProjLoc,EmCost,5)+VLOOKUP(K30,EmAuto1,6)*VLOOKUP(ProjLoc,EmCost,6)+VLOOKUP(K30,EmAuto1,7)*VLOOKUP(ProjLoc,EmCost,7))+C30*M30*0.00000110231131*(VLOOKUP(K30,EmTruck1,2)*VLOOKUP(ProjLoc,EmCost,2)+VLOOKUP(K30,EmTruck1,3)*VLOOKUP(ProjLoc,EmCost,3)*(1+CO2Uprater)^($B30-YearCurrent)+VLOOKUP(K30,EmTruck1,4)*VLOOKUP(ProjLoc,EmCost,4)+VLOOKUP(K30,EmTruck1,5)*VLOOKUP(ProjLoc,EmCost,5)+VLOOKUP(K30,EmTruck1,6)*VLOOKUP(ProjLoc,EmCost,6)+VLOOKUP(K30,EmTruck1,7)*VLOOKUP(ProjLoc,EmCost,7)),0)</f>
        <v>26025.558495939113</v>
      </c>
      <c r="R30" s="802">
        <f>IF(INDEX(HwyTransitModelGroup,A18,1)=Hwy,D30*(1-N30)*0.00000110231131*(VLOOKUP(L30,EmAuto1,2)*VLOOKUP(ProjLoc,EmCost,2)+VLOOKUP(L30,EmAuto1,3)*VLOOKUP(ProjLoc,EmCost,3)*(1+CO2Uprater)^($B30-YearCurrent)+VLOOKUP(L30,EmAuto1,4)*VLOOKUP(ProjLoc,EmCost,4)+VLOOKUP(L30,EmAuto1,5)*VLOOKUP(ProjLoc,EmCost,5)+VLOOKUP(L30,EmAuto1,6)*VLOOKUP(ProjLoc,EmCost,6)+VLOOKUP(L30,EmAuto1,7)*VLOOKUP(ProjLoc,EmCost,7))+D30*N30*0.00000110231131*(VLOOKUP(L30,EmTruck1,2)*VLOOKUP(ProjLoc,EmCost,2)+VLOOKUP(L30,EmTruck1,3)*VLOOKUP(ProjLoc,EmCost,3)*(1+CO2Uprater)^($B30-YearCurrent)+VLOOKUP(L30,EmTruck1,4)*VLOOKUP(ProjLoc,EmCost,4)+VLOOKUP(L30,EmTruck1,5)*VLOOKUP(ProjLoc,EmCost,5)+VLOOKUP(L30,EmTruck1,6)*VLOOKUP(ProjLoc,EmCost,6)+VLOOKUP(L30,EmTruck1,7)*VLOOKUP(ProjLoc,EmCost,7)),0)</f>
        <v>25732.869844161076</v>
      </c>
      <c r="S30" s="729">
        <f>IF(INDEX(HwyTransitModelGroup,A18,1)=Hwy,O30*(1-M30)*0.00000110231131*(VLOOKUP(0,EmAuto1,2)*VLOOKUP(ProjLoc,EmCost,2)+VLOOKUP(0,EmAuto1,3)*VLOOKUP(ProjLoc,EmCost,3)*(1+CO2Uprater)^($B30-YearCurrent)+VLOOKUP(0,EmAuto1,4)*VLOOKUP(ProjLoc,EmCost,4)+VLOOKUP(0,EmAuto1,5)*VLOOKUP(ProjLoc,EmCost,5)+VLOOKUP(0,EmAuto1,6)*VLOOKUP(ProjLoc,EmCost,6)+VLOOKUP(0,EmAuto1,7)*VLOOKUP(ProjLoc,EmCost,7))+O30*M30*0.00000110231131*(VLOOKUP(0,EmTruck1,2)*VLOOKUP(ProjLoc,EmCost,2)+VLOOKUP(0,EmTruck1,3)*VLOOKUP(ProjLoc,EmCost,3)*(1+CO2Uprater)^($B30-YearCurrent)+VLOOKUP(0,EmTruck1,4)*VLOOKUP(ProjLoc,EmCost,4)+VLOOKUP(0,EmTruck1,5)*VLOOKUP(ProjLoc,EmCost,5)+VLOOKUP(0,EmTruck1,6)*VLOOKUP(ProjLoc,EmCost,6)+VLOOKUP(0,EmTruck1,7)*VLOOKUP(ProjLoc,EmCost,7)),0)</f>
        <v>0</v>
      </c>
      <c r="T30" s="802">
        <f>IF(INDEX(HwyTransitModelGroup,A18,1)=Hwy,P30*(1-N30)*0.00000110231131*(VLOOKUP(0,EmAuto1,2)*VLOOKUP(ProjLoc,EmCost,2)+VLOOKUP(0,EmAuto1,3)*VLOOKUP(ProjLoc,EmCost,3)*(1+CO2Uprater)^($B30-YearCurrent)+VLOOKUP(0,EmAuto1,4)*VLOOKUP(ProjLoc,EmCost,4)+VLOOKUP(0,EmAuto1,5)*VLOOKUP(ProjLoc,EmCost,5)+VLOOKUP(0,EmAuto1,6)*VLOOKUP(ProjLoc,EmCost,6)+VLOOKUP(0,EmAuto1,7)*VLOOKUP(ProjLoc,EmCost,7))+P30*N30*0.00000110231131*(VLOOKUP(0,EmTruck1,2)*VLOOKUP(ProjLoc,EmCost,2)+VLOOKUP(0,EmTruck1,3)*VLOOKUP(ProjLoc,EmCost,3)*(1+CO2Uprater)^($B30-YearCurrent)+VLOOKUP(0,EmTruck1,4)*VLOOKUP(ProjLoc,EmCost,4)+VLOOKUP(0,EmTruck1,5)*VLOOKUP(ProjLoc,EmCost,5)+VLOOKUP(0,EmTruck1,6)*VLOOKUP(ProjLoc,EmCost,6)+VLOOKUP(0,EmTruck1,7)*VLOOKUP(ProjLoc,EmCost,7)),0)</f>
        <v>0</v>
      </c>
      <c r="U30" s="729">
        <f>IF(INDEX(HwyTransitModelGroup,A18,1)=PARAMETERS!$J$9,C30*0.00000110231131*(VLOOKUP(K30,EmBus1,2)*VLOOKUP(ProjLoc,EmCost,2)+VLOOKUP(K30,EmBus1,3)*VLOOKUP(ProjLoc,EmCost,3)*(1+CO2Uprater)^($B30-YearCurrent)+VLOOKUP(K30,EmBus1,4)*VLOOKUP(ProjLoc,EmCost,4)+VLOOKUP(K30,EmBus1,5)*VLOOKUP(ProjLoc,EmCost,5)+VLOOKUP(K30,EmBus1,6)*VLOOKUP(ProjLoc,EmCost,6)+VLOOKUP(K30,EmBus1,7)*VLOOKUP(ProjLoc,EmCost,7)),0)</f>
        <v>0</v>
      </c>
      <c r="V30" s="802">
        <f>IF(INDEX(HwyTransitModelGroup,A18,1)=PARAMETERS!$J$9,D30*0.00000110231131*(VLOOKUP(L30,EmBus1,2)*VLOOKUP(ProjLoc,EmCost,2)+VLOOKUP(L30,EmBus1,3)*VLOOKUP(ProjLoc,EmCost,3)*(1+CO2Uprater)^($B30-YearCurrent)+VLOOKUP(L30,EmBus1,4)*VLOOKUP(ProjLoc,EmCost,4)+VLOOKUP(L30,EmBus1,5)*VLOOKUP(ProjLoc,EmCost,5)+VLOOKUP(L30,EmBus1,6)*VLOOKUP(ProjLoc,EmCost,6)+VLOOKUP(L30,EmBus1,7)*VLOOKUP(ProjLoc,EmCost,7)),0)</f>
        <v>0</v>
      </c>
      <c r="W30" s="808">
        <f>IF(INDEX(HwyTransitModelGroup,A18,1)=PARAMETERS!$J$10,C30*0.00000110231131*(PARAMETERS!$CQ$28*VLOOKUP(ProjLoc,EmCost,2)+PARAMETERS!$CR$28*VLOOKUP(ProjLoc,EmCost,3)*(1+CO2Uprater)^($B30-YearCurrent)+PARAMETERS!$CS$28*VLOOKUP(ProjLoc,EmCost,4)+PARAMETERS!$CT$28*VLOOKUP(ProjLoc,EmCost,5)+PARAMETERS!$CU$28*VLOOKUP(ProjLoc,EmCost,6)+PARAMETERS!$CV$28*VLOOKUP(ProjLoc,EmCost,7)),0)</f>
        <v>0</v>
      </c>
      <c r="X30" s="844">
        <f>IF(INDEX(HwyTransitModelGroup,A18,1)=PARAMETERS!$J$10,D30*0.00000110231131*(PARAMETERS!$CQ$28*VLOOKUP(ProjLoc,EmCost,2)+PARAMETERS!$CR$28*VLOOKUP(ProjLoc,EmCost,3)*(1+CO2Uprater)^($B30-YearCurrent)+PARAMETERS!$CS$28*VLOOKUP(ProjLoc,EmCost,4)+PARAMETERS!$CT$28*VLOOKUP(ProjLoc,EmCost,5)+PARAMETERS!$CU$28*VLOOKUP(ProjLoc,EmCost,6)+PARAMETERS!$CV$28*VLOOKUP(ProjLoc,EmCost,7)),0)</f>
        <v>0</v>
      </c>
      <c r="Y30" s="808">
        <f>IF(INDEX(HwyTransitModelGroup,A18,1)=PARAMETERS!$J$11,C30*0.00000110231131*(PARAMETERS!$CQ$36*VLOOKUP(ProjLoc,EmCost,2)+PARAMETERS!$CR$36*VLOOKUP(ProjLoc,EmCost,3)*(1+CO2Uprater)^($B30-YearCurrent)+PARAMETERS!$CS$36*VLOOKUP(ProjLoc,EmCost,4)+PARAMETERS!$CT$36*VLOOKUP(ProjLoc,EmCost,5)+PARAMETERS!$CU$36*VLOOKUP(ProjLoc,EmCost,6)+PARAMETERS!$CV$36*VLOOKUP(ProjLoc,EmCost,7)),0)</f>
        <v>0</v>
      </c>
      <c r="Z30" s="844">
        <f>IF(INDEX(HwyTransitModelGroup,A18,1)=PARAMETERS!$J$11,D30*0.00000110231131*(PARAMETERS!$CQ$36*VLOOKUP(ProjLoc,EmCost,2)+PARAMETERS!$CR$36*VLOOKUP(ProjLoc,EmCost,3)*(1+CO2Uprater)^($B30-YearCurrent)+PARAMETERS!$CS$36*VLOOKUP(ProjLoc,EmCost,4)+PARAMETERS!$CT$36*VLOOKUP(ProjLoc,EmCost,5)+PARAMETERS!$CU$36*VLOOKUP(ProjLoc,EmCost,6)+PARAMETERS!$CV$36*VLOOKUP(ProjLoc,EmCost,7)),0)</f>
        <v>0</v>
      </c>
      <c r="AA30" s="369">
        <f t="shared" si="4"/>
        <v>292.68865177803673</v>
      </c>
      <c r="AB30" s="370">
        <f t="shared" si="5"/>
        <v>222.41932020822586</v>
      </c>
      <c r="AC30" s="371"/>
      <c r="AD30" s="401">
        <f>IF(INDEX(HwyTransitModelGroup,A18,1)=Hwy,0.00000110231131*(C30*(1-M30)*VLOOKUP(K30,EmAuto1,2)-D30*(1-N30)*VLOOKUP(L30,EmAuto1,2)+(O30*(1-M30)-P30*(1-N30))*VLOOKUP(0,EmAuto1,2))+0.00000110231131*(C30*M30*VLOOKUP(K30,EmTruck1,2)-D30*N30*VLOOKUP(L30,EmTruck1,2)+(O30*M30-P30*N30)*VLOOKUP(0,EmTruck1,2)),0)</f>
        <v>8.040129766604464E-3</v>
      </c>
      <c r="AE30" s="863">
        <f>IF(INDEX(HwyTransitModelGroup,A18,1)=Hwy,0.00000110231131*(C30*(1-M30)*VLOOKUP(K30,EmAuto1,3)-D30*(1-N30)*VLOOKUP(L30,EmAuto1,3)+(O30*(1-M30)-P30*(1-N30))*VLOOKUP(0,EmAuto1,3))+0.00000110231131*(C30*M30*VLOOKUP(K30,EmTruck1,3)-D30*N30*VLOOKUP(L30,EmTruck1,3)+(O30*M30-P30*N30)*VLOOKUP(0,EmTruck1,3)),0)</f>
        <v>4.3559000578318656</v>
      </c>
      <c r="AF30" s="861">
        <f>IF(INDEX(HwyTransitModelGroup,A18,1)=Hwy,0.00000110231131*(C30*(1-M30)*VLOOKUP(K30,EmAuto1,4)-D30*(1-N30)*VLOOKUP(L30,EmAuto1,4)+(O30*(1-M30)-P30*(1-N30))*VLOOKUP(0,EmAuto1,4))+0.00000110231131*(C30*M30*VLOOKUP(K30,EmTruck1,4)-D30*N30*VLOOKUP(L30,EmTruck1,4)+(O30*M30-P30*N30)*VLOOKUP(0,EmTruck1,4)),0)</f>
        <v>2.996460366738988E-3</v>
      </c>
      <c r="AG30" s="863">
        <f>IF(INDEX(HwyTransitModelGroup,A18,1)=Hwy,0.00000110231131*(C30*(1-M30)*VLOOKUP(K30,EmAuto1,5)-D30*(1-N30)*VLOOKUP(L30,EmAuto1,5)+(O30*(1-M30)-P30*(1-N30))*VLOOKUP(0,EmAuto1,5))+0.00000110231131*(C30*M30*VLOOKUP(K30,EmTruck1,5)-D30*N30*VLOOKUP(L30,EmTruck1,5)+(O30*M30-P30*N30)*VLOOKUP(0,EmTruck1,5)),0)</f>
        <v>3.3867274899526021E-5</v>
      </c>
      <c r="AH30" s="861">
        <f>IF(INDEX(HwyTransitModelGroup,A18,1)=Hwy,0.00000110231131*(C30*(1-M30)*VLOOKUP(K30,EmAuto1,6)-D30*(1-N30)*VLOOKUP(L30,EmAuto1,6)+(O30*(1-M30)-P30*(1-N30))*VLOOKUP(0,EmAuto1,6))+0.00000110231131*(C30*M30*VLOOKUP(K30,EmTruck1,6)-D30*N30*VLOOKUP(L30,EmTruck1,6)+(O30*M30-P30*N30)*VLOOKUP(0,EmTruck1,6)),0)</f>
        <v>4.1724482676216205E-5</v>
      </c>
      <c r="AI30" s="863">
        <f>IF(INDEX(HwyTransitModelGroup,A18,1)=Hwy,0.00000110231131*(C30*(1-M30)*VLOOKUP(K30,EmAuto1,7)-D30*(1-N30)*VLOOKUP(L30,EmAuto1,7)+(O30*(1-M30)-P30*(1-N30))*VLOOKUP(0,EmAuto1,7))+0.00000110231131*(C30*M30*VLOOKUP(K30,EmTruck1,7)-D30*N30*VLOOKUP(L30,EmTruck1,7)+(O30*M30-P30*N30)*VLOOKUP(0,EmTruck1,7)),0)</f>
        <v>1.9275317599958892E-4</v>
      </c>
      <c r="AJ30" s="861">
        <f>IF(INDEX(HwyTransitModelGroup,A18,1)=Hwy,0.00000110231131*(C30*(1-M30)*VLOOKUP(K30,EmAuto1,8)-D30*(1-N30)*VLOOKUP(L30,EmAuto1,8)+(O30*(1-M30)-P30*(1-N30))*VLOOKUP(0,EmAuto1,8))+0.00000110231131*(C30*M30*VLOOKUP(K30,EmTruck1,8)-D30*N30*VLOOKUP(L30,EmTruck1,8)+(O30*M30-P30*N30)*VLOOKUP(0,EmTruck1,8)),0)</f>
        <v>3.1970707505152765E-5</v>
      </c>
      <c r="AK30" s="401">
        <f>IF(INDEX(HwyTransitModelGroup,A18,1)=PARAMETERS!$J$9,0.00000110231131*(C30*VLOOKUP(K30,EmBus1,2)-D30*VLOOKUP(L30,EmBus1,2)+(O30-P30)*VLOOKUP(0,EmBus1,2)),0)</f>
        <v>0</v>
      </c>
      <c r="AL30" s="863">
        <f>IF(INDEX(HwyTransitModelGroup,A18,1)=PARAMETERS!$J$9,0.00000110231131*(C30*VLOOKUP(K30,EmBus1,3)-D30*VLOOKUP(L30,EmBus1,3)+(O30-P30)*VLOOKUP(0,EmBus1,3)),0)</f>
        <v>0</v>
      </c>
      <c r="AM30" s="861">
        <f>IF(INDEX(HwyTransitModelGroup,A18,1)=PARAMETERS!$J$9,0.00000110231131*(C30*VLOOKUP(K30,EmBus1,4)-D30*VLOOKUP(L30,EmBus1,4)+(O30-P30)*VLOOKUP(0,EmBus1,4)),0)</f>
        <v>0</v>
      </c>
      <c r="AN30" s="863">
        <f>IF(INDEX(HwyTransitModelGroup,A18,1)=PARAMETERS!$J$9,0.00000110231131*(C30*VLOOKUP(K30,EmBus1,5)-D30*VLOOKUP(L30,EmBus1,5)+(O30-P30)*VLOOKUP(0,EmBus1,5)),0)</f>
        <v>0</v>
      </c>
      <c r="AO30" s="861">
        <f>IF(INDEX(HwyTransitModelGroup,A18,1)=PARAMETERS!$J$9,0.00000110231131*(C30*VLOOKUP(K30,EmBus1,6)-D30*VLOOKUP(L30,EmBus1,6)+(O30-P30)*VLOOKUP(0,EmBus1,6)),0)</f>
        <v>0</v>
      </c>
      <c r="AP30" s="863">
        <f>IF(INDEX(HwyTransitModelGroup,A18,1)=PARAMETERS!$J$9,0.00000110231131*(C30*VLOOKUP(K30,EmBus1,7)-D30*VLOOKUP(L30,EmBus1,7)+(O30-P30)*VLOOKUP(0,EmBus1,7)),0)</f>
        <v>0</v>
      </c>
      <c r="AQ30" s="861">
        <f>IF(INDEX(HwyTransitModelGroup,A18,1)=PARAMETERS!$J$9,0.00000110231131*(C30*VLOOKUP(K30,EmBus1,8)-D30*VLOOKUP(L30,EmBus1,8)+(O30-P30)*VLOOKUP(0,EmBus1,8)),0)</f>
        <v>0</v>
      </c>
      <c r="AR30" s="401">
        <f>IF(INDEX(HwyTransitModelGroup,A18,1)=PARAMETERS!$J$10,0.00000110231131*((C30-D30)*PARAMETERS!$CQ$28),0)</f>
        <v>0</v>
      </c>
      <c r="AS30" s="863">
        <f>IF(INDEX(HwyTransitModelGroup,A18,1)=PARAMETERS!$J$10,0.00000110231131*((C30-D30)*PARAMETERS!$CR$28),0)</f>
        <v>0</v>
      </c>
      <c r="AT30" s="861">
        <f>IF(INDEX(HwyTransitModelGroup,A18,1)=PARAMETERS!$J$10,0.00000110231131*((C30-D30)*PARAMETERS!$CS$28),0)</f>
        <v>0</v>
      </c>
      <c r="AU30" s="863">
        <f>IF(INDEX(HwyTransitModelGroup,A18,1)=PARAMETERS!$J$10,0.00000110231131*((C30-D30)*PARAMETERS!$CT$28),0)</f>
        <v>0</v>
      </c>
      <c r="AV30" s="861">
        <f>IF(INDEX(HwyTransitModelGroup,A18,1)=PARAMETERS!$J$10,0.00000110231131*((C30-D30)*PARAMETERS!$CU$28),0)</f>
        <v>0</v>
      </c>
      <c r="AW30" s="863">
        <f>IF(INDEX(HwyTransitModelGroup,A18,1)=PARAMETERS!$J$10,0.00000110231131*((C30-D30)*PARAMETERS!$CV$28),0)</f>
        <v>0</v>
      </c>
      <c r="AX30" s="861">
        <f>IF(INDEX(HwyTransitModelGroup,A18,1)=PARAMETERS!$J$10,0.00000110231131*((C30-D30)*PARAMETERS!$CW$28),0)</f>
        <v>0</v>
      </c>
      <c r="AY30" s="401">
        <f>IF(INDEX(HwyTransitModelGroup,A18,1)=PARAMETERS!$J$11,0.00000110231131*((C30-D30)*PARAMETERS!$CQ$36),0)</f>
        <v>0</v>
      </c>
      <c r="AZ30" s="863">
        <f>IF(INDEX(HwyTransitModelGroup,A18,1)=PARAMETERS!$J$11,0.00000110231131*((C30-D30)*PARAMETERS!$CR$36),0)</f>
        <v>0</v>
      </c>
      <c r="BA30" s="861">
        <f>IF(INDEX(HwyTransitModelGroup,A18,1)=PARAMETERS!$J$11,0.00000110231131*((C30-D30)*PARAMETERS!$CS$36),0)</f>
        <v>0</v>
      </c>
      <c r="BB30" s="863">
        <f>IF(INDEX(HwyTransitModelGroup,A18,1)=PARAMETERS!$J$11,0.00000110231131*((C30-D30)*PARAMETERS!$CT$36),0)</f>
        <v>0</v>
      </c>
      <c r="BC30" s="861">
        <f>IF(INDEX(HwyTransitModelGroup,A18,1)=PARAMETERS!$J$11,0.00000110231131*((C30-D30)*PARAMETERS!$CU$36),0)</f>
        <v>0</v>
      </c>
      <c r="BD30" s="863">
        <f>IF(INDEX(HwyTransitModelGroup,A18,1)=PARAMETERS!$J$11,0.00000110231131*((C30-D30)*PARAMETERS!$CV$36),0)</f>
        <v>0</v>
      </c>
      <c r="BE30" s="865">
        <f>IF(INDEX(HwyTransitModelGroup,A18,1)=PARAMETERS!$J$11,0.00000110231131*((C30-D30)*PARAMETERS!$CW$36),0)</f>
        <v>0</v>
      </c>
      <c r="BF30" s="729">
        <f t="shared" si="6"/>
        <v>0.48878702640791039</v>
      </c>
      <c r="BG30" s="867">
        <f t="shared" si="7"/>
        <v>182.51012868948669</v>
      </c>
      <c r="BH30" s="867">
        <f t="shared" si="8"/>
        <v>34.383660499508061</v>
      </c>
      <c r="BI30" s="867">
        <f t="shared" si="9"/>
        <v>3.0034315176048016</v>
      </c>
      <c r="BJ30" s="867">
        <f t="shared" si="10"/>
        <v>1.8707234803055577</v>
      </c>
      <c r="BK30" s="869">
        <f t="shared" si="11"/>
        <v>0.16258899491262963</v>
      </c>
      <c r="BL30" s="392"/>
      <c r="BN30" s="375">
        <f t="shared" si="3"/>
        <v>2032</v>
      </c>
      <c r="BO30" s="376">
        <f t="shared" ca="1" si="1"/>
        <v>-249.53860034646991</v>
      </c>
      <c r="BP30" s="376">
        <f t="shared" ca="1" si="1"/>
        <v>-948.58691072518741</v>
      </c>
      <c r="BQ30" s="376">
        <f t="shared" ca="1" si="1"/>
        <v>903.94875573009676</v>
      </c>
      <c r="BR30" s="376">
        <f t="shared" ca="1" si="1"/>
        <v>-1273.0024694610852</v>
      </c>
      <c r="BS30" s="376">
        <f t="shared" ca="1" si="1"/>
        <v>51785.525762039091</v>
      </c>
      <c r="BT30" s="376">
        <f t="shared" ca="1" si="1"/>
        <v>68225.725957023868</v>
      </c>
      <c r="BV30" s="370">
        <f ca="1">IF(Emissions&lt;&gt;"N",SUM($BO30:BU30),0)</f>
        <v>118444.07249426031</v>
      </c>
      <c r="BW30" s="377"/>
      <c r="BX30" s="370">
        <f t="shared" ca="1" si="2"/>
        <v>175326.16139208293</v>
      </c>
      <c r="BZ30" s="401">
        <f ca="1">SUM($BO64:BU64)</f>
        <v>3.1616732074932559</v>
      </c>
      <c r="CA30" s="863">
        <f ca="1">SUM($BO98:BU98)</f>
        <v>2468.6516652617674</v>
      </c>
      <c r="CB30" s="861">
        <f ca="1">SUM($BO132:BU132)</f>
        <v>1.6902403221003675</v>
      </c>
      <c r="CC30" s="863">
        <f ca="1">SUM($BO166:BU166)</f>
        <v>3.0866017067833918E-2</v>
      </c>
      <c r="CD30" s="861">
        <f ca="1">SUM($BO200:BU200)</f>
        <v>2.3780780216726999E-2</v>
      </c>
      <c r="CE30" s="863">
        <f ca="1">SUM($BO234:BU234)</f>
        <v>9.0435507794366821E-2</v>
      </c>
      <c r="CF30" s="861">
        <f ca="1">SUM($BO268:BU268)</f>
        <v>2.9445523898031078E-2</v>
      </c>
      <c r="CG30" s="399">
        <f ca="1">SUM($BO302:BU302)</f>
        <v>170.87305060151826</v>
      </c>
      <c r="CH30" s="706">
        <f ca="1">SUM($BO336:BU336)</f>
        <v>97581.923811637156</v>
      </c>
      <c r="CI30" s="706">
        <f ca="1">SUM($BO370:BU370)</f>
        <v>17242.173554565328</v>
      </c>
      <c r="CJ30" s="706">
        <f ca="1">SUM($BO404:BU404)</f>
        <v>2433.4255018014951</v>
      </c>
      <c r="CK30" s="706">
        <f ca="1">SUM($BO438:BU438)</f>
        <v>947.861138247388</v>
      </c>
      <c r="CL30" s="400">
        <f ca="1">SUM($BO472:BU472)</f>
        <v>67.815437407538894</v>
      </c>
    </row>
    <row r="31" spans="1:90" x14ac:dyDescent="0.25">
      <c r="B31" s="375">
        <f t="shared" si="12"/>
        <v>2030</v>
      </c>
      <c r="C31" s="401">
        <f>MAX(TREND(C24:C25,B24:B25,B31),0)</f>
        <v>790225</v>
      </c>
      <c r="D31" s="402">
        <f>MAX(TREND(D24:D25,B24:B25,B31),0)</f>
        <v>787889</v>
      </c>
      <c r="E31" s="401">
        <f>MAX(TREND(E24:E25,B24:B25,B31),0)</f>
        <v>18542</v>
      </c>
      <c r="F31" s="402">
        <f>MAX(TREND(F24:F25,B24:B25,B31),0)</f>
        <v>18688</v>
      </c>
      <c r="G31" s="401">
        <f>MAX(TREND(G24:G25,B24:B25,B31),0)</f>
        <v>0</v>
      </c>
      <c r="H31" s="402">
        <f>MAX(TREND(H24:H25,B24:B25,B31),0)</f>
        <v>0</v>
      </c>
      <c r="I31" s="401">
        <f>MAX(TREND(I24:I25,B24:B25,B31),0)</f>
        <v>0</v>
      </c>
      <c r="J31" s="402">
        <f>MAX(TREND(J24:J25,B24:B25,B31),0)</f>
        <v>0</v>
      </c>
      <c r="K31" s="435">
        <f>IFERROR(IF(INDEX(HwyTransitModelGroup,A18,1)=Hwy,MAX(5,ROUND(C31/E31,1)),MAX(5,ROUND(G31/I31,1))),55)</f>
        <v>42.6</v>
      </c>
      <c r="L31" s="436">
        <f>IFERROR(IF(INDEX(HwyTransitModelGroup,A18,1)=Hwy,MAX(5,ROUND(D31/F31,1)),MAX(5,ROUND(H31/J31,1))),55)</f>
        <v>42.2</v>
      </c>
      <c r="M31" s="405">
        <f>MIN(MAX(TREND(M24:M25,B24:B25,B31),0),1)</f>
        <v>0.24</v>
      </c>
      <c r="N31" s="406">
        <f>MIN(MAX(TREND(N24:N25,B24:B25,B31),0),1)</f>
        <v>0.24</v>
      </c>
      <c r="O31" s="401">
        <f>MAX(TREND(O24:O25,B24:B25,B31),0)</f>
        <v>0</v>
      </c>
      <c r="P31" s="402">
        <f>MAX(TREND(P24:P25,B24:B25,B31),0)</f>
        <v>0</v>
      </c>
      <c r="Q31" s="729">
        <f>IF(INDEX(HwyTransitModelGroup,A18,1)=Hwy,C31*(1-M31)*0.00000110231131*(VLOOKUP(K31,EmAuto1,2)*VLOOKUP(ProjLoc,EmCost,2)+VLOOKUP(K31,EmAuto1,3)*VLOOKUP(ProjLoc,EmCost,3)*(1+CO2Uprater)^($B31-YearCurrent)+VLOOKUP(K31,EmAuto1,4)*VLOOKUP(ProjLoc,EmCost,4)+VLOOKUP(K31,EmAuto1,5)*VLOOKUP(ProjLoc,EmCost,5)+VLOOKUP(K31,EmAuto1,6)*VLOOKUP(ProjLoc,EmCost,6)+VLOOKUP(K31,EmAuto1,7)*VLOOKUP(ProjLoc,EmCost,7))+C31*M31*0.00000110231131*(VLOOKUP(K31,EmTruck1,2)*VLOOKUP(ProjLoc,EmCost,2)+VLOOKUP(K31,EmTruck1,3)*VLOOKUP(ProjLoc,EmCost,3)*(1+CO2Uprater)^($B31-YearCurrent)+VLOOKUP(K31,EmTruck1,4)*VLOOKUP(ProjLoc,EmCost,4)+VLOOKUP(K31,EmTruck1,5)*VLOOKUP(ProjLoc,EmCost,5)+VLOOKUP(K31,EmTruck1,6)*VLOOKUP(ProjLoc,EmCost,6)+VLOOKUP(K31,EmTruck1,7)*VLOOKUP(ProjLoc,EmCost,7)),0)</f>
        <v>26780.471107404897</v>
      </c>
      <c r="R31" s="802">
        <f>IF(INDEX(HwyTransitModelGroup,A18,1)=Hwy,D31*(1-N31)*0.00000110231131*(VLOOKUP(L31,EmAuto1,2)*VLOOKUP(ProjLoc,EmCost,2)+VLOOKUP(L31,EmAuto1,3)*VLOOKUP(ProjLoc,EmCost,3)*(1+CO2Uprater)^($B31-YearCurrent)+VLOOKUP(L31,EmAuto1,4)*VLOOKUP(ProjLoc,EmCost,4)+VLOOKUP(L31,EmAuto1,5)*VLOOKUP(ProjLoc,EmCost,5)+VLOOKUP(L31,EmAuto1,6)*VLOOKUP(ProjLoc,EmCost,6)+VLOOKUP(L31,EmAuto1,7)*VLOOKUP(ProjLoc,EmCost,7))+D31*N31*0.00000110231131*(VLOOKUP(L31,EmTruck1,2)*VLOOKUP(ProjLoc,EmCost,2)+VLOOKUP(L31,EmTruck1,3)*VLOOKUP(ProjLoc,EmCost,3)*(1+CO2Uprater)^($B31-YearCurrent)+VLOOKUP(L31,EmTruck1,4)*VLOOKUP(ProjLoc,EmCost,4)+VLOOKUP(L31,EmTruck1,5)*VLOOKUP(ProjLoc,EmCost,5)+VLOOKUP(L31,EmTruck1,6)*VLOOKUP(ProjLoc,EmCost,6)+VLOOKUP(L31,EmTruck1,7)*VLOOKUP(ProjLoc,EmCost,7)),0)</f>
        <v>26701.304818680928</v>
      </c>
      <c r="S31" s="729">
        <f>IF(INDEX(HwyTransitModelGroup,A18,1)=Hwy,O31*(1-M31)*0.00000110231131*(VLOOKUP(0,EmAuto1,2)*VLOOKUP(ProjLoc,EmCost,2)+VLOOKUP(0,EmAuto1,3)*VLOOKUP(ProjLoc,EmCost,3)*(1+CO2Uprater)^($B31-YearCurrent)+VLOOKUP(0,EmAuto1,4)*VLOOKUP(ProjLoc,EmCost,4)+VLOOKUP(0,EmAuto1,5)*VLOOKUP(ProjLoc,EmCost,5)+VLOOKUP(0,EmAuto1,6)*VLOOKUP(ProjLoc,EmCost,6)+VLOOKUP(0,EmAuto1,7)*VLOOKUP(ProjLoc,EmCost,7))+O31*M31*0.00000110231131*(VLOOKUP(0,EmTruck1,2)*VLOOKUP(ProjLoc,EmCost,2)+VLOOKUP(0,EmTruck1,3)*VLOOKUP(ProjLoc,EmCost,3)*(1+CO2Uprater)^($B31-YearCurrent)+VLOOKUP(0,EmTruck1,4)*VLOOKUP(ProjLoc,EmCost,4)+VLOOKUP(0,EmTruck1,5)*VLOOKUP(ProjLoc,EmCost,5)+VLOOKUP(0,EmTruck1,6)*VLOOKUP(ProjLoc,EmCost,6)+VLOOKUP(0,EmTruck1,7)*VLOOKUP(ProjLoc,EmCost,7)),0)</f>
        <v>0</v>
      </c>
      <c r="T31" s="802">
        <f>IF(INDEX(HwyTransitModelGroup,A18,1)=Hwy,P31*(1-N31)*0.00000110231131*(VLOOKUP(0,EmAuto1,2)*VLOOKUP(ProjLoc,EmCost,2)+VLOOKUP(0,EmAuto1,3)*VLOOKUP(ProjLoc,EmCost,3)*(1+CO2Uprater)^($B31-YearCurrent)+VLOOKUP(0,EmAuto1,4)*VLOOKUP(ProjLoc,EmCost,4)+VLOOKUP(0,EmAuto1,5)*VLOOKUP(ProjLoc,EmCost,5)+VLOOKUP(0,EmAuto1,6)*VLOOKUP(ProjLoc,EmCost,6)+VLOOKUP(0,EmAuto1,7)*VLOOKUP(ProjLoc,EmCost,7))+P31*N31*0.00000110231131*(VLOOKUP(0,EmTruck1,2)*VLOOKUP(ProjLoc,EmCost,2)+VLOOKUP(0,EmTruck1,3)*VLOOKUP(ProjLoc,EmCost,3)*(1+CO2Uprater)^($B31-YearCurrent)+VLOOKUP(0,EmTruck1,4)*VLOOKUP(ProjLoc,EmCost,4)+VLOOKUP(0,EmTruck1,5)*VLOOKUP(ProjLoc,EmCost,5)+VLOOKUP(0,EmTruck1,6)*VLOOKUP(ProjLoc,EmCost,6)+VLOOKUP(0,EmTruck1,7)*VLOOKUP(ProjLoc,EmCost,7)),0)</f>
        <v>0</v>
      </c>
      <c r="U31" s="729">
        <f>IF(INDEX(HwyTransitModelGroup,A18,1)=PARAMETERS!$J$9,C31*0.00000110231131*(VLOOKUP(K31,EmBus1,2)*VLOOKUP(ProjLoc,EmCost,2)+VLOOKUP(K31,EmBus1,3)*VLOOKUP(ProjLoc,EmCost,3)*(1+CO2Uprater)^($B31-YearCurrent)+VLOOKUP(K31,EmBus1,4)*VLOOKUP(ProjLoc,EmCost,4)+VLOOKUP(K31,EmBus1,5)*VLOOKUP(ProjLoc,EmCost,5)+VLOOKUP(K31,EmBus1,6)*VLOOKUP(ProjLoc,EmCost,6)+VLOOKUP(K31,EmBus1,7)*VLOOKUP(ProjLoc,EmCost,7)),0)</f>
        <v>0</v>
      </c>
      <c r="V31" s="802">
        <f>IF(INDEX(HwyTransitModelGroup,A18,1)=PARAMETERS!$J$9,D31*0.00000110231131*(VLOOKUP(L31,EmBus1,2)*VLOOKUP(ProjLoc,EmCost,2)+VLOOKUP(L31,EmBus1,3)*VLOOKUP(ProjLoc,EmCost,3)*(1+CO2Uprater)^($B31-YearCurrent)+VLOOKUP(L31,EmBus1,4)*VLOOKUP(ProjLoc,EmCost,4)+VLOOKUP(L31,EmBus1,5)*VLOOKUP(ProjLoc,EmCost,5)+VLOOKUP(L31,EmBus1,6)*VLOOKUP(ProjLoc,EmCost,6)+VLOOKUP(L31,EmBus1,7)*VLOOKUP(ProjLoc,EmCost,7)),0)</f>
        <v>0</v>
      </c>
      <c r="W31" s="808">
        <f>IF(INDEX(HwyTransitModelGroup,A18,1)=PARAMETERS!$J$10,C31*0.00000110231131*(PARAMETERS!$CQ$28*VLOOKUP(ProjLoc,EmCost,2)+PARAMETERS!$CR$28*VLOOKUP(ProjLoc,EmCost,3)*(1+CO2Uprater)^($B31-YearCurrent)+PARAMETERS!$CS$28*VLOOKUP(ProjLoc,EmCost,4)+PARAMETERS!$CT$28*VLOOKUP(ProjLoc,EmCost,5)+PARAMETERS!$CU$28*VLOOKUP(ProjLoc,EmCost,6)+PARAMETERS!$CV$28*VLOOKUP(ProjLoc,EmCost,7)),0)</f>
        <v>0</v>
      </c>
      <c r="X31" s="844">
        <f>IF(INDEX(HwyTransitModelGroup,A18,1)=PARAMETERS!$J$10,D31*0.00000110231131*(PARAMETERS!$CQ$28*VLOOKUP(ProjLoc,EmCost,2)+PARAMETERS!$CR$28*VLOOKUP(ProjLoc,EmCost,3)*(1+CO2Uprater)^($B31-YearCurrent)+PARAMETERS!$CS$28*VLOOKUP(ProjLoc,EmCost,4)+PARAMETERS!$CT$28*VLOOKUP(ProjLoc,EmCost,5)+PARAMETERS!$CU$28*VLOOKUP(ProjLoc,EmCost,6)+PARAMETERS!$CV$28*VLOOKUP(ProjLoc,EmCost,7)),0)</f>
        <v>0</v>
      </c>
      <c r="Y31" s="808">
        <f>IF(INDEX(HwyTransitModelGroup,A18,1)=PARAMETERS!$J$11,C31*0.00000110231131*(PARAMETERS!$CQ$36*VLOOKUP(ProjLoc,EmCost,2)+PARAMETERS!$CR$36*VLOOKUP(ProjLoc,EmCost,3)*(1+CO2Uprater)^($B31-YearCurrent)+PARAMETERS!$CS$36*VLOOKUP(ProjLoc,EmCost,4)+PARAMETERS!$CT$36*VLOOKUP(ProjLoc,EmCost,5)+PARAMETERS!$CU$36*VLOOKUP(ProjLoc,EmCost,6)+PARAMETERS!$CV$36*VLOOKUP(ProjLoc,EmCost,7)),0)</f>
        <v>0</v>
      </c>
      <c r="Z31" s="844">
        <f>IF(INDEX(HwyTransitModelGroup,A18,1)=PARAMETERS!$J$11,D31*0.00000110231131*(PARAMETERS!$CQ$36*VLOOKUP(ProjLoc,EmCost,2)+PARAMETERS!$CR$36*VLOOKUP(ProjLoc,EmCost,3)*(1+CO2Uprater)^($B31-YearCurrent)+PARAMETERS!$CS$36*VLOOKUP(ProjLoc,EmCost,4)+PARAMETERS!$CT$36*VLOOKUP(ProjLoc,EmCost,5)+PARAMETERS!$CU$36*VLOOKUP(ProjLoc,EmCost,6)+PARAMETERS!$CV$36*VLOOKUP(ProjLoc,EmCost,7)),0)</f>
        <v>0</v>
      </c>
      <c r="AA31" s="369">
        <f t="shared" si="4"/>
        <v>79.166288723969046</v>
      </c>
      <c r="AB31" s="370">
        <f t="shared" si="5"/>
        <v>57.846031736963177</v>
      </c>
      <c r="AC31" s="371"/>
      <c r="AD31" s="401">
        <f>IF(INDEX(HwyTransitModelGroup,A18,1)=Hwy,0.00000110231131*(C31*(1-M31)*VLOOKUP(K31,EmAuto1,2)-D31*(1-N31)*VLOOKUP(L31,EmAuto1,2)+(O31*(1-M31)-P31*(1-N31))*VLOOKUP(0,EmAuto1,2))+0.00000110231131*(C31*M31*VLOOKUP(K31,EmTruck1,2)-D31*N31*VLOOKUP(L31,EmTruck1,2)+(O31*M31-P31*N31)*VLOOKUP(0,EmTruck1,2)),0)</f>
        <v>2.1395771520278557E-3</v>
      </c>
      <c r="AE31" s="863">
        <f>IF(INDEX(HwyTransitModelGroup,A18,1)=Hwy,0.00000110231131*(C31*(1-M31)*VLOOKUP(K31,EmAuto1,3)-D31*(1-N31)*VLOOKUP(L31,EmAuto1,3)+(O31*(1-M31)-P31*(1-N31))*VLOOKUP(0,EmAuto1,3))+0.00000110231131*(C31*M31*VLOOKUP(K31,EmTruck1,3)-D31*N31*VLOOKUP(L31,EmTruck1,3)+(O31*M31-P31*N31)*VLOOKUP(0,EmTruck1,3)),0)</f>
        <v>1.1591584353482256</v>
      </c>
      <c r="AF31" s="861">
        <f>IF(INDEX(HwyTransitModelGroup,A18,1)=Hwy,0.00000110231131*(C31*(1-M31)*VLOOKUP(K31,EmAuto1,4)-D31*(1-N31)*VLOOKUP(L31,EmAuto1,4)+(O31*(1-M31)-P31*(1-N31))*VLOOKUP(0,EmAuto1,4))+0.00000110231131*(C31*M31*VLOOKUP(K31,EmTruck1,4)-D31*N31*VLOOKUP(L31,EmTruck1,4)+(O31*M31-P31*N31)*VLOOKUP(0,EmTruck1,4)),0)</f>
        <v>7.9739485850850364E-4</v>
      </c>
      <c r="AG31" s="863">
        <f>IF(INDEX(HwyTransitModelGroup,A18,1)=Hwy,0.00000110231131*(C31*(1-M31)*VLOOKUP(K31,EmAuto1,5)-D31*(1-N31)*VLOOKUP(L31,EmAuto1,5)+(O31*(1-M31)-P31*(1-N31))*VLOOKUP(0,EmAuto1,5))+0.00000110231131*(C31*M31*VLOOKUP(K31,EmTruck1,5)-D31*N31*VLOOKUP(L31,EmTruck1,5)+(O31*M31-P31*N31)*VLOOKUP(0,EmTruck1,5)),0)</f>
        <v>9.0124972705601744E-6</v>
      </c>
      <c r="AH31" s="861">
        <f>IF(INDEX(HwyTransitModelGroup,A18,1)=Hwy,0.00000110231131*(C31*(1-M31)*VLOOKUP(K31,EmAuto1,6)-D31*(1-N31)*VLOOKUP(L31,EmAuto1,6)+(O31*(1-M31)-P31*(1-N31))*VLOOKUP(0,EmAuto1,6))+0.00000110231131*(C31*M31*VLOOKUP(K31,EmTruck1,6)-D31*N31*VLOOKUP(L31,EmTruck1,6)+(O31*M31-P31*N31)*VLOOKUP(0,EmTruck1,6)),0)</f>
        <v>1.1103396637329987E-5</v>
      </c>
      <c r="AI31" s="863">
        <f>IF(INDEX(HwyTransitModelGroup,A18,1)=Hwy,0.00000110231131*(C31*(1-M31)*VLOOKUP(K31,EmAuto1,7)-D31*(1-N31)*VLOOKUP(L31,EmAuto1,7)+(O31*(1-M31)-P31*(1-N31))*VLOOKUP(0,EmAuto1,7))+0.00000110231131*(C31*M31*VLOOKUP(K31,EmTruck1,7)-D31*N31*VLOOKUP(L31,EmTruck1,7)+(O31*M31-P31*N31)*VLOOKUP(0,EmTruck1,7)),0)</f>
        <v>5.1293984465589261E-5</v>
      </c>
      <c r="AJ31" s="861">
        <f>IF(INDEX(HwyTransitModelGroup,A18,1)=Hwy,0.00000110231131*(C31*(1-M31)*VLOOKUP(K31,EmAuto1,8)-D31*(1-N31)*VLOOKUP(L31,EmAuto1,8)+(O31*(1-M31)-P31*(1-N31))*VLOOKUP(0,EmAuto1,8))+0.00000110231131*(C31*M31*VLOOKUP(K31,EmTruck1,8)-D31*N31*VLOOKUP(L31,EmTruck1,8)+(O31*M31-P31*N31)*VLOOKUP(0,EmTruck1,8)),0)</f>
        <v>8.5077974234086957E-6</v>
      </c>
      <c r="AK31" s="401">
        <f>IF(INDEX(HwyTransitModelGroup,A18,1)=PARAMETERS!$J$9,0.00000110231131*(C31*VLOOKUP(K31,EmBus1,2)-D31*VLOOKUP(L31,EmBus1,2)+(O31-P31)*VLOOKUP(0,EmBus1,2)),0)</f>
        <v>0</v>
      </c>
      <c r="AL31" s="863">
        <f>IF(INDEX(HwyTransitModelGroup,A18,1)=PARAMETERS!$J$9,0.00000110231131*(C31*VLOOKUP(K31,EmBus1,3)-D31*VLOOKUP(L31,EmBus1,3)+(O31-P31)*VLOOKUP(0,EmBus1,3)),0)</f>
        <v>0</v>
      </c>
      <c r="AM31" s="861">
        <f>IF(INDEX(HwyTransitModelGroup,A18,1)=PARAMETERS!$J$9,0.00000110231131*(C31*VLOOKUP(K31,EmBus1,4)-D31*VLOOKUP(L31,EmBus1,4)+(O31-P31)*VLOOKUP(0,EmBus1,4)),0)</f>
        <v>0</v>
      </c>
      <c r="AN31" s="863">
        <f>IF(INDEX(HwyTransitModelGroup,A18,1)=PARAMETERS!$J$9,0.00000110231131*(C31*VLOOKUP(K31,EmBus1,5)-D31*VLOOKUP(L31,EmBus1,5)+(O31-P31)*VLOOKUP(0,EmBus1,5)),0)</f>
        <v>0</v>
      </c>
      <c r="AO31" s="861">
        <f>IF(INDEX(HwyTransitModelGroup,A18,1)=PARAMETERS!$J$9,0.00000110231131*(C31*VLOOKUP(K31,EmBus1,6)-D31*VLOOKUP(L31,EmBus1,6)+(O31-P31)*VLOOKUP(0,EmBus1,6)),0)</f>
        <v>0</v>
      </c>
      <c r="AP31" s="863">
        <f>IF(INDEX(HwyTransitModelGroup,A18,1)=PARAMETERS!$J$9,0.00000110231131*(C31*VLOOKUP(K31,EmBus1,7)-D31*VLOOKUP(L31,EmBus1,7)+(O31-P31)*VLOOKUP(0,EmBus1,7)),0)</f>
        <v>0</v>
      </c>
      <c r="AQ31" s="861">
        <f>IF(INDEX(HwyTransitModelGroup,A18,1)=PARAMETERS!$J$9,0.00000110231131*(C31*VLOOKUP(K31,EmBus1,8)-D31*VLOOKUP(L31,EmBus1,8)+(O31-P31)*VLOOKUP(0,EmBus1,8)),0)</f>
        <v>0</v>
      </c>
      <c r="AR31" s="401">
        <f>IF(INDEX(HwyTransitModelGroup,A18,1)=PARAMETERS!$J$10,0.00000110231131*((C31-D31)*PARAMETERS!$CQ$28),0)</f>
        <v>0</v>
      </c>
      <c r="AS31" s="863">
        <f>IF(INDEX(HwyTransitModelGroup,A18,1)=PARAMETERS!$J$10,0.00000110231131*((C31-D31)*PARAMETERS!$CR$28),0)</f>
        <v>0</v>
      </c>
      <c r="AT31" s="861">
        <f>IF(INDEX(HwyTransitModelGroup,A18,1)=PARAMETERS!$J$10,0.00000110231131*((C31-D31)*PARAMETERS!$CS$28),0)</f>
        <v>0</v>
      </c>
      <c r="AU31" s="863">
        <f>IF(INDEX(HwyTransitModelGroup,A18,1)=PARAMETERS!$J$10,0.00000110231131*((C31-D31)*PARAMETERS!$CT$28),0)</f>
        <v>0</v>
      </c>
      <c r="AV31" s="861">
        <f>IF(INDEX(HwyTransitModelGroup,A18,1)=PARAMETERS!$J$10,0.00000110231131*((C31-D31)*PARAMETERS!$CU$28),0)</f>
        <v>0</v>
      </c>
      <c r="AW31" s="863">
        <f>IF(INDEX(HwyTransitModelGroup,A18,1)=PARAMETERS!$J$10,0.00000110231131*((C31-D31)*PARAMETERS!$CV$28),0)</f>
        <v>0</v>
      </c>
      <c r="AX31" s="861">
        <f>IF(INDEX(HwyTransitModelGroup,A18,1)=PARAMETERS!$J$10,0.00000110231131*((C31-D31)*PARAMETERS!$CW$28),0)</f>
        <v>0</v>
      </c>
      <c r="AY31" s="401">
        <f>IF(INDEX(HwyTransitModelGroup,A18,1)=PARAMETERS!$J$11,0.00000110231131*((C31-D31)*PARAMETERS!$CQ$36),0)</f>
        <v>0</v>
      </c>
      <c r="AZ31" s="863">
        <f>IF(INDEX(HwyTransitModelGroup,A18,1)=PARAMETERS!$J$11,0.00000110231131*((C31-D31)*PARAMETERS!$CR$36),0)</f>
        <v>0</v>
      </c>
      <c r="BA31" s="861">
        <f>IF(INDEX(HwyTransitModelGroup,A18,1)=PARAMETERS!$J$11,0.00000110231131*((C31-D31)*PARAMETERS!$CS$36),0)</f>
        <v>0</v>
      </c>
      <c r="BB31" s="863">
        <f>IF(INDEX(HwyTransitModelGroup,A18,1)=PARAMETERS!$J$11,0.00000110231131*((C31-D31)*PARAMETERS!$CT$36),0)</f>
        <v>0</v>
      </c>
      <c r="BC31" s="861">
        <f>IF(INDEX(HwyTransitModelGroup,A18,1)=PARAMETERS!$J$11,0.00000110231131*((C31-D31)*PARAMETERS!$CU$36),0)</f>
        <v>0</v>
      </c>
      <c r="BD31" s="863">
        <f>IF(INDEX(HwyTransitModelGroup,A18,1)=PARAMETERS!$J$11,0.00000110231131*((C31-D31)*PARAMETERS!$CV$36),0)</f>
        <v>0</v>
      </c>
      <c r="BE31" s="865">
        <f>IF(INDEX(HwyTransitModelGroup,A18,1)=PARAMETERS!$J$11,0.00000110231131*((C31-D31)*PARAMETERS!$CW$36),0)</f>
        <v>0</v>
      </c>
      <c r="BF31" s="729">
        <f t="shared" si="6"/>
        <v>0.12506944542662357</v>
      </c>
      <c r="BG31" s="867">
        <f t="shared" si="7"/>
        <v>47.634180396809803</v>
      </c>
      <c r="BH31" s="867">
        <f t="shared" si="8"/>
        <v>8.7979940507297076</v>
      </c>
      <c r="BI31" s="867">
        <f t="shared" si="9"/>
        <v>0.76850958390657409</v>
      </c>
      <c r="BJ31" s="867">
        <f t="shared" si="10"/>
        <v>0.47867544674379009</v>
      </c>
      <c r="BK31" s="869">
        <f t="shared" si="11"/>
        <v>4.160281334722829E-2</v>
      </c>
      <c r="BL31" s="392"/>
      <c r="BN31" s="375">
        <f t="shared" si="3"/>
        <v>2033</v>
      </c>
      <c r="BO31" s="376">
        <f t="shared" ca="1" si="1"/>
        <v>-253.92445785394739</v>
      </c>
      <c r="BP31" s="376">
        <f t="shared" ca="1" si="1"/>
        <v>-777.1234426841653</v>
      </c>
      <c r="BQ31" s="376">
        <f t="shared" ca="1" si="1"/>
        <v>189.4634318315893</v>
      </c>
      <c r="BR31" s="376">
        <f t="shared" ca="1" si="1"/>
        <v>-3093.3728302403874</v>
      </c>
      <c r="BS31" s="376">
        <f t="shared" ca="1" si="1"/>
        <v>39031.328222823882</v>
      </c>
      <c r="BT31" s="376">
        <f t="shared" ca="1" si="1"/>
        <v>50632.547220751425</v>
      </c>
      <c r="BV31" s="370">
        <f ca="1">IF(Emissions&lt;&gt;"N",SUM($BO31:BU31),0)</f>
        <v>85728.918144628406</v>
      </c>
      <c r="BW31" s="377"/>
      <c r="BX31" s="370">
        <f t="shared" ca="1" si="2"/>
        <v>131975.73078125151</v>
      </c>
      <c r="BZ31" s="401">
        <f ca="1">SUM($BO65:BU65)</f>
        <v>1.7359257589434125</v>
      </c>
      <c r="CA31" s="863">
        <f ca="1">SUM($BO99:BU99)</f>
        <v>1917.6715036151186</v>
      </c>
      <c r="CB31" s="861">
        <f ca="1">SUM($BO133:BU133)</f>
        <v>0.90477682000656745</v>
      </c>
      <c r="CC31" s="863">
        <f ca="1">SUM($BO167:BU167)</f>
        <v>2.2288063790672018E-2</v>
      </c>
      <c r="CD31" s="861">
        <f ca="1">SUM($BO201:BU201)</f>
        <v>1.8394480696408391E-2</v>
      </c>
      <c r="CE31" s="863">
        <f ca="1">SUM($BO235:BU235)</f>
        <v>3.4259743486135641E-2</v>
      </c>
      <c r="CF31" s="861">
        <f ca="1">SUM($BO269:BU269)</f>
        <v>2.1351384810283279E-2</v>
      </c>
      <c r="CG31" s="399">
        <f ca="1">SUM($BO303:BU303)</f>
        <v>90.209941729530783</v>
      </c>
      <c r="CH31" s="706">
        <f ca="1">SUM($BO337:BU337)</f>
        <v>74344.80200835783</v>
      </c>
      <c r="CI31" s="706">
        <f ca="1">SUM($BO371:BU371)</f>
        <v>8874.6591209104317</v>
      </c>
      <c r="CJ31" s="706">
        <f ca="1">SUM($BO405:BU405)</f>
        <v>1689.5710746947275</v>
      </c>
      <c r="CK31" s="706">
        <f ca="1">SUM($BO439:BU439)</f>
        <v>704.97353047733509</v>
      </c>
      <c r="CL31" s="400">
        <f ca="1">SUM($BO473:BU473)</f>
        <v>24.702468458615272</v>
      </c>
    </row>
    <row r="32" spans="1:90" x14ac:dyDescent="0.25">
      <c r="B32" s="375">
        <f t="shared" si="12"/>
        <v>2031</v>
      </c>
      <c r="C32" s="401">
        <f>MAX(TREND(C24:C25,B24:B25,B32),0)</f>
        <v>799897.5</v>
      </c>
      <c r="D32" s="402">
        <f>MAX(TREND(D24:D25,B24:B25,B32),0)</f>
        <v>804003.75</v>
      </c>
      <c r="E32" s="401">
        <f>MAX(TREND(E24:E25,B24:B25,B32),0)</f>
        <v>18797.5</v>
      </c>
      <c r="F32" s="402">
        <f>MAX(TREND(F24:F25,B24:B25,B32),0)</f>
        <v>19071.25</v>
      </c>
      <c r="G32" s="401">
        <f>MAX(TREND(G24:G25,B24:B25,B32),0)</f>
        <v>0</v>
      </c>
      <c r="H32" s="402">
        <f>MAX(TREND(H24:H25,B24:B25,B32),0)</f>
        <v>0</v>
      </c>
      <c r="I32" s="401">
        <f>MAX(TREND(I24:I25,B24:B25,B32),0)</f>
        <v>0</v>
      </c>
      <c r="J32" s="402">
        <f>MAX(TREND(J24:J25,B24:B25,B32),0)</f>
        <v>0</v>
      </c>
      <c r="K32" s="435">
        <f>IFERROR(IF(INDEX(HwyTransitModelGroup,A18,1)=Hwy,MAX(5,ROUND(C32/E32,1)),MAX(5,ROUND(G32/I32,1))),55)</f>
        <v>42.6</v>
      </c>
      <c r="L32" s="436">
        <f>IFERROR(IF(INDEX(HwyTransitModelGroup,A18,1)=Hwy,MAX(5,ROUND(D32/F32,1)),MAX(5,ROUND(H32/J32,1))),55)</f>
        <v>42.2</v>
      </c>
      <c r="M32" s="405">
        <f>MIN(MAX(TREND(M24:M25,B24:B25,B32),0),1)</f>
        <v>0.24</v>
      </c>
      <c r="N32" s="406">
        <f>MIN(MAX(TREND(N24:N25,B24:B25,B32),0),1)</f>
        <v>0.24</v>
      </c>
      <c r="O32" s="401">
        <f>MAX(TREND(O24:O25,B24:B25,B32),0)</f>
        <v>0</v>
      </c>
      <c r="P32" s="402">
        <f>MAX(TREND(P24:P25,B24:B25,B32),0)</f>
        <v>0</v>
      </c>
      <c r="Q32" s="729">
        <f>IF(INDEX(HwyTransitModelGroup,A18,1)=Hwy,C32*(1-M32)*0.00000110231131*(VLOOKUP(K32,EmAuto1,2)*VLOOKUP(ProjLoc,EmCost,2)+VLOOKUP(K32,EmAuto1,3)*VLOOKUP(ProjLoc,EmCost,3)*(1+CO2Uprater)^($B32-YearCurrent)+VLOOKUP(K32,EmAuto1,4)*VLOOKUP(ProjLoc,EmCost,4)+VLOOKUP(K32,EmAuto1,5)*VLOOKUP(ProjLoc,EmCost,5)+VLOOKUP(K32,EmAuto1,6)*VLOOKUP(ProjLoc,EmCost,6)+VLOOKUP(K32,EmAuto1,7)*VLOOKUP(ProjLoc,EmCost,7))+C32*M32*0.00000110231131*(VLOOKUP(K32,EmTruck1,2)*VLOOKUP(ProjLoc,EmCost,2)+VLOOKUP(K32,EmTruck1,3)*VLOOKUP(ProjLoc,EmCost,3)*(1+CO2Uprater)^($B32-YearCurrent)+VLOOKUP(K32,EmTruck1,4)*VLOOKUP(ProjLoc,EmCost,4)+VLOOKUP(K32,EmTruck1,5)*VLOOKUP(ProjLoc,EmCost,5)+VLOOKUP(K32,EmTruck1,6)*VLOOKUP(ProjLoc,EmCost,6)+VLOOKUP(K32,EmTruck1,7)*VLOOKUP(ProjLoc,EmCost,7)),0)</f>
        <v>27554.723216711049</v>
      </c>
      <c r="R32" s="802">
        <f>IF(INDEX(HwyTransitModelGroup,A18,1)=Hwy,D32*(1-N32)*0.00000110231131*(VLOOKUP(L32,EmAuto1,2)*VLOOKUP(ProjLoc,EmCost,2)+VLOOKUP(L32,EmAuto1,3)*VLOOKUP(ProjLoc,EmCost,3)*(1+CO2Uprater)^($B32-YearCurrent)+VLOOKUP(L32,EmAuto1,4)*VLOOKUP(ProjLoc,EmCost,4)+VLOOKUP(L32,EmAuto1,5)*VLOOKUP(ProjLoc,EmCost,5)+VLOOKUP(L32,EmAuto1,6)*VLOOKUP(ProjLoc,EmCost,6)+VLOOKUP(L32,EmAuto1,7)*VLOOKUP(ProjLoc,EmCost,7))+D32*N32*0.00000110231131*(VLOOKUP(L32,EmTruck1,2)*VLOOKUP(ProjLoc,EmCost,2)+VLOOKUP(L32,EmTruck1,3)*VLOOKUP(ProjLoc,EmCost,3)*(1+CO2Uprater)^($B32-YearCurrent)+VLOOKUP(L32,EmTruck1,4)*VLOOKUP(ProjLoc,EmCost,4)+VLOOKUP(L32,EmTruck1,5)*VLOOKUP(ProjLoc,EmCost,5)+VLOOKUP(L32,EmTruck1,6)*VLOOKUP(ProjLoc,EmCost,6)+VLOOKUP(L32,EmTruck1,7)*VLOOKUP(ProjLoc,EmCost,7)),0)</f>
        <v>27696.174567926202</v>
      </c>
      <c r="S32" s="729">
        <f>IF(INDEX(HwyTransitModelGroup,A18,1)=Hwy,O32*(1-M32)*0.00000110231131*(VLOOKUP(0,EmAuto1,2)*VLOOKUP(ProjLoc,EmCost,2)+VLOOKUP(0,EmAuto1,3)*VLOOKUP(ProjLoc,EmCost,3)*(1+CO2Uprater)^($B32-YearCurrent)+VLOOKUP(0,EmAuto1,4)*VLOOKUP(ProjLoc,EmCost,4)+VLOOKUP(0,EmAuto1,5)*VLOOKUP(ProjLoc,EmCost,5)+VLOOKUP(0,EmAuto1,6)*VLOOKUP(ProjLoc,EmCost,6)+VLOOKUP(0,EmAuto1,7)*VLOOKUP(ProjLoc,EmCost,7))+O32*M32*0.00000110231131*(VLOOKUP(0,EmTruck1,2)*VLOOKUP(ProjLoc,EmCost,2)+VLOOKUP(0,EmTruck1,3)*VLOOKUP(ProjLoc,EmCost,3)*(1+CO2Uprater)^($B32-YearCurrent)+VLOOKUP(0,EmTruck1,4)*VLOOKUP(ProjLoc,EmCost,4)+VLOOKUP(0,EmTruck1,5)*VLOOKUP(ProjLoc,EmCost,5)+VLOOKUP(0,EmTruck1,6)*VLOOKUP(ProjLoc,EmCost,6)+VLOOKUP(0,EmTruck1,7)*VLOOKUP(ProjLoc,EmCost,7)),0)</f>
        <v>0</v>
      </c>
      <c r="T32" s="802">
        <f>IF(INDEX(HwyTransitModelGroup,A18,1)=Hwy,P32*(1-N32)*0.00000110231131*(VLOOKUP(0,EmAuto1,2)*VLOOKUP(ProjLoc,EmCost,2)+VLOOKUP(0,EmAuto1,3)*VLOOKUP(ProjLoc,EmCost,3)*(1+CO2Uprater)^($B32-YearCurrent)+VLOOKUP(0,EmAuto1,4)*VLOOKUP(ProjLoc,EmCost,4)+VLOOKUP(0,EmAuto1,5)*VLOOKUP(ProjLoc,EmCost,5)+VLOOKUP(0,EmAuto1,6)*VLOOKUP(ProjLoc,EmCost,6)+VLOOKUP(0,EmAuto1,7)*VLOOKUP(ProjLoc,EmCost,7))+P32*N32*0.00000110231131*(VLOOKUP(0,EmTruck1,2)*VLOOKUP(ProjLoc,EmCost,2)+VLOOKUP(0,EmTruck1,3)*VLOOKUP(ProjLoc,EmCost,3)*(1+CO2Uprater)^($B32-YearCurrent)+VLOOKUP(0,EmTruck1,4)*VLOOKUP(ProjLoc,EmCost,4)+VLOOKUP(0,EmTruck1,5)*VLOOKUP(ProjLoc,EmCost,5)+VLOOKUP(0,EmTruck1,6)*VLOOKUP(ProjLoc,EmCost,6)+VLOOKUP(0,EmTruck1,7)*VLOOKUP(ProjLoc,EmCost,7)),0)</f>
        <v>0</v>
      </c>
      <c r="U32" s="729">
        <f>IF(INDEX(HwyTransitModelGroup,A18,1)=PARAMETERS!$J$9,C32*0.00000110231131*(VLOOKUP(K32,EmBus1,2)*VLOOKUP(ProjLoc,EmCost,2)+VLOOKUP(K32,EmBus1,3)*VLOOKUP(ProjLoc,EmCost,3)*(1+CO2Uprater)^($B32-YearCurrent)+VLOOKUP(K32,EmBus1,4)*VLOOKUP(ProjLoc,EmCost,4)+VLOOKUP(K32,EmBus1,5)*VLOOKUP(ProjLoc,EmCost,5)+VLOOKUP(K32,EmBus1,6)*VLOOKUP(ProjLoc,EmCost,6)+VLOOKUP(K32,EmBus1,7)*VLOOKUP(ProjLoc,EmCost,7)),0)</f>
        <v>0</v>
      </c>
      <c r="V32" s="802">
        <f>IF(INDEX(HwyTransitModelGroup,A18,1)=PARAMETERS!$J$9,D32*0.00000110231131*(VLOOKUP(L32,EmBus1,2)*VLOOKUP(ProjLoc,EmCost,2)+VLOOKUP(L32,EmBus1,3)*VLOOKUP(ProjLoc,EmCost,3)*(1+CO2Uprater)^($B32-YearCurrent)+VLOOKUP(L32,EmBus1,4)*VLOOKUP(ProjLoc,EmCost,4)+VLOOKUP(L32,EmBus1,5)*VLOOKUP(ProjLoc,EmCost,5)+VLOOKUP(L32,EmBus1,6)*VLOOKUP(ProjLoc,EmCost,6)+VLOOKUP(L32,EmBus1,7)*VLOOKUP(ProjLoc,EmCost,7)),0)</f>
        <v>0</v>
      </c>
      <c r="W32" s="808">
        <f>IF(INDEX(HwyTransitModelGroup,A18,1)=PARAMETERS!$J$10,C32*0.00000110231131*(PARAMETERS!$CQ$28*VLOOKUP(ProjLoc,EmCost,2)+PARAMETERS!$CR$28*VLOOKUP(ProjLoc,EmCost,3)*(1+CO2Uprater)^($B32-YearCurrent)+PARAMETERS!$CS$28*VLOOKUP(ProjLoc,EmCost,4)+PARAMETERS!$CT$28*VLOOKUP(ProjLoc,EmCost,5)+PARAMETERS!$CU$28*VLOOKUP(ProjLoc,EmCost,6)+PARAMETERS!$CV$28*VLOOKUP(ProjLoc,EmCost,7)),0)</f>
        <v>0</v>
      </c>
      <c r="X32" s="844">
        <f>IF(INDEX(HwyTransitModelGroup,A18,1)=PARAMETERS!$J$10,D32*0.00000110231131*(PARAMETERS!$CQ$28*VLOOKUP(ProjLoc,EmCost,2)+PARAMETERS!$CR$28*VLOOKUP(ProjLoc,EmCost,3)*(1+CO2Uprater)^($B32-YearCurrent)+PARAMETERS!$CS$28*VLOOKUP(ProjLoc,EmCost,4)+PARAMETERS!$CT$28*VLOOKUP(ProjLoc,EmCost,5)+PARAMETERS!$CU$28*VLOOKUP(ProjLoc,EmCost,6)+PARAMETERS!$CV$28*VLOOKUP(ProjLoc,EmCost,7)),0)</f>
        <v>0</v>
      </c>
      <c r="Y32" s="808">
        <f>IF(INDEX(HwyTransitModelGroup,A18,1)=PARAMETERS!$J$11,C32*0.00000110231131*(PARAMETERS!$CQ$36*VLOOKUP(ProjLoc,EmCost,2)+PARAMETERS!$CR$36*VLOOKUP(ProjLoc,EmCost,3)*(1+CO2Uprater)^($B32-YearCurrent)+PARAMETERS!$CS$36*VLOOKUP(ProjLoc,EmCost,4)+PARAMETERS!$CT$36*VLOOKUP(ProjLoc,EmCost,5)+PARAMETERS!$CU$36*VLOOKUP(ProjLoc,EmCost,6)+PARAMETERS!$CV$36*VLOOKUP(ProjLoc,EmCost,7)),0)</f>
        <v>0</v>
      </c>
      <c r="Z32" s="844">
        <f>IF(INDEX(HwyTransitModelGroup,A18,1)=PARAMETERS!$J$11,D32*0.00000110231131*(PARAMETERS!$CQ$36*VLOOKUP(ProjLoc,EmCost,2)+PARAMETERS!$CR$36*VLOOKUP(ProjLoc,EmCost,3)*(1+CO2Uprater)^($B32-YearCurrent)+PARAMETERS!$CS$36*VLOOKUP(ProjLoc,EmCost,4)+PARAMETERS!$CT$36*VLOOKUP(ProjLoc,EmCost,5)+PARAMETERS!$CU$36*VLOOKUP(ProjLoc,EmCost,6)+PARAMETERS!$CV$36*VLOOKUP(ProjLoc,EmCost,7)),0)</f>
        <v>0</v>
      </c>
      <c r="AA32" s="369">
        <f t="shared" si="4"/>
        <v>-141.45135121515341</v>
      </c>
      <c r="AB32" s="370">
        <f t="shared" si="5"/>
        <v>-99.381843093469271</v>
      </c>
      <c r="AC32" s="371"/>
      <c r="AD32" s="401">
        <f>IF(INDEX(HwyTransitModelGroup,A18,1)=Hwy,0.00000110231131*(C32*(1-M32)*VLOOKUP(K32,EmAuto1,2)-D32*(1-N32)*VLOOKUP(L32,EmAuto1,2)+(O32*(1-M32)-P32*(1-N32))*VLOOKUP(0,EmAuto1,2))+0.00000110231131*(C32*M32*VLOOKUP(K32,EmTruck1,2)-D32*N32*VLOOKUP(L32,EmTruck1,2)+(O32*M32-P32*N32)*VLOOKUP(0,EmTruck1,2)),0)</f>
        <v>-3.7609754625488644E-3</v>
      </c>
      <c r="AE32" s="863">
        <f>IF(INDEX(HwyTransitModelGroup,A18,1)=Hwy,0.00000110231131*(C32*(1-M32)*VLOOKUP(K32,EmAuto1,3)-D32*(1-N32)*VLOOKUP(L32,EmAuto1,3)+(O32*(1-M32)-P32*(1-N32))*VLOOKUP(0,EmAuto1,3))+0.00000110231131*(C32*M32*VLOOKUP(K32,EmTruck1,3)-D32*N32*VLOOKUP(L32,EmTruck1,3)+(O32*M32-P32*N32)*VLOOKUP(0,EmTruck1,3)),0)</f>
        <v>-2.037583187135513</v>
      </c>
      <c r="AF32" s="861">
        <f>IF(INDEX(HwyTransitModelGroup,A18,1)=Hwy,0.00000110231131*(C32*(1-M32)*VLOOKUP(K32,EmAuto1,4)-D32*(1-N32)*VLOOKUP(L32,EmAuto1,4)+(O32*(1-M32)-P32*(1-N32))*VLOOKUP(0,EmAuto1,4))+0.00000110231131*(C32*M32*VLOOKUP(K32,EmTruck1,4)-D32*N32*VLOOKUP(L32,EmTruck1,4)+(O32*M32-P32*N32)*VLOOKUP(0,EmTruck1,4)),0)</f>
        <v>-1.4016706497219811E-3</v>
      </c>
      <c r="AG32" s="863">
        <f>IF(INDEX(HwyTransitModelGroup,A18,1)=Hwy,0.00000110231131*(C32*(1-M32)*VLOOKUP(K32,EmAuto1,5)-D32*(1-N32)*VLOOKUP(L32,EmAuto1,5)+(O32*(1-M32)-P32*(1-N32))*VLOOKUP(0,EmAuto1,5))+0.00000110231131*(C32*M32*VLOOKUP(K32,EmTruck1,5)-D32*N32*VLOOKUP(L32,EmTruck1,5)+(O32*M32-P32*N32)*VLOOKUP(0,EmTruck1,5)),0)</f>
        <v>-1.5842280358406675E-5</v>
      </c>
      <c r="AH32" s="861">
        <f>IF(INDEX(HwyTransitModelGroup,A18,1)=Hwy,0.00000110231131*(C32*(1-M32)*VLOOKUP(K32,EmAuto1,6)-D32*(1-N32)*VLOOKUP(L32,EmAuto1,6)+(O32*(1-M32)-P32*(1-N32))*VLOOKUP(0,EmAuto1,6))+0.00000110231131*(C32*M32*VLOOKUP(K32,EmTruck1,6)-D32*N32*VLOOKUP(L32,EmTruck1,6)+(O32*M32-P32*N32)*VLOOKUP(0,EmTruck1,6)),0)</f>
        <v>-1.9517689401556475E-5</v>
      </c>
      <c r="AI32" s="863">
        <f>IF(INDEX(HwyTransitModelGroup,A18,1)=Hwy,0.00000110231131*(C32*(1-M32)*VLOOKUP(K32,EmAuto1,7)-D32*(1-N32)*VLOOKUP(L32,EmAuto1,7)+(O32*(1-M32)-P32*(1-N32))*VLOOKUP(0,EmAuto1,7))+0.00000110231131*(C32*M32*VLOOKUP(K32,EmTruck1,7)-D32*N32*VLOOKUP(L32,EmTruck1,7)+(O32*M32-P32*N32)*VLOOKUP(0,EmTruck1,7)),0)</f>
        <v>-9.0165207068415408E-5</v>
      </c>
      <c r="AJ32" s="861">
        <f>IF(INDEX(HwyTransitModelGroup,A18,1)=Hwy,0.00000110231131*(C32*(1-M32)*VLOOKUP(K32,EmAuto1,8)-D32*(1-N32)*VLOOKUP(L32,EmAuto1,8)+(O32*(1-M32)-P32*(1-N32))*VLOOKUP(0,EmAuto1,8))+0.00000110231131*(C32*M32*VLOOKUP(K32,EmTruck1,8)-D32*N32*VLOOKUP(L32,EmTruck1,8)+(O32*M32-P32*N32)*VLOOKUP(0,EmTruck1,8)),0)</f>
        <v>-1.4955112658335617E-5</v>
      </c>
      <c r="AK32" s="401">
        <f>IF(INDEX(HwyTransitModelGroup,A18,1)=PARAMETERS!$J$9,0.00000110231131*(C32*VLOOKUP(K32,EmBus1,2)-D32*VLOOKUP(L32,EmBus1,2)+(O32-P32)*VLOOKUP(0,EmBus1,2)),0)</f>
        <v>0</v>
      </c>
      <c r="AL32" s="863">
        <f>IF(INDEX(HwyTransitModelGroup,A18,1)=PARAMETERS!$J$9,0.00000110231131*(C32*VLOOKUP(K32,EmBus1,3)-D32*VLOOKUP(L32,EmBus1,3)+(O32-P32)*VLOOKUP(0,EmBus1,3)),0)</f>
        <v>0</v>
      </c>
      <c r="AM32" s="861">
        <f>IF(INDEX(HwyTransitModelGroup,A18,1)=PARAMETERS!$J$9,0.00000110231131*(C32*VLOOKUP(K32,EmBus1,4)-D32*VLOOKUP(L32,EmBus1,4)+(O32-P32)*VLOOKUP(0,EmBus1,4)),0)</f>
        <v>0</v>
      </c>
      <c r="AN32" s="863">
        <f>IF(INDEX(HwyTransitModelGroup,A18,1)=PARAMETERS!$J$9,0.00000110231131*(C32*VLOOKUP(K32,EmBus1,5)-D32*VLOOKUP(L32,EmBus1,5)+(O32-P32)*VLOOKUP(0,EmBus1,5)),0)</f>
        <v>0</v>
      </c>
      <c r="AO32" s="861">
        <f>IF(INDEX(HwyTransitModelGroup,A18,1)=PARAMETERS!$J$9,0.00000110231131*(C32*VLOOKUP(K32,EmBus1,6)-D32*VLOOKUP(L32,EmBus1,6)+(O32-P32)*VLOOKUP(0,EmBus1,6)),0)</f>
        <v>0</v>
      </c>
      <c r="AP32" s="863">
        <f>IF(INDEX(HwyTransitModelGroup,A18,1)=PARAMETERS!$J$9,0.00000110231131*(C32*VLOOKUP(K32,EmBus1,7)-D32*VLOOKUP(L32,EmBus1,7)+(O32-P32)*VLOOKUP(0,EmBus1,7)),0)</f>
        <v>0</v>
      </c>
      <c r="AQ32" s="861">
        <f>IF(INDEX(HwyTransitModelGroup,A18,1)=PARAMETERS!$J$9,0.00000110231131*(C32*VLOOKUP(K32,EmBus1,8)-D32*VLOOKUP(L32,EmBus1,8)+(O32-P32)*VLOOKUP(0,EmBus1,8)),0)</f>
        <v>0</v>
      </c>
      <c r="AR32" s="401">
        <f>IF(INDEX(HwyTransitModelGroup,A18,1)=PARAMETERS!$J$10,0.00000110231131*((C32-D32)*PARAMETERS!$CQ$28),0)</f>
        <v>0</v>
      </c>
      <c r="AS32" s="863">
        <f>IF(INDEX(HwyTransitModelGroup,A18,1)=PARAMETERS!$J$10,0.00000110231131*((C32-D32)*PARAMETERS!$CR$28),0)</f>
        <v>0</v>
      </c>
      <c r="AT32" s="861">
        <f>IF(INDEX(HwyTransitModelGroup,A18,1)=PARAMETERS!$J$10,0.00000110231131*((C32-D32)*PARAMETERS!$CS$28),0)</f>
        <v>0</v>
      </c>
      <c r="AU32" s="863">
        <f>IF(INDEX(HwyTransitModelGroup,A18,1)=PARAMETERS!$J$10,0.00000110231131*((C32-D32)*PARAMETERS!$CT$28),0)</f>
        <v>0</v>
      </c>
      <c r="AV32" s="861">
        <f>IF(INDEX(HwyTransitModelGroup,A18,1)=PARAMETERS!$J$10,0.00000110231131*((C32-D32)*PARAMETERS!$CU$28),0)</f>
        <v>0</v>
      </c>
      <c r="AW32" s="863">
        <f>IF(INDEX(HwyTransitModelGroup,A18,1)=PARAMETERS!$J$10,0.00000110231131*((C32-D32)*PARAMETERS!$CV$28),0)</f>
        <v>0</v>
      </c>
      <c r="AX32" s="861">
        <f>IF(INDEX(HwyTransitModelGroup,A18,1)=PARAMETERS!$J$10,0.00000110231131*((C32-D32)*PARAMETERS!$CW$28),0)</f>
        <v>0</v>
      </c>
      <c r="AY32" s="401">
        <f>IF(INDEX(HwyTransitModelGroup,A18,1)=PARAMETERS!$J$11,0.00000110231131*((C32-D32)*PARAMETERS!$CQ$36),0)</f>
        <v>0</v>
      </c>
      <c r="AZ32" s="863">
        <f>IF(INDEX(HwyTransitModelGroup,A18,1)=PARAMETERS!$J$11,0.00000110231131*((C32-D32)*PARAMETERS!$CR$36),0)</f>
        <v>0</v>
      </c>
      <c r="BA32" s="861">
        <f>IF(INDEX(HwyTransitModelGroup,A18,1)=PARAMETERS!$J$11,0.00000110231131*((C32-D32)*PARAMETERS!$CS$36),0)</f>
        <v>0</v>
      </c>
      <c r="BB32" s="863">
        <f>IF(INDEX(HwyTransitModelGroup,A18,1)=PARAMETERS!$J$11,0.00000110231131*((C32-D32)*PARAMETERS!$CT$36),0)</f>
        <v>0</v>
      </c>
      <c r="BC32" s="861">
        <f>IF(INDEX(HwyTransitModelGroup,A18,1)=PARAMETERS!$J$11,0.00000110231131*((C32-D32)*PARAMETERS!$CU$36),0)</f>
        <v>0</v>
      </c>
      <c r="BD32" s="863">
        <f>IF(INDEX(HwyTransitModelGroup,A18,1)=PARAMETERS!$J$11,0.00000110231131*((C32-D32)*PARAMETERS!$CV$36),0)</f>
        <v>0</v>
      </c>
      <c r="BE32" s="865">
        <f>IF(INDEX(HwyTransitModelGroup,A18,1)=PARAMETERS!$J$11,0.00000110231131*((C32-D32)*PARAMETERS!$CW$36),0)</f>
        <v>0</v>
      </c>
      <c r="BF32" s="729">
        <f t="shared" si="6"/>
        <v>-0.21139291782594308</v>
      </c>
      <c r="BG32" s="867">
        <f t="shared" si="7"/>
        <v>-82.12172777244318</v>
      </c>
      <c r="BH32" s="867">
        <f t="shared" si="8"/>
        <v>-14.87040761278686</v>
      </c>
      <c r="BI32" s="867">
        <f t="shared" si="9"/>
        <v>-1.2989382240007545</v>
      </c>
      <c r="BJ32" s="867">
        <f t="shared" si="10"/>
        <v>-0.80905931127818498</v>
      </c>
      <c r="BK32" s="869">
        <f t="shared" si="11"/>
        <v>-7.0317255131655876E-2</v>
      </c>
      <c r="BL32" s="392"/>
      <c r="BN32" s="375">
        <f t="shared" si="3"/>
        <v>2034</v>
      </c>
      <c r="BO32" s="376">
        <f t="shared" ca="1" si="1"/>
        <v>-342.86177147806166</v>
      </c>
      <c r="BP32" s="376">
        <f t="shared" ca="1" si="1"/>
        <v>-773.06570635638673</v>
      </c>
      <c r="BQ32" s="376">
        <f t="shared" ca="1" si="1"/>
        <v>185.7900805581618</v>
      </c>
      <c r="BR32" s="376">
        <f t="shared" ca="1" si="1"/>
        <v>-3045.5489673189918</v>
      </c>
      <c r="BS32" s="376">
        <f t="shared" ca="1" si="1"/>
        <v>39710.452560568949</v>
      </c>
      <c r="BT32" s="376">
        <f t="shared" ca="1" si="1"/>
        <v>50771.968835462554</v>
      </c>
      <c r="BV32" s="370">
        <f ca="1">IF(Emissions&lt;&gt;"N",SUM($BO32:BU32),0)</f>
        <v>86506.735031436227</v>
      </c>
      <c r="BW32" s="377"/>
      <c r="BX32" s="370">
        <f t="shared" ca="1" si="2"/>
        <v>138500.06990842693</v>
      </c>
      <c r="BZ32" s="401">
        <f ca="1">SUM($BO66:BU66)</f>
        <v>1.7841020612524114</v>
      </c>
      <c r="CA32" s="863">
        <f ca="1">SUM($BO100:BU100)</f>
        <v>1977.7113047162929</v>
      </c>
      <c r="CB32" s="861">
        <f ca="1">SUM($BO134:BU134)</f>
        <v>0.93458175231762775</v>
      </c>
      <c r="CC32" s="863">
        <f ca="1">SUM($BO168:BU168)</f>
        <v>2.3070149956941802E-2</v>
      </c>
      <c r="CD32" s="861">
        <f ca="1">SUM($BO202:BU202)</f>
        <v>1.8971454495109067E-2</v>
      </c>
      <c r="CE32" s="863">
        <f ca="1">SUM($BO236:BU236)</f>
        <v>3.5297770975674714E-2</v>
      </c>
      <c r="CF32" s="861">
        <f ca="1">SUM($BO270:BU270)</f>
        <v>2.210103258481454E-2</v>
      </c>
      <c r="CG32" s="399">
        <f ca="1">SUM($BO304:BU304)</f>
        <v>89.147590688637507</v>
      </c>
      <c r="CH32" s="706">
        <f ca="1">SUM($BO338:BU338)</f>
        <v>75197.971062861296</v>
      </c>
      <c r="CI32" s="706">
        <f ca="1">SUM($BO372:BU372)</f>
        <v>8814.4287768432587</v>
      </c>
      <c r="CJ32" s="706">
        <f ca="1">SUM($BO406:BU406)</f>
        <v>1681.5942045086927</v>
      </c>
      <c r="CK32" s="706">
        <f ca="1">SUM($BO440:BU440)</f>
        <v>699.12135572936768</v>
      </c>
      <c r="CL32" s="400">
        <f ca="1">SUM($BO474:BU474)</f>
        <v>24.4720408050568</v>
      </c>
    </row>
    <row r="33" spans="2:90" x14ac:dyDescent="0.25">
      <c r="B33" s="375">
        <f t="shared" si="12"/>
        <v>2032</v>
      </c>
      <c r="C33" s="401">
        <f>MAX(TREND(C24:C25,B24:B25,B33),0)</f>
        <v>809570</v>
      </c>
      <c r="D33" s="402">
        <f>MAX(TREND(D24:D25,B24:B25,B33),0)</f>
        <v>820118.5</v>
      </c>
      <c r="E33" s="401">
        <f>MAX(TREND(E24:E25,B24:B25,B33),0)</f>
        <v>19053</v>
      </c>
      <c r="F33" s="402">
        <f>MAX(TREND(F24:F25,B24:B25,B33),0)</f>
        <v>19454.5</v>
      </c>
      <c r="G33" s="401">
        <f>MAX(TREND(G24:G25,B24:B25,B33),0)</f>
        <v>0</v>
      </c>
      <c r="H33" s="402">
        <f>MAX(TREND(H24:H25,B24:B25,B33),0)</f>
        <v>0</v>
      </c>
      <c r="I33" s="401">
        <f>MAX(TREND(I24:I25,B24:B25,B33),0)</f>
        <v>0</v>
      </c>
      <c r="J33" s="402">
        <f>MAX(TREND(J24:J25,B24:B25,B33),0)</f>
        <v>0</v>
      </c>
      <c r="K33" s="435">
        <f>IFERROR(IF(INDEX(HwyTransitModelGroup,A18,1)=Hwy,MAX(5,ROUND(C33/E33,1)),MAX(5,ROUND(G33/I33,1))),55)</f>
        <v>42.5</v>
      </c>
      <c r="L33" s="436">
        <f>IFERROR(IF(INDEX(HwyTransitModelGroup,A18,1)=Hwy,MAX(5,ROUND(D33/F33,1)),MAX(5,ROUND(H33/J33,1))),55)</f>
        <v>42.2</v>
      </c>
      <c r="M33" s="405">
        <f>MIN(MAX(TREND(M24:M25,B24:B25,B33),0),1)</f>
        <v>0.24</v>
      </c>
      <c r="N33" s="406">
        <f>MIN(MAX(TREND(N24:N25,B24:B25,B33),0),1)</f>
        <v>0.24</v>
      </c>
      <c r="O33" s="401">
        <f>MAX(TREND(O24:O25,B24:B25,B33),0)</f>
        <v>0</v>
      </c>
      <c r="P33" s="402">
        <f>MAX(TREND(P24:P25,B24:B25,B33),0)</f>
        <v>0</v>
      </c>
      <c r="Q33" s="729">
        <f>IF(INDEX(HwyTransitModelGroup,A18,1)=Hwy,C33*(1-M33)*0.00000110231131*(VLOOKUP(K33,EmAuto1,2)*VLOOKUP(ProjLoc,EmCost,2)+VLOOKUP(K33,EmAuto1,3)*VLOOKUP(ProjLoc,EmCost,3)*(1+CO2Uprater)^($B33-YearCurrent)+VLOOKUP(K33,EmAuto1,4)*VLOOKUP(ProjLoc,EmCost,4)+VLOOKUP(K33,EmAuto1,5)*VLOOKUP(ProjLoc,EmCost,5)+VLOOKUP(K33,EmAuto1,6)*VLOOKUP(ProjLoc,EmCost,6)+VLOOKUP(K33,EmAuto1,7)*VLOOKUP(ProjLoc,EmCost,7))+C33*M33*0.00000110231131*(VLOOKUP(K33,EmTruck1,2)*VLOOKUP(ProjLoc,EmCost,2)+VLOOKUP(K33,EmTruck1,3)*VLOOKUP(ProjLoc,EmCost,3)*(1+CO2Uprater)^($B33-YearCurrent)+VLOOKUP(K33,EmTruck1,4)*VLOOKUP(ProjLoc,EmCost,4)+VLOOKUP(K33,EmTruck1,5)*VLOOKUP(ProjLoc,EmCost,5)+VLOOKUP(K33,EmTruck1,6)*VLOOKUP(ProjLoc,EmCost,6)+VLOOKUP(K33,EmTruck1,7)*VLOOKUP(ProjLoc,EmCost,7)),0)</f>
        <v>28348.809585853338</v>
      </c>
      <c r="R33" s="802">
        <f>IF(INDEX(HwyTransitModelGroup,A18,1)=Hwy,D33*(1-N33)*0.00000110231131*(VLOOKUP(L33,EmAuto1,2)*VLOOKUP(ProjLoc,EmCost,2)+VLOOKUP(L33,EmAuto1,3)*VLOOKUP(ProjLoc,EmCost,3)*(1+CO2Uprater)^($B33-YearCurrent)+VLOOKUP(L33,EmAuto1,4)*VLOOKUP(ProjLoc,EmCost,4)+VLOOKUP(L33,EmAuto1,5)*VLOOKUP(ProjLoc,EmCost,5)+VLOOKUP(L33,EmAuto1,6)*VLOOKUP(ProjLoc,EmCost,6)+VLOOKUP(L33,EmAuto1,7)*VLOOKUP(ProjLoc,EmCost,7))+D33*N33*0.00000110231131*(VLOOKUP(L33,EmTruck1,2)*VLOOKUP(ProjLoc,EmCost,2)+VLOOKUP(L33,EmTruck1,3)*VLOOKUP(ProjLoc,EmCost,3)*(1+CO2Uprater)^($B33-YearCurrent)+VLOOKUP(L33,EmTruck1,4)*VLOOKUP(ProjLoc,EmCost,4)+VLOOKUP(L33,EmTruck1,5)*VLOOKUP(ProjLoc,EmCost,5)+VLOOKUP(L33,EmTruck1,6)*VLOOKUP(ProjLoc,EmCost,6)+VLOOKUP(L33,EmTruck1,7)*VLOOKUP(ProjLoc,EmCost,7)),0)</f>
        <v>28718.187672882723</v>
      </c>
      <c r="S33" s="729">
        <f>IF(INDEX(HwyTransitModelGroup,A18,1)=Hwy,O33*(1-M33)*0.00000110231131*(VLOOKUP(0,EmAuto1,2)*VLOOKUP(ProjLoc,EmCost,2)+VLOOKUP(0,EmAuto1,3)*VLOOKUP(ProjLoc,EmCost,3)*(1+CO2Uprater)^($B33-YearCurrent)+VLOOKUP(0,EmAuto1,4)*VLOOKUP(ProjLoc,EmCost,4)+VLOOKUP(0,EmAuto1,5)*VLOOKUP(ProjLoc,EmCost,5)+VLOOKUP(0,EmAuto1,6)*VLOOKUP(ProjLoc,EmCost,6)+VLOOKUP(0,EmAuto1,7)*VLOOKUP(ProjLoc,EmCost,7))+O33*M33*0.00000110231131*(VLOOKUP(0,EmTruck1,2)*VLOOKUP(ProjLoc,EmCost,2)+VLOOKUP(0,EmTruck1,3)*VLOOKUP(ProjLoc,EmCost,3)*(1+CO2Uprater)^($B33-YearCurrent)+VLOOKUP(0,EmTruck1,4)*VLOOKUP(ProjLoc,EmCost,4)+VLOOKUP(0,EmTruck1,5)*VLOOKUP(ProjLoc,EmCost,5)+VLOOKUP(0,EmTruck1,6)*VLOOKUP(ProjLoc,EmCost,6)+VLOOKUP(0,EmTruck1,7)*VLOOKUP(ProjLoc,EmCost,7)),0)</f>
        <v>0</v>
      </c>
      <c r="T33" s="802">
        <f>IF(INDEX(HwyTransitModelGroup,A18,1)=Hwy,P33*(1-N33)*0.00000110231131*(VLOOKUP(0,EmAuto1,2)*VLOOKUP(ProjLoc,EmCost,2)+VLOOKUP(0,EmAuto1,3)*VLOOKUP(ProjLoc,EmCost,3)*(1+CO2Uprater)^($B33-YearCurrent)+VLOOKUP(0,EmAuto1,4)*VLOOKUP(ProjLoc,EmCost,4)+VLOOKUP(0,EmAuto1,5)*VLOOKUP(ProjLoc,EmCost,5)+VLOOKUP(0,EmAuto1,6)*VLOOKUP(ProjLoc,EmCost,6)+VLOOKUP(0,EmAuto1,7)*VLOOKUP(ProjLoc,EmCost,7))+P33*N33*0.00000110231131*(VLOOKUP(0,EmTruck1,2)*VLOOKUP(ProjLoc,EmCost,2)+VLOOKUP(0,EmTruck1,3)*VLOOKUP(ProjLoc,EmCost,3)*(1+CO2Uprater)^($B33-YearCurrent)+VLOOKUP(0,EmTruck1,4)*VLOOKUP(ProjLoc,EmCost,4)+VLOOKUP(0,EmTruck1,5)*VLOOKUP(ProjLoc,EmCost,5)+VLOOKUP(0,EmTruck1,6)*VLOOKUP(ProjLoc,EmCost,6)+VLOOKUP(0,EmTruck1,7)*VLOOKUP(ProjLoc,EmCost,7)),0)</f>
        <v>0</v>
      </c>
      <c r="U33" s="729">
        <f>IF(INDEX(HwyTransitModelGroup,A18,1)=PARAMETERS!$J$9,C33*0.00000110231131*(VLOOKUP(K33,EmBus1,2)*VLOOKUP(ProjLoc,EmCost,2)+VLOOKUP(K33,EmBus1,3)*VLOOKUP(ProjLoc,EmCost,3)*(1+CO2Uprater)^($B33-YearCurrent)+VLOOKUP(K33,EmBus1,4)*VLOOKUP(ProjLoc,EmCost,4)+VLOOKUP(K33,EmBus1,5)*VLOOKUP(ProjLoc,EmCost,5)+VLOOKUP(K33,EmBus1,6)*VLOOKUP(ProjLoc,EmCost,6)+VLOOKUP(K33,EmBus1,7)*VLOOKUP(ProjLoc,EmCost,7)),0)</f>
        <v>0</v>
      </c>
      <c r="V33" s="802">
        <f>IF(INDEX(HwyTransitModelGroup,A18,1)=PARAMETERS!$J$9,D33*0.00000110231131*(VLOOKUP(L33,EmBus1,2)*VLOOKUP(ProjLoc,EmCost,2)+VLOOKUP(L33,EmBus1,3)*VLOOKUP(ProjLoc,EmCost,3)*(1+CO2Uprater)^($B33-YearCurrent)+VLOOKUP(L33,EmBus1,4)*VLOOKUP(ProjLoc,EmCost,4)+VLOOKUP(L33,EmBus1,5)*VLOOKUP(ProjLoc,EmCost,5)+VLOOKUP(L33,EmBus1,6)*VLOOKUP(ProjLoc,EmCost,6)+VLOOKUP(L33,EmBus1,7)*VLOOKUP(ProjLoc,EmCost,7)),0)</f>
        <v>0</v>
      </c>
      <c r="W33" s="808">
        <f>IF(INDEX(HwyTransitModelGroup,A18,1)=PARAMETERS!$J$10,C33*0.00000110231131*(PARAMETERS!$CQ$28*VLOOKUP(ProjLoc,EmCost,2)+PARAMETERS!$CR$28*VLOOKUP(ProjLoc,EmCost,3)*(1+CO2Uprater)^($B33-YearCurrent)+PARAMETERS!$CS$28*VLOOKUP(ProjLoc,EmCost,4)+PARAMETERS!$CT$28*VLOOKUP(ProjLoc,EmCost,5)+PARAMETERS!$CU$28*VLOOKUP(ProjLoc,EmCost,6)+PARAMETERS!$CV$28*VLOOKUP(ProjLoc,EmCost,7)),0)</f>
        <v>0</v>
      </c>
      <c r="X33" s="844">
        <f>IF(INDEX(HwyTransitModelGroup,A18,1)=PARAMETERS!$J$10,D33*0.00000110231131*(PARAMETERS!$CQ$28*VLOOKUP(ProjLoc,EmCost,2)+PARAMETERS!$CR$28*VLOOKUP(ProjLoc,EmCost,3)*(1+CO2Uprater)^($B33-YearCurrent)+PARAMETERS!$CS$28*VLOOKUP(ProjLoc,EmCost,4)+PARAMETERS!$CT$28*VLOOKUP(ProjLoc,EmCost,5)+PARAMETERS!$CU$28*VLOOKUP(ProjLoc,EmCost,6)+PARAMETERS!$CV$28*VLOOKUP(ProjLoc,EmCost,7)),0)</f>
        <v>0</v>
      </c>
      <c r="Y33" s="808">
        <f>IF(INDEX(HwyTransitModelGroup,A18,1)=PARAMETERS!$J$11,C33*0.00000110231131*(PARAMETERS!$CQ$36*VLOOKUP(ProjLoc,EmCost,2)+PARAMETERS!$CR$36*VLOOKUP(ProjLoc,EmCost,3)*(1+CO2Uprater)^($B33-YearCurrent)+PARAMETERS!$CS$36*VLOOKUP(ProjLoc,EmCost,4)+PARAMETERS!$CT$36*VLOOKUP(ProjLoc,EmCost,5)+PARAMETERS!$CU$36*VLOOKUP(ProjLoc,EmCost,6)+PARAMETERS!$CV$36*VLOOKUP(ProjLoc,EmCost,7)),0)</f>
        <v>0</v>
      </c>
      <c r="Z33" s="844">
        <f>IF(INDEX(HwyTransitModelGroup,A18,1)=PARAMETERS!$J$11,D33*0.00000110231131*(PARAMETERS!$CQ$36*VLOOKUP(ProjLoc,EmCost,2)+PARAMETERS!$CR$36*VLOOKUP(ProjLoc,EmCost,3)*(1+CO2Uprater)^($B33-YearCurrent)+PARAMETERS!$CS$36*VLOOKUP(ProjLoc,EmCost,4)+PARAMETERS!$CT$36*VLOOKUP(ProjLoc,EmCost,5)+PARAMETERS!$CU$36*VLOOKUP(ProjLoc,EmCost,6)+PARAMETERS!$CV$36*VLOOKUP(ProjLoc,EmCost,7)),0)</f>
        <v>0</v>
      </c>
      <c r="AA33" s="369">
        <f t="shared" si="4"/>
        <v>-369.37808702938491</v>
      </c>
      <c r="AB33" s="370">
        <f t="shared" si="5"/>
        <v>-249.53860034646991</v>
      </c>
      <c r="AC33" s="371"/>
      <c r="AD33" s="401">
        <f>IF(INDEX(HwyTransitModelGroup,A18,1)=Hwy,0.00000110231131*(C33*(1-M33)*VLOOKUP(K33,EmAuto1,2)-D33*(1-N33)*VLOOKUP(L33,EmAuto1,2)+(O33*(1-M33)-P33*(1-N33))*VLOOKUP(0,EmAuto1,2))+0.00000110231131*(C33*M33*VLOOKUP(K33,EmTruck1,2)-D33*N33*VLOOKUP(L33,EmTruck1,2)+(O33*M33-P33*N33)*VLOOKUP(0,EmTruck1,2)),0)</f>
        <v>-9.6615280771257285E-3</v>
      </c>
      <c r="AE33" s="863">
        <f>IF(INDEX(HwyTransitModelGroup,A18,1)=Hwy,0.00000110231131*(C33*(1-M33)*VLOOKUP(K33,EmAuto1,3)-D33*(1-N33)*VLOOKUP(L33,EmAuto1,3)+(O33*(1-M33)-P33*(1-N33))*VLOOKUP(0,EmAuto1,3))+0.00000110231131*(C33*M33*VLOOKUP(K33,EmTruck1,3)-D33*N33*VLOOKUP(L33,EmTruck1,3)+(O33*M33-P33*N33)*VLOOKUP(0,EmTruck1,3)),0)</f>
        <v>-5.2343248096192525</v>
      </c>
      <c r="AF33" s="861">
        <f>IF(INDEX(HwyTransitModelGroup,A18,1)=Hwy,0.00000110231131*(C33*(1-M33)*VLOOKUP(K33,EmAuto1,4)-D33*(1-N33)*VLOOKUP(L33,EmAuto1,4)+(O33*(1-M33)-P33*(1-N33))*VLOOKUP(0,EmAuto1,4))+0.00000110231131*(C33*M33*VLOOKUP(K33,EmTruck1,4)-D33*N33*VLOOKUP(L33,EmTruck1,4)+(O33*M33-P33*N33)*VLOOKUP(0,EmTruck1,4)),0)</f>
        <v>-3.6007361579525137E-3</v>
      </c>
      <c r="AG33" s="863">
        <f>IF(INDEX(HwyTransitModelGroup,A18,1)=Hwy,0.00000110231131*(C33*(1-M33)*VLOOKUP(K33,EmAuto1,5)-D33*(1-N33)*VLOOKUP(L33,EmAuto1,5)+(O33*(1-M33)-P33*(1-N33))*VLOOKUP(0,EmAuto1,5))+0.00000110231131*(C33*M33*VLOOKUP(K33,EmTruck1,5)-D33*N33*VLOOKUP(L33,EmTruck1,5)+(O33*M33-P33*N33)*VLOOKUP(0,EmTruck1,5)),0)</f>
        <v>-4.0697057987372648E-5</v>
      </c>
      <c r="AH33" s="861">
        <f>IF(INDEX(HwyTransitModelGroup,A18,1)=Hwy,0.00000110231131*(C33*(1-M33)*VLOOKUP(K33,EmAuto1,6)-D33*(1-N33)*VLOOKUP(L33,EmAuto1,6)+(O33*(1-M33)-P33*(1-N33))*VLOOKUP(0,EmAuto1,6))+0.00000110231131*(C33*M33*VLOOKUP(K33,EmTruck1,6)-D33*N33*VLOOKUP(L33,EmTruck1,6)+(O33*M33-P33*N33)*VLOOKUP(0,EmTruck1,6)),0)</f>
        <v>-5.0138775440443695E-5</v>
      </c>
      <c r="AI33" s="863">
        <f>IF(INDEX(HwyTransitModelGroup,A18,1)=Hwy,0.00000110231131*(C33*(1-M33)*VLOOKUP(K33,EmAuto1,7)-D33*(1-N33)*VLOOKUP(L33,EmAuto1,7)+(O33*(1-M33)-P33*(1-N33))*VLOOKUP(0,EmAuto1,7))+0.00000110231131*(C33*M33*VLOOKUP(K33,EmTruck1,7)-D33*N33*VLOOKUP(L33,EmTruck1,7)+(O33*M33-P33*N33)*VLOOKUP(0,EmTruck1,7)),0)</f>
        <v>-2.316243986024191E-4</v>
      </c>
      <c r="AJ33" s="861">
        <f>IF(INDEX(HwyTransitModelGroup,A18,1)=Hwy,0.00000110231131*(C33*(1-M33)*VLOOKUP(K33,EmAuto1,8)-D33*(1-N33)*VLOOKUP(L33,EmAuto1,8)+(O33*(1-M33)-P33*(1-N33))*VLOOKUP(0,EmAuto1,8))+0.00000110231131*(C33*M33*VLOOKUP(K33,EmTruck1,8)-D33*N33*VLOOKUP(L33,EmTruck1,8)+(O33*M33-P33*N33)*VLOOKUP(0,EmTruck1,8)),0)</f>
        <v>-3.8418022740079687E-5</v>
      </c>
      <c r="AK33" s="401">
        <f>IF(INDEX(HwyTransitModelGroup,A18,1)=PARAMETERS!$J$9,0.00000110231131*(C33*VLOOKUP(K33,EmBus1,2)-D33*VLOOKUP(L33,EmBus1,2)+(O33-P33)*VLOOKUP(0,EmBus1,2)),0)</f>
        <v>0</v>
      </c>
      <c r="AL33" s="863">
        <f>IF(INDEX(HwyTransitModelGroup,A18,1)=PARAMETERS!$J$9,0.00000110231131*(C33*VLOOKUP(K33,EmBus1,3)-D33*VLOOKUP(L33,EmBus1,3)+(O33-P33)*VLOOKUP(0,EmBus1,3)),0)</f>
        <v>0</v>
      </c>
      <c r="AM33" s="861">
        <f>IF(INDEX(HwyTransitModelGroup,A18,1)=PARAMETERS!$J$9,0.00000110231131*(C33*VLOOKUP(K33,EmBus1,4)-D33*VLOOKUP(L33,EmBus1,4)+(O33-P33)*VLOOKUP(0,EmBus1,4)),0)</f>
        <v>0</v>
      </c>
      <c r="AN33" s="863">
        <f>IF(INDEX(HwyTransitModelGroup,A18,1)=PARAMETERS!$J$9,0.00000110231131*(C33*VLOOKUP(K33,EmBus1,5)-D33*VLOOKUP(L33,EmBus1,5)+(O33-P33)*VLOOKUP(0,EmBus1,5)),0)</f>
        <v>0</v>
      </c>
      <c r="AO33" s="861">
        <f>IF(INDEX(HwyTransitModelGroup,A18,1)=PARAMETERS!$J$9,0.00000110231131*(C33*VLOOKUP(K33,EmBus1,6)-D33*VLOOKUP(L33,EmBus1,6)+(O33-P33)*VLOOKUP(0,EmBus1,6)),0)</f>
        <v>0</v>
      </c>
      <c r="AP33" s="863">
        <f>IF(INDEX(HwyTransitModelGroup,A18,1)=PARAMETERS!$J$9,0.00000110231131*(C33*VLOOKUP(K33,EmBus1,7)-D33*VLOOKUP(L33,EmBus1,7)+(O33-P33)*VLOOKUP(0,EmBus1,7)),0)</f>
        <v>0</v>
      </c>
      <c r="AQ33" s="861">
        <f>IF(INDEX(HwyTransitModelGroup,A18,1)=PARAMETERS!$J$9,0.00000110231131*(C33*VLOOKUP(K33,EmBus1,8)-D33*VLOOKUP(L33,EmBus1,8)+(O33-P33)*VLOOKUP(0,EmBus1,8)),0)</f>
        <v>0</v>
      </c>
      <c r="AR33" s="401">
        <f>IF(INDEX(HwyTransitModelGroup,A18,1)=PARAMETERS!$J$10,0.00000110231131*((C33-D33)*PARAMETERS!$CQ$28),0)</f>
        <v>0</v>
      </c>
      <c r="AS33" s="863">
        <f>IF(INDEX(HwyTransitModelGroup,A18,1)=PARAMETERS!$J$10,0.00000110231131*((C33-D33)*PARAMETERS!$CR$28),0)</f>
        <v>0</v>
      </c>
      <c r="AT33" s="861">
        <f>IF(INDEX(HwyTransitModelGroup,A18,1)=PARAMETERS!$J$10,0.00000110231131*((C33-D33)*PARAMETERS!$CS$28),0)</f>
        <v>0</v>
      </c>
      <c r="AU33" s="863">
        <f>IF(INDEX(HwyTransitModelGroup,A18,1)=PARAMETERS!$J$10,0.00000110231131*((C33-D33)*PARAMETERS!$CT$28),0)</f>
        <v>0</v>
      </c>
      <c r="AV33" s="861">
        <f>IF(INDEX(HwyTransitModelGroup,A18,1)=PARAMETERS!$J$10,0.00000110231131*((C33-D33)*PARAMETERS!$CU$28),0)</f>
        <v>0</v>
      </c>
      <c r="AW33" s="863">
        <f>IF(INDEX(HwyTransitModelGroup,A18,1)=PARAMETERS!$J$10,0.00000110231131*((C33-D33)*PARAMETERS!$CV$28),0)</f>
        <v>0</v>
      </c>
      <c r="AX33" s="861">
        <f>IF(INDEX(HwyTransitModelGroup,A18,1)=PARAMETERS!$J$10,0.00000110231131*((C33-D33)*PARAMETERS!$CW$28),0)</f>
        <v>0</v>
      </c>
      <c r="AY33" s="401">
        <f>IF(INDEX(HwyTransitModelGroup,A18,1)=PARAMETERS!$J$11,0.00000110231131*((C33-D33)*PARAMETERS!$CQ$36),0)</f>
        <v>0</v>
      </c>
      <c r="AZ33" s="863">
        <f>IF(INDEX(HwyTransitModelGroup,A18,1)=PARAMETERS!$J$11,0.00000110231131*((C33-D33)*PARAMETERS!$CR$36),0)</f>
        <v>0</v>
      </c>
      <c r="BA33" s="861">
        <f>IF(INDEX(HwyTransitModelGroup,A18,1)=PARAMETERS!$J$11,0.00000110231131*((C33-D33)*PARAMETERS!$CS$36),0)</f>
        <v>0</v>
      </c>
      <c r="BB33" s="863">
        <f>IF(INDEX(HwyTransitModelGroup,A18,1)=PARAMETERS!$J$11,0.00000110231131*((C33-D33)*PARAMETERS!$CT$36),0)</f>
        <v>0</v>
      </c>
      <c r="BC33" s="861">
        <f>IF(INDEX(HwyTransitModelGroup,A18,1)=PARAMETERS!$J$11,0.00000110231131*((C33-D33)*PARAMETERS!$CU$36),0)</f>
        <v>0</v>
      </c>
      <c r="BD33" s="863">
        <f>IF(INDEX(HwyTransitModelGroup,A18,1)=PARAMETERS!$J$11,0.00000110231131*((C33-D33)*PARAMETERS!$CV$36),0)</f>
        <v>0</v>
      </c>
      <c r="BE33" s="865">
        <f>IF(INDEX(HwyTransitModelGroup,A18,1)=PARAMETERS!$J$11,0.00000110231131*((C33-D33)*PARAMETERS!$CW$36),0)</f>
        <v>0</v>
      </c>
      <c r="BF33" s="729">
        <f t="shared" si="6"/>
        <v>-0.5221585748008446</v>
      </c>
      <c r="BG33" s="867">
        <f t="shared" si="7"/>
        <v>-206.90464028000778</v>
      </c>
      <c r="BH33" s="867">
        <f t="shared" si="8"/>
        <v>-36.731177778593661</v>
      </c>
      <c r="BI33" s="867">
        <f t="shared" si="9"/>
        <v>-3.208488433642815</v>
      </c>
      <c r="BJ33" s="867">
        <f t="shared" si="10"/>
        <v>-1.9984456492256355</v>
      </c>
      <c r="BK33" s="869">
        <f t="shared" si="11"/>
        <v>-0.17368963019699676</v>
      </c>
      <c r="BL33" s="392"/>
      <c r="BN33" s="375">
        <f t="shared" si="3"/>
        <v>2035</v>
      </c>
      <c r="BO33" s="376">
        <f t="shared" ca="1" si="1"/>
        <v>-427.97228033931611</v>
      </c>
      <c r="BP33" s="376">
        <f t="shared" ca="1" si="1"/>
        <v>-768.85100792481785</v>
      </c>
      <c r="BQ33" s="376">
        <f t="shared" ca="1" si="1"/>
        <v>182.14885929631669</v>
      </c>
      <c r="BR33" s="376">
        <f t="shared" ca="1" si="1"/>
        <v>-2998.3420125729749</v>
      </c>
      <c r="BS33" s="376">
        <f t="shared" ca="1" si="1"/>
        <v>40342.910614145476</v>
      </c>
      <c r="BT33" s="376">
        <f t="shared" ca="1" si="1"/>
        <v>50883.305083900836</v>
      </c>
      <c r="BV33" s="370">
        <f ca="1">IF(Emissions&lt;&gt;"N",SUM($BO33:BU33),0)</f>
        <v>87213.199256505526</v>
      </c>
      <c r="BW33" s="377"/>
      <c r="BX33" s="370">
        <f t="shared" ca="1" si="2"/>
        <v>145216.38756978948</v>
      </c>
      <c r="BZ33" s="401">
        <f ca="1">SUM($BO67:BU67)</f>
        <v>1.8322783635614095</v>
      </c>
      <c r="CA33" s="863">
        <f ca="1">SUM($BO101:BU101)</f>
        <v>2037.7511058174659</v>
      </c>
      <c r="CB33" s="861">
        <f ca="1">SUM($BO135:BU135)</f>
        <v>0.96438668462868615</v>
      </c>
      <c r="CC33" s="863">
        <f ca="1">SUM($BO169:BU169)</f>
        <v>2.3852236123211537E-2</v>
      </c>
      <c r="CD33" s="861">
        <f ca="1">SUM($BO203:BU203)</f>
        <v>1.9548428293809705E-2</v>
      </c>
      <c r="CE33" s="863">
        <f ca="1">SUM($BO237:BU237)</f>
        <v>3.6335798465213717E-2</v>
      </c>
      <c r="CF33" s="861">
        <f ca="1">SUM($BO271:BU271)</f>
        <v>2.2850680359345774E-2</v>
      </c>
      <c r="CG33" s="399">
        <f ca="1">SUM($BO305:BU305)</f>
        <v>88.033512299218955</v>
      </c>
      <c r="CH33" s="706">
        <f ca="1">SUM($BO339:BU339)</f>
        <v>75990.831543519758</v>
      </c>
      <c r="CI33" s="706">
        <f ca="1">SUM($BO373:BU373)</f>
        <v>8745.7033422000077</v>
      </c>
      <c r="CJ33" s="706">
        <f ca="1">SUM($BO407:BU407)</f>
        <v>1671.73157422647</v>
      </c>
      <c r="CK33" s="706">
        <f ca="1">SUM($BO441:BU441)</f>
        <v>692.67648801751875</v>
      </c>
      <c r="CL33" s="400">
        <f ca="1">SUM($BO475:BU475)</f>
        <v>24.222796242513716</v>
      </c>
    </row>
    <row r="34" spans="2:90" x14ac:dyDescent="0.25">
      <c r="B34" s="375">
        <f t="shared" si="12"/>
        <v>2033</v>
      </c>
      <c r="C34" s="401">
        <f>MAX(TREND(C24:C25,B24:B25,B34),0)</f>
        <v>819242.5</v>
      </c>
      <c r="D34" s="402">
        <f>MAX(TREND(D24:D25,B24:B25,B34),0)</f>
        <v>836233.25</v>
      </c>
      <c r="E34" s="401">
        <f>MAX(TREND(E24:E25,B24:B25,B34),0)</f>
        <v>19308.5</v>
      </c>
      <c r="F34" s="402">
        <f>MAX(TREND(F24:F25,B24:B25,B34),0)</f>
        <v>19837.75</v>
      </c>
      <c r="G34" s="401">
        <f>MAX(TREND(G24:G25,B24:B25,B34),0)</f>
        <v>0</v>
      </c>
      <c r="H34" s="402">
        <f>MAX(TREND(H24:H25,B24:B25,B34),0)</f>
        <v>0</v>
      </c>
      <c r="I34" s="401">
        <f>MAX(TREND(I24:I25,B24:B25,B34),0)</f>
        <v>0</v>
      </c>
      <c r="J34" s="402">
        <f>MAX(TREND(J24:J25,B24:B25,B34),0)</f>
        <v>0</v>
      </c>
      <c r="K34" s="435">
        <f>IFERROR(IF(INDEX(HwyTransitModelGroup,A18,1)=Hwy,MAX(5,ROUND(C34/E34,1)),MAX(5,ROUND(G34/I34,1))),55)</f>
        <v>42.4</v>
      </c>
      <c r="L34" s="436">
        <f>IFERROR(IF(INDEX(HwyTransitModelGroup,A18,1)=Hwy,MAX(5,ROUND(D34/F34,1)),MAX(5,ROUND(H34/J34,1))),55)</f>
        <v>42.2</v>
      </c>
      <c r="M34" s="405">
        <f>MIN(MAX(TREND(M24:M25,B24:B25,B34),0),1)</f>
        <v>0.24</v>
      </c>
      <c r="N34" s="406">
        <f>MIN(MAX(TREND(N24:N25,B24:B25,B34),0),1)</f>
        <v>0.24</v>
      </c>
      <c r="O34" s="401">
        <f>MAX(TREND(O24:O25,B24:B25,B34),0)</f>
        <v>0</v>
      </c>
      <c r="P34" s="402">
        <f>MAX(TREND(P24:P25,B24:B25,B34),0)</f>
        <v>0</v>
      </c>
      <c r="Q34" s="729">
        <f>IF(INDEX(HwyTransitModelGroup,A18,1)=Hwy,C34*(1-M34)*0.00000110231131*(VLOOKUP(K34,EmAuto20,2)*VLOOKUP(ProjLoc,EmCost,2)+VLOOKUP(K34,EmAuto20,3)*VLOOKUP(ProjLoc,EmCost,3)*(1+CO2Uprater)^($B34-YearCurrent)+VLOOKUP(K34,EmAuto20,4)*VLOOKUP(ProjLoc,EmCost,4)+VLOOKUP(K34,EmAuto20,5)*VLOOKUP(ProjLoc,EmCost,5)+VLOOKUP(K34,EmAuto20,6)*VLOOKUP(ProjLoc,EmCost,6)+VLOOKUP(K34,EmAuto20,7)*VLOOKUP(ProjLoc,EmCost,7))+C34*M34*0.00000110231131*(VLOOKUP(K34,EmTruck20,2)*VLOOKUP(ProjLoc,EmCost,2)+VLOOKUP(K34,EmTruck20,3)*VLOOKUP(ProjLoc,EmCost,3)*(1+CO2Uprater)^($B34-YearCurrent)+VLOOKUP(K34,EmTruck20,4)*VLOOKUP(ProjLoc,EmCost,4)+VLOOKUP(K34,EmTruck20,5)*VLOOKUP(ProjLoc,EmCost,5)+VLOOKUP(K34,EmTruck20,6)*VLOOKUP(ProjLoc,EmCost,6)+VLOOKUP(K34,EmTruck20,7)*VLOOKUP(ProjLoc,EmCost,7)),0)</f>
        <v>18848.256815046807</v>
      </c>
      <c r="R34" s="802">
        <f>IF(INDEX(HwyTransitModelGroup,A18,1)=Hwy,D34*(1-N34)*0.00000110231131*(VLOOKUP(L34,EmAuto20,2)*VLOOKUP(ProjLoc,EmCost,2)+VLOOKUP(L34,EmAuto20,3)*VLOOKUP(ProjLoc,EmCost,3)*(1+CO2Uprater)^($B34-YearCurrent)+VLOOKUP(L34,EmAuto20,4)*VLOOKUP(ProjLoc,EmCost,4)+VLOOKUP(L34,EmAuto20,5)*VLOOKUP(ProjLoc,EmCost,5)+VLOOKUP(L34,EmAuto20,6)*VLOOKUP(ProjLoc,EmCost,6)+VLOOKUP(L34,EmAuto20,7)*VLOOKUP(ProjLoc,EmCost,7))+D34*N34*0.00000110231131*(VLOOKUP(L34,EmTruck20,2)*VLOOKUP(ProjLoc,EmCost,2)+VLOOKUP(L34,EmTruck20,3)*VLOOKUP(ProjLoc,EmCost,3)*(1+CO2Uprater)^($B34-YearCurrent)+VLOOKUP(L34,EmTruck20,4)*VLOOKUP(ProjLoc,EmCost,4)+VLOOKUP(L34,EmTruck20,5)*VLOOKUP(ProjLoc,EmCost,5)+VLOOKUP(L34,EmTruck20,6)*VLOOKUP(ProjLoc,EmCost,6)+VLOOKUP(L34,EmTruck20,7)*VLOOKUP(ProjLoc,EmCost,7)),0)</f>
        <v>19239.161851687673</v>
      </c>
      <c r="S34" s="729">
        <f>IF(INDEX(HwyTransitModelGroup,A18,1)=Hwy,O34*(1-M34)*0.00000110231131*(VLOOKUP(0,EmAuto20,2)*VLOOKUP(ProjLoc,EmCost,2)+VLOOKUP(0,EmAuto20,3)*VLOOKUP(ProjLoc,EmCost,3)*(1+CO2Uprater)^($B34-YearCurrent)+VLOOKUP(0,EmAuto20,4)*VLOOKUP(ProjLoc,EmCost,4)+VLOOKUP(0,EmAuto20,5)*VLOOKUP(ProjLoc,EmCost,5)+VLOOKUP(0,EmAuto20,6)*VLOOKUP(ProjLoc,EmCost,6)+VLOOKUP(0,EmAuto20,7)*VLOOKUP(ProjLoc,EmCost,7))+O34*M34*0.00000110231131*(VLOOKUP(0,EmTruck20,2)*VLOOKUP(ProjLoc,EmCost,2)+VLOOKUP(0,EmTruck20,3)*VLOOKUP(ProjLoc,EmCost,3)*(1+CO2Uprater)^($B34-YearCurrent)+VLOOKUP(0,EmTruck20,4)*VLOOKUP(ProjLoc,EmCost,4)+VLOOKUP(0,EmTruck20,5)*VLOOKUP(ProjLoc,EmCost,5)+VLOOKUP(0,EmTruck20,6)*VLOOKUP(ProjLoc,EmCost,6)+VLOOKUP(0,EmTruck20,7)*VLOOKUP(ProjLoc,EmCost,7)),0)</f>
        <v>0</v>
      </c>
      <c r="T34" s="802">
        <f>IF(INDEX(HwyTransitModelGroup,A18,1)=Hwy,P34*(1-N34)*0.00000110231131*(VLOOKUP(0,EmAuto20,2)*VLOOKUP(ProjLoc,EmCost,2)+VLOOKUP(0,EmAuto20,3)*VLOOKUP(ProjLoc,EmCost,3)*(1+CO2Uprater)^($B34-YearCurrent)+VLOOKUP(0,EmAuto20,4)*VLOOKUP(ProjLoc,EmCost,4)+VLOOKUP(0,EmAuto20,5)*VLOOKUP(ProjLoc,EmCost,5)+VLOOKUP(0,EmAuto20,6)*VLOOKUP(ProjLoc,EmCost,6)+VLOOKUP(0,EmAuto20,7)*VLOOKUP(ProjLoc,EmCost,7))+P34*N34*0.00000110231131*(VLOOKUP(0,EmTruck20,2)*VLOOKUP(ProjLoc,EmCost,2)+VLOOKUP(0,EmTruck20,3)*VLOOKUP(ProjLoc,EmCost,3)*(1+CO2Uprater)^($B34-YearCurrent)+VLOOKUP(0,EmTruck20,4)*VLOOKUP(ProjLoc,EmCost,4)+VLOOKUP(0,EmTruck20,5)*VLOOKUP(ProjLoc,EmCost,5)+VLOOKUP(0,EmTruck20,6)*VLOOKUP(ProjLoc,EmCost,6)+VLOOKUP(0,EmTruck20,7)*VLOOKUP(ProjLoc,EmCost,7)),0)</f>
        <v>0</v>
      </c>
      <c r="U34" s="729">
        <f>IF(INDEX(HwyTransitModelGroup,A18,1)=PARAMETERS!$J$9,C34*0.00000110231131*(VLOOKUP(K34,EmBus20,2)*VLOOKUP(ProjLoc,EmCost,2)+VLOOKUP(K34,EmBus20,3)*VLOOKUP(ProjLoc,EmCost,3)*(1+CO2Uprater)^($B34-YearCurrent)+VLOOKUP(K34,EmBus20,4)*VLOOKUP(ProjLoc,EmCost,4)+VLOOKUP(K34,EmBus20,5)*VLOOKUP(ProjLoc,EmCost,5)+VLOOKUP(K34,EmBus20,6)*VLOOKUP(ProjLoc,EmCost,6)+VLOOKUP(K34,EmBus20,7)*VLOOKUP(ProjLoc,EmCost,7)),0)</f>
        <v>0</v>
      </c>
      <c r="V34" s="802">
        <f>IF(INDEX(HwyTransitModelGroup,A18,1)=PARAMETERS!$J$9,D34*0.00000110231131*(VLOOKUP(L34,EmBus20,2)*VLOOKUP(ProjLoc,EmCost,2)+VLOOKUP(L34,EmBus20,3)*VLOOKUP(ProjLoc,EmCost,3)*(1+CO2Uprater)^($B34-YearCurrent)+VLOOKUP(L34,EmBus20,4)*VLOOKUP(ProjLoc,EmCost,4)+VLOOKUP(L34,EmBus20,5)*VLOOKUP(ProjLoc,EmCost,5)+VLOOKUP(L34,EmBus20,6)*VLOOKUP(ProjLoc,EmCost,6)+VLOOKUP(L34,EmBus20,7)*VLOOKUP(ProjLoc,EmCost,7)),0)</f>
        <v>0</v>
      </c>
      <c r="W34" s="808">
        <f>IF(INDEX(HwyTransitModelGroup,A18,1)=PARAMETERS!$J$10,C34*0.00000110231131*(PARAMETERS!$CQ$29*VLOOKUP(ProjLoc,EmCost,2)+PARAMETERS!$CR$29*VLOOKUP(ProjLoc,EmCost,3)*(1+CO2Uprater)^($B34-YearCurrent)+PARAMETERS!$CS$29*VLOOKUP(ProjLoc,EmCost,4)+PARAMETERS!$CT$29*VLOOKUP(ProjLoc,EmCost,5)+PARAMETERS!$CU$29*VLOOKUP(ProjLoc,EmCost,6)+PARAMETERS!$CV$29*VLOOKUP(ProjLoc,EmCost,7)),0)</f>
        <v>0</v>
      </c>
      <c r="X34" s="844">
        <f>IF(INDEX(HwyTransitModelGroup,A18,1)=PARAMETERS!$J$10,D34*0.00000110231131*(PARAMETERS!$CQ$29*VLOOKUP(ProjLoc,EmCost,2)+PARAMETERS!$CR$29*VLOOKUP(ProjLoc,EmCost,3)*(1+CO2Uprater)^($B34-YearCurrent)+PARAMETERS!$CS$29*VLOOKUP(ProjLoc,EmCost,4)+PARAMETERS!$CT$29*VLOOKUP(ProjLoc,EmCost,5)+PARAMETERS!$CU$29*VLOOKUP(ProjLoc,EmCost,6)+PARAMETERS!$CV$29*VLOOKUP(ProjLoc,EmCost,7)),0)</f>
        <v>0</v>
      </c>
      <c r="Y34" s="808">
        <f>IF(INDEX(HwyTransitModelGroup,A18,1)=PARAMETERS!$J$11,C34*0.00000110231131*(PARAMETERS!$CQ$37*VLOOKUP(ProjLoc,EmCost,2)+PARAMETERS!$CR$37*VLOOKUP(ProjLoc,EmCost,3)*(1+CO2Uprater)^($B34-YearCurrent)+PARAMETERS!$CS$37*VLOOKUP(ProjLoc,EmCost,4)+PARAMETERS!$CT$37*VLOOKUP(ProjLoc,EmCost,5)+PARAMETERS!$CU$37*VLOOKUP(ProjLoc,EmCost,6)+PARAMETERS!$CV$37*VLOOKUP(ProjLoc,EmCost,7)),0)</f>
        <v>0</v>
      </c>
      <c r="Z34" s="844">
        <f>IF(INDEX(HwyTransitModelGroup,A18,1)=PARAMETERS!$J$11,D34*0.00000110231131*(PARAMETERS!$CQ$37*VLOOKUP(ProjLoc,EmCost,2)+PARAMETERS!$CR$37*VLOOKUP(ProjLoc,EmCost,3)*(1+CO2Uprater)^($B34-YearCurrent)+PARAMETERS!$CS$37*VLOOKUP(ProjLoc,EmCost,4)+PARAMETERS!$CT$37*VLOOKUP(ProjLoc,EmCost,5)+PARAMETERS!$CU$37*VLOOKUP(ProjLoc,EmCost,6)+PARAMETERS!$CV$37*VLOOKUP(ProjLoc,EmCost,7)),0)</f>
        <v>0</v>
      </c>
      <c r="AA34" s="369">
        <f t="shared" si="4"/>
        <v>-390.90503664086646</v>
      </c>
      <c r="AB34" s="370">
        <f t="shared" si="5"/>
        <v>-253.92445785394739</v>
      </c>
      <c r="AC34" s="371"/>
      <c r="AD34" s="401">
        <f>IF(INDEX(HwyTransitModelGroup,A18,1)=Hwy,0.00000110231131*(C34*(1-M34)*VLOOKUP(K34,EmAuto20,2)-D34*(1-N34)*VLOOKUP(L34,EmAuto20,2)+(O34*(1-M34)-P34*(1-N34))*VLOOKUP(0,EmAuto20,2))+0.00000110231131*(C34*M34*VLOOKUP(K34,EmTruck20,2)-D34*N34*VLOOKUP(L34,EmTruck20,2)+(O34*M34-P34*N34)*VLOOKUP(0,EmTruck20,2)),0)</f>
        <v>-8.2260436642066746E-3</v>
      </c>
      <c r="AE34" s="863">
        <f>IF(INDEX(HwyTransitModelGroup,A18,1)=Hwy,0.00000110231131*(C34*(1-M34)*VLOOKUP(K34,EmAuto20,3)-D34*(1-N34)*VLOOKUP(L34,EmAuto20,3)+(O34*(1-M34)-P34*(1-N34))*VLOOKUP(0,EmAuto20,3))+0.00000110231131*(C34*M34*VLOOKUP(K34,EmTruck20,3)-D34*N34*VLOOKUP(L34,EmTruck20,3)+(O34*M34-P34*N34)*VLOOKUP(0,EmTruck20,3)),0)</f>
        <v>-5.9598853169851296</v>
      </c>
      <c r="AF34" s="861">
        <f>IF(INDEX(HwyTransitModelGroup,A18,1)=Hwy,0.00000110231131*(C34*(1-M34)*VLOOKUP(K34,EmAuto20,4)-D34*(1-N34)*VLOOKUP(L34,EmAuto20,4)+(O34*(1-M34)-P34*(1-N34))*VLOOKUP(0,EmAuto20,4))+0.00000110231131*(C34*M34*VLOOKUP(K34,EmTruck20,4)-D34*N34*VLOOKUP(L34,EmTruck20,4)+(O34*M34-P34*N34)*VLOOKUP(0,EmTruck20,4)),0)</f>
        <v>-1.8533564129286826E-3</v>
      </c>
      <c r="AG34" s="863">
        <f>IF(INDEX(HwyTransitModelGroup,A18,1)=Hwy,0.00000110231131*(C34*(1-M34)*VLOOKUP(K34,EmAuto20,5)-D34*(1-N34)*VLOOKUP(L34,EmAuto20,5)+(O34*(1-M34)-P34*(1-N34))*VLOOKUP(0,EmAuto20,5))+0.00000110231131*(C34*M34*VLOOKUP(K34,EmTruck20,5)-D34*N34*VLOOKUP(L34,EmTruck20,5)+(O34*M34-P34*N34)*VLOOKUP(0,EmTruck20,5)),0)</f>
        <v>-2.6370567013658533E-5</v>
      </c>
      <c r="AH34" s="861">
        <f>IF(INDEX(HwyTransitModelGroup,A18,1)=Hwy,0.00000110231131*(C34*(1-M34)*VLOOKUP(K34,EmAuto20,6)-D34*(1-N34)*VLOOKUP(L34,EmAuto20,6)+(O34*(1-M34)-P34*(1-N34))*VLOOKUP(0,EmAuto20,6))+0.00000110231131*(C34*M34*VLOOKUP(K34,EmTruck20,6)-D34*N34*VLOOKUP(L34,EmTruck20,6)+(O34*M34-P34*N34)*VLOOKUP(0,EmTruck20,6)),0)</f>
        <v>-5.6936451506762681E-5</v>
      </c>
      <c r="AI34" s="863">
        <f>IF(INDEX(HwyTransitModelGroup,A18,1)=Hwy,0.00000110231131*(C34*(1-M34)*VLOOKUP(K34,EmAuto20,7)-D34*(1-N34)*VLOOKUP(L34,EmAuto20,7)+(O34*(1-M34)-P34*(1-N34))*VLOOKUP(0,EmAuto20,7))+0.00000110231131*(C34*M34*VLOOKUP(K34,EmTruck20,7)-D34*N34*VLOOKUP(L34,EmTruck20,7)+(O34*M34-P34*N34)*VLOOKUP(0,EmTruck20,7)),0)</f>
        <v>-1.1432240131489455E-4</v>
      </c>
      <c r="AJ34" s="861">
        <f>IF(INDEX(HwyTransitModelGroup,A18,1)=Hwy,0.00000110231131*(C34*(1-M34)*VLOOKUP(K34,EmAuto20,8)-D34*(1-N34)*VLOOKUP(L34,EmAuto20,8)+(O34*(1-M34)-P34*(1-N34))*VLOOKUP(0,EmAuto20,8))+0.00000110231131*(C34*M34*VLOOKUP(K34,EmTruck20,8)-D34*N34*VLOOKUP(L34,EmTruck20,8)+(O34*M34-P34*N34)*VLOOKUP(0,EmTruck20,8)),0)</f>
        <v>-2.5471570410920158E-5</v>
      </c>
      <c r="AK34" s="401">
        <f>IF(INDEX(HwyTransitModelGroup,A18,1)=PARAMETERS!$J$9,0.00000110231131*(C34*VLOOKUP(K34,EmBus20,2)-D34*VLOOKUP(L34,EmBus20,2)+(O34-P34)*VLOOKUP(0,EmBus20,2)),0)</f>
        <v>0</v>
      </c>
      <c r="AL34" s="863">
        <f>IF(INDEX(HwyTransitModelGroup,A18,1)=PARAMETERS!$J$9,0.00000110231131*(C34*VLOOKUP(K34,EmBus20,3)-D34*VLOOKUP(L34,EmBus20,3)+(O34-P34)*VLOOKUP(0,EmBus20,3)),0)</f>
        <v>0</v>
      </c>
      <c r="AM34" s="861">
        <f>IF(INDEX(HwyTransitModelGroup,A18,1)=PARAMETERS!$J$9,0.00000110231131*(C34*VLOOKUP(K34,EmBus20,4)-D34*VLOOKUP(L34,EmBus20,4)+(O34-P34)*VLOOKUP(0,EmBus20,4)),0)</f>
        <v>0</v>
      </c>
      <c r="AN34" s="863">
        <f>IF(INDEX(HwyTransitModelGroup,A18,1)=PARAMETERS!$J$9,0.00000110231131*(C34*VLOOKUP(K34,EmBus20,5)-D34*VLOOKUP(L34,EmBus20,5)+(O34-P34)*VLOOKUP(0,EmBus20,5)),0)</f>
        <v>0</v>
      </c>
      <c r="AO34" s="861">
        <f>IF(INDEX(HwyTransitModelGroup,A18,1)=PARAMETERS!$J$9,0.00000110231131*(C34*VLOOKUP(K34,EmBus20,6)-D34*VLOOKUP(L34,EmBus20,6)+(O34-P34)*VLOOKUP(0,EmBus20,6)),0)</f>
        <v>0</v>
      </c>
      <c r="AP34" s="863">
        <f>IF(INDEX(HwyTransitModelGroup,A18,1)=PARAMETERS!$J$9,0.00000110231131*(C34*VLOOKUP(K34,EmBus20,7)-D34*VLOOKUP(L34,EmBus20,7)+(O34-P34)*VLOOKUP(0,EmBus20,7)),0)</f>
        <v>0</v>
      </c>
      <c r="AQ34" s="861">
        <f>IF(INDEX(HwyTransitModelGroup,A18,1)=PARAMETERS!$J$9,0.00000110231131*(C34*VLOOKUP(K34,EmBus20,8)-D34*VLOOKUP(L34,EmBus20,8)+(O34-P34)*VLOOKUP(0,EmBus20,8)),0)</f>
        <v>0</v>
      </c>
      <c r="AR34" s="401">
        <f>IF(INDEX(HwyTransitModelGroup,A18,1)=PARAMETERS!$J$10,0.00000110231131*((C34-D34)*PARAMETERS!$CQ$29),0)</f>
        <v>0</v>
      </c>
      <c r="AS34" s="863">
        <f>IF(INDEX(HwyTransitModelGroup,A18,1)=PARAMETERS!$J$10,0.00000110231131*((C34-D34)*PARAMETERS!$CR$29),0)</f>
        <v>0</v>
      </c>
      <c r="AT34" s="861">
        <f>IF(INDEX(HwyTransitModelGroup,A18,1)=PARAMETERS!$J$10,0.00000110231131*((C34-D34)*PARAMETERS!$CS$29),0)</f>
        <v>0</v>
      </c>
      <c r="AU34" s="863">
        <f>IF(INDEX(HwyTransitModelGroup,A18,1)=PARAMETERS!$J$10,0.00000110231131*((C34-D34)*PARAMETERS!$CT$29),0)</f>
        <v>0</v>
      </c>
      <c r="AV34" s="861">
        <f>IF(INDEX(HwyTransitModelGroup,A18,1)=PARAMETERS!$J$10,0.00000110231131*((C34-D34)*PARAMETERS!$CU$29),0)</f>
        <v>0</v>
      </c>
      <c r="AW34" s="863">
        <f>IF(INDEX(HwyTransitModelGroup,A18,1)=PARAMETERS!$J$10,0.00000110231131*((C34-D34)*PARAMETERS!$CV$29),0)</f>
        <v>0</v>
      </c>
      <c r="AX34" s="861">
        <f>IF(INDEX(HwyTransitModelGroup,A18,1)=PARAMETERS!$J$10,0.00000110231131*((C34-D34)*PARAMETERS!$CW$29),0)</f>
        <v>0</v>
      </c>
      <c r="AY34" s="401">
        <f>IF(INDEX(HwyTransitModelGroup,A18,1)=PARAMETERS!$J$11,0.00000110231131*((C34-D34)*PARAMETERS!$CQ$37),0)</f>
        <v>0</v>
      </c>
      <c r="AZ34" s="863">
        <f>IF(INDEX(HwyTransitModelGroup,A18,1)=PARAMETERS!$J$11,0.00000110231131*((C34-D34)*PARAMETERS!$CR$37),0)</f>
        <v>0</v>
      </c>
      <c r="BA34" s="861">
        <f>IF(INDEX(HwyTransitModelGroup,A18,1)=PARAMETERS!$J$11,0.00000110231131*((C34-D34)*PARAMETERS!$CS$37),0)</f>
        <v>0</v>
      </c>
      <c r="BB34" s="863">
        <f>IF(INDEX(HwyTransitModelGroup,A18,1)=PARAMETERS!$J$11,0.00000110231131*((C34-D34)*PARAMETERS!$CT$37),0)</f>
        <v>0</v>
      </c>
      <c r="BC34" s="861">
        <f>IF(INDEX(HwyTransitModelGroup,A18,1)=PARAMETERS!$J$11,0.00000110231131*((C34-D34)*PARAMETERS!$CU$37),0)</f>
        <v>0</v>
      </c>
      <c r="BD34" s="863">
        <f>IF(INDEX(HwyTransitModelGroup,A18,1)=PARAMETERS!$J$11,0.00000110231131*((C34-D34)*PARAMETERS!$CV$37),0)</f>
        <v>0</v>
      </c>
      <c r="BE34" s="865">
        <f>IF(INDEX(HwyTransitModelGroup,A18,1)=PARAMETERS!$J$11,0.00000110231131*((C34-D34)*PARAMETERS!$CW$37),0)</f>
        <v>0</v>
      </c>
      <c r="BF34" s="729">
        <f t="shared" si="6"/>
        <v>-0.42747848851803916</v>
      </c>
      <c r="BG34" s="867">
        <f t="shared" si="7"/>
        <v>-231.05442879475936</v>
      </c>
      <c r="BH34" s="867">
        <f t="shared" si="8"/>
        <v>-18.178965276957452</v>
      </c>
      <c r="BI34" s="867">
        <f t="shared" si="9"/>
        <v>-1.9990497006843404</v>
      </c>
      <c r="BJ34" s="867">
        <f t="shared" si="10"/>
        <v>-2.1821051593705141</v>
      </c>
      <c r="BK34" s="869">
        <f t="shared" si="11"/>
        <v>-8.2430433658593635E-2</v>
      </c>
      <c r="BL34" s="392"/>
      <c r="BN34" s="375">
        <f t="shared" si="3"/>
        <v>2036</v>
      </c>
      <c r="BO34" s="376">
        <f t="shared" ca="1" si="1"/>
        <v>-509.38537069150505</v>
      </c>
      <c r="BP34" s="376">
        <f t="shared" ca="1" si="1"/>
        <v>-764.48847540140071</v>
      </c>
      <c r="BQ34" s="376">
        <f t="shared" ca="1" si="1"/>
        <v>178.54232156165281</v>
      </c>
      <c r="BR34" s="376">
        <f t="shared" ca="1" si="1"/>
        <v>-2951.7540177529445</v>
      </c>
      <c r="BS34" s="376">
        <f t="shared" ca="1" si="1"/>
        <v>40930.559358731822</v>
      </c>
      <c r="BT34" s="376">
        <f t="shared" ca="1" si="1"/>
        <v>50967.802055747343</v>
      </c>
      <c r="BV34" s="370">
        <f ca="1">IF(Emissions&lt;&gt;"N",SUM($BO34:BU34),0)</f>
        <v>87851.275872194965</v>
      </c>
      <c r="BW34" s="377"/>
      <c r="BX34" s="370">
        <f t="shared" ca="1" si="2"/>
        <v>152129.98531973656</v>
      </c>
      <c r="BZ34" s="401">
        <f ca="1">SUM($BO68:BU68)</f>
        <v>1.8804546658704049</v>
      </c>
      <c r="CA34" s="863">
        <f ca="1">SUM($BO102:BU102)</f>
        <v>2097.7909069186394</v>
      </c>
      <c r="CB34" s="861">
        <f ca="1">SUM($BO136:BU136)</f>
        <v>0.99419161693974534</v>
      </c>
      <c r="CC34" s="863">
        <f ca="1">SUM($BO170:BU170)</f>
        <v>2.4634322289481269E-2</v>
      </c>
      <c r="CD34" s="861">
        <f ca="1">SUM($BO204:BU204)</f>
        <v>2.0125402092510368E-2</v>
      </c>
      <c r="CE34" s="863">
        <f ca="1">SUM($BO238:BU238)</f>
        <v>3.7373825954752735E-2</v>
      </c>
      <c r="CF34" s="861">
        <f ca="1">SUM($BO272:BU272)</f>
        <v>2.3600328133877E-2</v>
      </c>
      <c r="CG34" s="399">
        <f ca="1">SUM($BO306:BU306)</f>
        <v>86.873257113293064</v>
      </c>
      <c r="CH34" s="706">
        <f ca="1">SUM($BO340:BU340)</f>
        <v>76725.387489765766</v>
      </c>
      <c r="CI34" s="706">
        <f ca="1">SUM($BO374:BU374)</f>
        <v>8669.2253836286691</v>
      </c>
      <c r="CJ34" s="706">
        <f ca="1">SUM($BO408:BU408)</f>
        <v>1660.1400424208255</v>
      </c>
      <c r="CK34" s="706">
        <f ca="1">SUM($BO442:BU442)</f>
        <v>685.69317617147954</v>
      </c>
      <c r="CL34" s="400">
        <f ca="1">SUM($BO476:BU476)</f>
        <v>23.956523094833337</v>
      </c>
    </row>
    <row r="35" spans="2:90" x14ac:dyDescent="0.25">
      <c r="B35" s="375">
        <f t="shared" si="12"/>
        <v>2034</v>
      </c>
      <c r="C35" s="401">
        <f>MAX(TREND(C24:C25,B24:B25,B35),0)</f>
        <v>828915</v>
      </c>
      <c r="D35" s="402">
        <f>MAX(TREND(D24:D25,B24:B25,B35),0)</f>
        <v>852348</v>
      </c>
      <c r="E35" s="401">
        <f>MAX(TREND(E24:E25,B24:B25,B35),0)</f>
        <v>19564</v>
      </c>
      <c r="F35" s="402">
        <f>MAX(TREND(F24:F25,B24:B25,B35),0)</f>
        <v>20221</v>
      </c>
      <c r="G35" s="401">
        <f>MAX(TREND(G24:G25,B24:B25,B35),0)</f>
        <v>0</v>
      </c>
      <c r="H35" s="402">
        <f>MAX(TREND(H24:H25,B24:B25,B35),0)</f>
        <v>0</v>
      </c>
      <c r="I35" s="401">
        <f>MAX(TREND(I24:I25,B24:B25,B35),0)</f>
        <v>0</v>
      </c>
      <c r="J35" s="402">
        <f>MAX(TREND(J24:J25,B24:B25,B35),0)</f>
        <v>0</v>
      </c>
      <c r="K35" s="435">
        <f>IFERROR(IF(INDEX(HwyTransitModelGroup,A18,1)=Hwy,MAX(5,ROUND(C35/E35,1)),MAX(5,ROUND(G35/I35,1))),55)</f>
        <v>42.4</v>
      </c>
      <c r="L35" s="436">
        <f>IFERROR(IF(INDEX(HwyTransitModelGroup,A18,1)=Hwy,MAX(5,ROUND(D35/F35,1)),MAX(5,ROUND(H35/J35,1))),55)</f>
        <v>42.2</v>
      </c>
      <c r="M35" s="405">
        <f>MIN(MAX(TREND(M24:M25,B24:B25,B35),0),1)</f>
        <v>0.24</v>
      </c>
      <c r="N35" s="406">
        <f>MIN(MAX(TREND(N24:N25,B24:B25,B35),0),1)</f>
        <v>0.24</v>
      </c>
      <c r="O35" s="401">
        <f>MAX(TREND(O24:O25,B24:B25,B35),0)</f>
        <v>0</v>
      </c>
      <c r="P35" s="402">
        <f>MAX(TREND(P24:P25,B24:B25,B35),0)</f>
        <v>0</v>
      </c>
      <c r="Q35" s="729">
        <f>IF(INDEX(HwyTransitModelGroup,A18,1)=Hwy,C35*(1-M35)*0.00000110231131*(VLOOKUP(K35,EmAuto20,2)*VLOOKUP(ProjLoc,EmCost,2)+VLOOKUP(K35,EmAuto20,3)*VLOOKUP(ProjLoc,EmCost,3)*(1+CO2Uprater)^($B35-YearCurrent)+VLOOKUP(K35,EmAuto20,4)*VLOOKUP(ProjLoc,EmCost,4)+VLOOKUP(K35,EmAuto20,5)*VLOOKUP(ProjLoc,EmCost,5)+VLOOKUP(K35,EmAuto20,6)*VLOOKUP(ProjLoc,EmCost,6)+VLOOKUP(K35,EmAuto20,7)*VLOOKUP(ProjLoc,EmCost,7))+C35*M35*0.00000110231131*(VLOOKUP(K35,EmTruck20,2)*VLOOKUP(ProjLoc,EmCost,2)+VLOOKUP(K35,EmTruck20,3)*VLOOKUP(ProjLoc,EmCost,3)*(1+CO2Uprater)^($B35-YearCurrent)+VLOOKUP(K35,EmTruck20,4)*VLOOKUP(ProjLoc,EmCost,4)+VLOOKUP(K35,EmTruck20,5)*VLOOKUP(ProjLoc,EmCost,5)+VLOOKUP(K35,EmTruck20,6)*VLOOKUP(ProjLoc,EmCost,6)+VLOOKUP(K35,EmTruck20,7)*VLOOKUP(ProjLoc,EmCost,7)),0)</f>
        <v>19417.854494730705</v>
      </c>
      <c r="R35" s="802">
        <f>IF(INDEX(HwyTransitModelGroup,A18,1)=Hwy,D35*(1-N35)*0.00000110231131*(VLOOKUP(L35,EmAuto20,2)*VLOOKUP(ProjLoc,EmCost,2)+VLOOKUP(L35,EmAuto20,3)*VLOOKUP(ProjLoc,EmCost,3)*(1+CO2Uprater)^($B35-YearCurrent)+VLOOKUP(L35,EmAuto20,4)*VLOOKUP(ProjLoc,EmCost,4)+VLOOKUP(L35,EmAuto20,5)*VLOOKUP(ProjLoc,EmCost,5)+VLOOKUP(L35,EmAuto20,6)*VLOOKUP(ProjLoc,EmCost,6)+VLOOKUP(L35,EmAuto20,7)*VLOOKUP(ProjLoc,EmCost,7))+D35*N35*0.00000110231131*(VLOOKUP(L35,EmTruck20,2)*VLOOKUP(ProjLoc,EmCost,2)+VLOOKUP(L35,EmTruck20,3)*VLOOKUP(ProjLoc,EmCost,3)*(1+CO2Uprater)^($B35-YearCurrent)+VLOOKUP(L35,EmTruck20,4)*VLOOKUP(ProjLoc,EmCost,4)+VLOOKUP(L35,EmTruck20,5)*VLOOKUP(ProjLoc,EmCost,5)+VLOOKUP(L35,EmTruck20,6)*VLOOKUP(ProjLoc,EmCost,6)+VLOOKUP(L35,EmTruck20,7)*VLOOKUP(ProjLoc,EmCost,7)),0)</f>
        <v>19966.787237382272</v>
      </c>
      <c r="S35" s="729">
        <f>IF(INDEX(HwyTransitModelGroup,A18,1)=Hwy,O35*(1-M35)*0.00000110231131*(VLOOKUP(0,EmAuto20,2)*VLOOKUP(ProjLoc,EmCost,2)+VLOOKUP(0,EmAuto20,3)*VLOOKUP(ProjLoc,EmCost,3)*(1+CO2Uprater)^($B35-YearCurrent)+VLOOKUP(0,EmAuto20,4)*VLOOKUP(ProjLoc,EmCost,4)+VLOOKUP(0,EmAuto20,5)*VLOOKUP(ProjLoc,EmCost,5)+VLOOKUP(0,EmAuto20,6)*VLOOKUP(ProjLoc,EmCost,6)+VLOOKUP(0,EmAuto20,7)*VLOOKUP(ProjLoc,EmCost,7))+O35*M35*0.00000110231131*(VLOOKUP(0,EmTruck20,2)*VLOOKUP(ProjLoc,EmCost,2)+VLOOKUP(0,EmTruck20,3)*VLOOKUP(ProjLoc,EmCost,3)*(1+CO2Uprater)^($B35-YearCurrent)+VLOOKUP(0,EmTruck20,4)*VLOOKUP(ProjLoc,EmCost,4)+VLOOKUP(0,EmTruck20,5)*VLOOKUP(ProjLoc,EmCost,5)+VLOOKUP(0,EmTruck20,6)*VLOOKUP(ProjLoc,EmCost,6)+VLOOKUP(0,EmTruck20,7)*VLOOKUP(ProjLoc,EmCost,7)),0)</f>
        <v>0</v>
      </c>
      <c r="T35" s="802">
        <f>IF(INDEX(HwyTransitModelGroup,A18,1)=Hwy,P35*(1-N35)*0.00000110231131*(VLOOKUP(0,EmAuto20,2)*VLOOKUP(ProjLoc,EmCost,2)+VLOOKUP(0,EmAuto20,3)*VLOOKUP(ProjLoc,EmCost,3)*(1+CO2Uprater)^($B35-YearCurrent)+VLOOKUP(0,EmAuto20,4)*VLOOKUP(ProjLoc,EmCost,4)+VLOOKUP(0,EmAuto20,5)*VLOOKUP(ProjLoc,EmCost,5)+VLOOKUP(0,EmAuto20,6)*VLOOKUP(ProjLoc,EmCost,6)+VLOOKUP(0,EmAuto20,7)*VLOOKUP(ProjLoc,EmCost,7))+P35*N35*0.00000110231131*(VLOOKUP(0,EmTruck20,2)*VLOOKUP(ProjLoc,EmCost,2)+VLOOKUP(0,EmTruck20,3)*VLOOKUP(ProjLoc,EmCost,3)*(1+CO2Uprater)^($B35-YearCurrent)+VLOOKUP(0,EmTruck20,4)*VLOOKUP(ProjLoc,EmCost,4)+VLOOKUP(0,EmTruck20,5)*VLOOKUP(ProjLoc,EmCost,5)+VLOOKUP(0,EmTruck20,6)*VLOOKUP(ProjLoc,EmCost,6)+VLOOKUP(0,EmTruck20,7)*VLOOKUP(ProjLoc,EmCost,7)),0)</f>
        <v>0</v>
      </c>
      <c r="U35" s="729">
        <f>IF(INDEX(HwyTransitModelGroup,A18,1)=PARAMETERS!$J$9,C35*0.00000110231131*(VLOOKUP(K35,EmBus20,2)*VLOOKUP(ProjLoc,EmCost,2)+VLOOKUP(K35,EmBus20,3)*VLOOKUP(ProjLoc,EmCost,3)*(1+CO2Uprater)^($B35-YearCurrent)+VLOOKUP(K35,EmBus20,4)*VLOOKUP(ProjLoc,EmCost,4)+VLOOKUP(K35,EmBus20,5)*VLOOKUP(ProjLoc,EmCost,5)+VLOOKUP(K35,EmBus20,6)*VLOOKUP(ProjLoc,EmCost,6)+VLOOKUP(K35,EmBus20,7)*VLOOKUP(ProjLoc,EmCost,7)),0)</f>
        <v>0</v>
      </c>
      <c r="V35" s="802">
        <f>IF(INDEX(HwyTransitModelGroup,A18,1)=PARAMETERS!$J$9,D35*0.00000110231131*(VLOOKUP(L35,EmBus20,2)*VLOOKUP(ProjLoc,EmCost,2)+VLOOKUP(L35,EmBus20,3)*VLOOKUP(ProjLoc,EmCost,3)*(1+CO2Uprater)^($B35-YearCurrent)+VLOOKUP(L35,EmBus20,4)*VLOOKUP(ProjLoc,EmCost,4)+VLOOKUP(L35,EmBus20,5)*VLOOKUP(ProjLoc,EmCost,5)+VLOOKUP(L35,EmBus20,6)*VLOOKUP(ProjLoc,EmCost,6)+VLOOKUP(L35,EmBus20,7)*VLOOKUP(ProjLoc,EmCost,7)),0)</f>
        <v>0</v>
      </c>
      <c r="W35" s="808">
        <f>IF(INDEX(HwyTransitModelGroup,A18,1)=PARAMETERS!$J$10,C35*0.00000110231131*(PARAMETERS!$CQ$29*VLOOKUP(ProjLoc,EmCost,2)+PARAMETERS!$CR$29*VLOOKUP(ProjLoc,EmCost,3)*(1+CO2Uprater)^($B35-YearCurrent)+PARAMETERS!$CS$29*VLOOKUP(ProjLoc,EmCost,4)+PARAMETERS!$CT$29*VLOOKUP(ProjLoc,EmCost,5)+PARAMETERS!$CU$29*VLOOKUP(ProjLoc,EmCost,6)+PARAMETERS!$CV$29*VLOOKUP(ProjLoc,EmCost,7)),0)</f>
        <v>0</v>
      </c>
      <c r="X35" s="844">
        <f>IF(INDEX(HwyTransitModelGroup,A18,1)=PARAMETERS!$J$10,D35*0.00000110231131*(PARAMETERS!$CQ$29*VLOOKUP(ProjLoc,EmCost,2)+PARAMETERS!$CR$29*VLOOKUP(ProjLoc,EmCost,3)*(1+CO2Uprater)^($B35-YearCurrent)+PARAMETERS!$CS$29*VLOOKUP(ProjLoc,EmCost,4)+PARAMETERS!$CT$29*VLOOKUP(ProjLoc,EmCost,5)+PARAMETERS!$CU$29*VLOOKUP(ProjLoc,EmCost,6)+PARAMETERS!$CV$29*VLOOKUP(ProjLoc,EmCost,7)),0)</f>
        <v>0</v>
      </c>
      <c r="Y35" s="808">
        <f>IF(INDEX(HwyTransitModelGroup,A18,1)=PARAMETERS!$J$11,C35*0.00000110231131*(PARAMETERS!$CQ$37*VLOOKUP(ProjLoc,EmCost,2)+PARAMETERS!$CR$37*VLOOKUP(ProjLoc,EmCost,3)*(1+CO2Uprater)^($B35-YearCurrent)+PARAMETERS!$CS$37*VLOOKUP(ProjLoc,EmCost,4)+PARAMETERS!$CT$37*VLOOKUP(ProjLoc,EmCost,5)+PARAMETERS!$CU$37*VLOOKUP(ProjLoc,EmCost,6)+PARAMETERS!$CV$37*VLOOKUP(ProjLoc,EmCost,7)),0)</f>
        <v>0</v>
      </c>
      <c r="Z35" s="844">
        <f>IF(INDEX(HwyTransitModelGroup,A18,1)=PARAMETERS!$J$11,D35*0.00000110231131*(PARAMETERS!$CQ$37*VLOOKUP(ProjLoc,EmCost,2)+PARAMETERS!$CR$37*VLOOKUP(ProjLoc,EmCost,3)*(1+CO2Uprater)^($B35-YearCurrent)+PARAMETERS!$CS$37*VLOOKUP(ProjLoc,EmCost,4)+PARAMETERS!$CT$37*VLOOKUP(ProjLoc,EmCost,5)+PARAMETERS!$CU$37*VLOOKUP(ProjLoc,EmCost,6)+PARAMETERS!$CV$37*VLOOKUP(ProjLoc,EmCost,7)),0)</f>
        <v>0</v>
      </c>
      <c r="AA35" s="369">
        <f t="shared" si="4"/>
        <v>-548.93274265156651</v>
      </c>
      <c r="AB35" s="370">
        <f t="shared" si="5"/>
        <v>-342.86177147806166</v>
      </c>
      <c r="AC35" s="371"/>
      <c r="AD35" s="401">
        <f>IF(INDEX(HwyTransitModelGroup,A18,1)=Hwy,0.00000110231131*(C35*(1-M35)*VLOOKUP(K35,EmAuto20,2)-D35*(1-N35)*VLOOKUP(L35,EmAuto20,2)+(O35*(1-M35)-P35*(1-N35))*VLOOKUP(0,EmAuto20,2))+0.00000110231131*(C35*M35*VLOOKUP(K35,EmTruck20,2)-D35*N35*VLOOKUP(L35,EmTruck20,2)+(O35*M35-P35*N35)*VLOOKUP(0,EmTruck20,2)),0)</f>
        <v>-1.1345048404770507E-2</v>
      </c>
      <c r="AE35" s="863">
        <f>IF(INDEX(HwyTransitModelGroup,A18,1)=Hwy,0.00000110231131*(C35*(1-M35)*VLOOKUP(K35,EmAuto20,3)-D35*(1-N35)*VLOOKUP(L35,EmAuto20,3)+(O35*(1-M35)-P35*(1-N35))*VLOOKUP(0,EmAuto20,3))+0.00000110231131*(C35*M35*VLOOKUP(K35,EmTruck20,3)-D35*N35*VLOOKUP(L35,EmTruck20,3)+(O35*M35-P35*N35)*VLOOKUP(0,EmTruck20,3)),0)</f>
        <v>-8.2196484930278295</v>
      </c>
      <c r="AF35" s="861">
        <f>IF(INDEX(HwyTransitModelGroup,A18,1)=Hwy,0.00000110231131*(C35*(1-M35)*VLOOKUP(K35,EmAuto20,4)-D35*(1-N35)*VLOOKUP(L35,EmAuto20,4)+(O35*(1-M35)-P35*(1-N35))*VLOOKUP(0,EmAuto20,4))+0.00000110231131*(C35*M35*VLOOKUP(K35,EmTruck20,4)-D35*N35*VLOOKUP(L35,EmTruck20,4)+(O35*M35-P35*N35)*VLOOKUP(0,EmTruck20,4)),0)</f>
        <v>-2.5560790915149637E-3</v>
      </c>
      <c r="AG35" s="863">
        <f>IF(INDEX(HwyTransitModelGroup,A18,1)=Hwy,0.00000110231131*(C35*(1-M35)*VLOOKUP(K35,EmAuto20,5)-D35*(1-N35)*VLOOKUP(L35,EmAuto20,5)+(O35*(1-M35)-P35*(1-N35))*VLOOKUP(0,EmAuto20,5))+0.00000110231131*(C35*M35*VLOOKUP(K35,EmTruck20,5)-D35*N35*VLOOKUP(L35,EmTruck20,5)+(O35*M35-P35*N35)*VLOOKUP(0,EmTruck20,5)),0)</f>
        <v>-3.6369288985539712E-5</v>
      </c>
      <c r="AH35" s="861">
        <f>IF(INDEX(HwyTransitModelGroup,A18,1)=Hwy,0.00000110231131*(C35*(1-M35)*VLOOKUP(K35,EmAuto20,6)-D35*(1-N35)*VLOOKUP(L35,EmAuto20,6)+(O35*(1-M35)-P35*(1-N35))*VLOOKUP(0,EmAuto20,6))+0.00000110231131*(C35*M35*VLOOKUP(K35,EmTruck20,6)-D35*N35*VLOOKUP(L35,EmTruck20,6)+(O35*M35-P35*N35)*VLOOKUP(0,EmTruck20,6)),0)</f>
        <v>-7.8524601218778927E-5</v>
      </c>
      <c r="AI35" s="863">
        <f>IF(INDEX(HwyTransitModelGroup,A18,1)=Hwy,0.00000110231131*(C35*(1-M35)*VLOOKUP(K35,EmAuto20,7)-D35*(1-N35)*VLOOKUP(L35,EmAuto20,7)+(O35*(1-M35)-P35*(1-N35))*VLOOKUP(0,EmAuto20,7))+0.00000110231131*(C35*M35*VLOOKUP(K35,EmTruck20,7)-D35*N35*VLOOKUP(L35,EmTruck20,7)+(O35*M35-P35*N35)*VLOOKUP(0,EmTruck20,7)),0)</f>
        <v>-1.5766913349981118E-4</v>
      </c>
      <c r="AJ35" s="861">
        <f>IF(INDEX(HwyTransitModelGroup,A18,1)=Hwy,0.00000110231131*(C35*(1-M35)*VLOOKUP(K35,EmAuto20,8)-D35*(1-N35)*VLOOKUP(L35,EmAuto20,8)+(O35*(1-M35)-P35*(1-N35))*VLOOKUP(0,EmAuto20,8))+0.00000110231131*(C35*M35*VLOOKUP(K35,EmTruck20,8)-D35*N35*VLOOKUP(L35,EmTruck20,8)+(O35*M35-P35*N35)*VLOOKUP(0,EmTruck20,8)),0)</f>
        <v>-3.5129426861032695E-5</v>
      </c>
      <c r="AK35" s="401">
        <f>IF(INDEX(HwyTransitModelGroup,A18,1)=PARAMETERS!$J$9,0.00000110231131*(C35*VLOOKUP(K35,EmBus20,2)-D35*VLOOKUP(L35,EmBus20,2)+(O35-P35)*VLOOKUP(0,EmBus20,2)),0)</f>
        <v>0</v>
      </c>
      <c r="AL35" s="863">
        <f>IF(INDEX(HwyTransitModelGroup,A18,1)=PARAMETERS!$J$9,0.00000110231131*(C35*VLOOKUP(K35,EmBus20,3)-D35*VLOOKUP(L35,EmBus20,3)+(O35-P35)*VLOOKUP(0,EmBus20,3)),0)</f>
        <v>0</v>
      </c>
      <c r="AM35" s="861">
        <f>IF(INDEX(HwyTransitModelGroup,A18,1)=PARAMETERS!$J$9,0.00000110231131*(C35*VLOOKUP(K35,EmBus20,4)-D35*VLOOKUP(L35,EmBus20,4)+(O35-P35)*VLOOKUP(0,EmBus20,4)),0)</f>
        <v>0</v>
      </c>
      <c r="AN35" s="863">
        <f>IF(INDEX(HwyTransitModelGroup,A18,1)=PARAMETERS!$J$9,0.00000110231131*(C35*VLOOKUP(K35,EmBus20,5)-D35*VLOOKUP(L35,EmBus20,5)+(O35-P35)*VLOOKUP(0,EmBus20,5)),0)</f>
        <v>0</v>
      </c>
      <c r="AO35" s="861">
        <f>IF(INDEX(HwyTransitModelGroup,A18,1)=PARAMETERS!$J$9,0.00000110231131*(C35*VLOOKUP(K35,EmBus20,6)-D35*VLOOKUP(L35,EmBus20,6)+(O35-P35)*VLOOKUP(0,EmBus20,6)),0)</f>
        <v>0</v>
      </c>
      <c r="AP35" s="863">
        <f>IF(INDEX(HwyTransitModelGroup,A18,1)=PARAMETERS!$J$9,0.00000110231131*(C35*VLOOKUP(K35,EmBus20,7)-D35*VLOOKUP(L35,EmBus20,7)+(O35-P35)*VLOOKUP(0,EmBus20,7)),0)</f>
        <v>0</v>
      </c>
      <c r="AQ35" s="861">
        <f>IF(INDEX(HwyTransitModelGroup,A18,1)=PARAMETERS!$J$9,0.00000110231131*(C35*VLOOKUP(K35,EmBus20,8)-D35*VLOOKUP(L35,EmBus20,8)+(O35-P35)*VLOOKUP(0,EmBus20,8)),0)</f>
        <v>0</v>
      </c>
      <c r="AR35" s="401">
        <f>IF(INDEX(HwyTransitModelGroup,A18,1)=PARAMETERS!$J$10,0.00000110231131*((C35-D35)*PARAMETERS!$CQ$29),0)</f>
        <v>0</v>
      </c>
      <c r="AS35" s="863">
        <f>IF(INDEX(HwyTransitModelGroup,A18,1)=PARAMETERS!$J$10,0.00000110231131*((C35-D35)*PARAMETERS!$CR$29),0)</f>
        <v>0</v>
      </c>
      <c r="AT35" s="861">
        <f>IF(INDEX(HwyTransitModelGroup,A18,1)=PARAMETERS!$J$10,0.00000110231131*((C35-D35)*PARAMETERS!$CS$29),0)</f>
        <v>0</v>
      </c>
      <c r="AU35" s="863">
        <f>IF(INDEX(HwyTransitModelGroup,A18,1)=PARAMETERS!$J$10,0.00000110231131*((C35-D35)*PARAMETERS!$CT$29),0)</f>
        <v>0</v>
      </c>
      <c r="AV35" s="861">
        <f>IF(INDEX(HwyTransitModelGroup,A18,1)=PARAMETERS!$J$10,0.00000110231131*((C35-D35)*PARAMETERS!$CU$29),0)</f>
        <v>0</v>
      </c>
      <c r="AW35" s="863">
        <f>IF(INDEX(HwyTransitModelGroup,A18,1)=PARAMETERS!$J$10,0.00000110231131*((C35-D35)*PARAMETERS!$CV$29),0)</f>
        <v>0</v>
      </c>
      <c r="AX35" s="861">
        <f>IF(INDEX(HwyTransitModelGroup,A18,1)=PARAMETERS!$J$10,0.00000110231131*((C35-D35)*PARAMETERS!$CW$29),0)</f>
        <v>0</v>
      </c>
      <c r="AY35" s="401">
        <f>IF(INDEX(HwyTransitModelGroup,A18,1)=PARAMETERS!$J$11,0.00000110231131*((C35-D35)*PARAMETERS!$CQ$37),0)</f>
        <v>0</v>
      </c>
      <c r="AZ35" s="863">
        <f>IF(INDEX(HwyTransitModelGroup,A18,1)=PARAMETERS!$J$11,0.00000110231131*((C35-D35)*PARAMETERS!$CR$37),0)</f>
        <v>0</v>
      </c>
      <c r="BA35" s="861">
        <f>IF(INDEX(HwyTransitModelGroup,A18,1)=PARAMETERS!$J$11,0.00000110231131*((C35-D35)*PARAMETERS!$CS$37),0)</f>
        <v>0</v>
      </c>
      <c r="BB35" s="863">
        <f>IF(INDEX(HwyTransitModelGroup,A18,1)=PARAMETERS!$J$11,0.00000110231131*((C35-D35)*PARAMETERS!$CT$37),0)</f>
        <v>0</v>
      </c>
      <c r="BC35" s="861">
        <f>IF(INDEX(HwyTransitModelGroup,A18,1)=PARAMETERS!$J$11,0.00000110231131*((C35-D35)*PARAMETERS!$CU$37),0)</f>
        <v>0</v>
      </c>
      <c r="BD35" s="863">
        <f>IF(INDEX(HwyTransitModelGroup,A18,1)=PARAMETERS!$J$11,0.00000110231131*((C35-D35)*PARAMETERS!$CV$37),0)</f>
        <v>0</v>
      </c>
      <c r="BE35" s="865">
        <f>IF(INDEX(HwyTransitModelGroup,A18,1)=PARAMETERS!$J$11,0.00000110231131*((C35-D35)*PARAMETERS!$CW$37),0)</f>
        <v>0</v>
      </c>
      <c r="BF35" s="729">
        <f t="shared" si="6"/>
        <v>-0.56688670087701465</v>
      </c>
      <c r="BG35" s="867">
        <f t="shared" si="7"/>
        <v>-312.53342591084908</v>
      </c>
      <c r="BH35" s="867">
        <f t="shared" si="8"/>
        <v>-24.107443831708448</v>
      </c>
      <c r="BI35" s="867">
        <f t="shared" si="9"/>
        <v>-2.6509747745173575</v>
      </c>
      <c r="BJ35" s="867">
        <f t="shared" si="10"/>
        <v>-2.8937278202013297</v>
      </c>
      <c r="BK35" s="869">
        <f t="shared" si="11"/>
        <v>-0.10931243990914849</v>
      </c>
      <c r="BL35" s="392"/>
      <c r="BN35" s="375">
        <f t="shared" si="3"/>
        <v>2037</v>
      </c>
      <c r="BO35" s="376">
        <f t="shared" ca="1" si="1"/>
        <v>-587.22616855447143</v>
      </c>
      <c r="BP35" s="376">
        <f t="shared" ca="1" si="1"/>
        <v>-759.98685934889784</v>
      </c>
      <c r="BQ35" s="376">
        <f t="shared" ca="1" si="1"/>
        <v>174.9727816086986</v>
      </c>
      <c r="BR35" s="376">
        <f t="shared" ca="1" si="1"/>
        <v>-2965.8229120201131</v>
      </c>
      <c r="BS35" s="376">
        <f t="shared" ca="1" si="1"/>
        <v>41475.186548272904</v>
      </c>
      <c r="BT35" s="376">
        <f t="shared" ca="1" si="1"/>
        <v>51026.657488370169</v>
      </c>
      <c r="BV35" s="370">
        <f ca="1">IF(Emissions&lt;&gt;"N",SUM($BO35:BU35),0)</f>
        <v>88363.780878328282</v>
      </c>
      <c r="BW35" s="377"/>
      <c r="BX35" s="370">
        <f t="shared" ca="1" si="2"/>
        <v>159138.17729486158</v>
      </c>
      <c r="BZ35" s="401">
        <f ca="1">SUM($BO69:BU69)</f>
        <v>1.9360274888003006</v>
      </c>
      <c r="CA35" s="863">
        <f ca="1">SUM($BO103:BU103)</f>
        <v>2155.9521810813258</v>
      </c>
      <c r="CB35" s="861">
        <f ca="1">SUM($BO137:BU137)</f>
        <v>1.0255801987969768</v>
      </c>
      <c r="CC35" s="863">
        <f ca="1">SUM($BO171:BU171)</f>
        <v>2.5333301482482567E-2</v>
      </c>
      <c r="CD35" s="861">
        <f ca="1">SUM($BO205:BU205)</f>
        <v>2.0674673566788183E-2</v>
      </c>
      <c r="CE35" s="863">
        <f ca="1">SUM($BO239:BU239)</f>
        <v>3.8467258093137446E-2</v>
      </c>
      <c r="CF35" s="861">
        <f ca="1">SUM($BO273:BU273)</f>
        <v>2.4266868935139761E-2</v>
      </c>
      <c r="CG35" s="399">
        <f ca="1">SUM($BO307:BU307)</f>
        <v>86.000587264634333</v>
      </c>
      <c r="CH35" s="706">
        <f ca="1">SUM($BO341:BU341)</f>
        <v>77336.203488954459</v>
      </c>
      <c r="CI35" s="706">
        <f ca="1">SUM($BO375:BU375)</f>
        <v>8598.9710140715306</v>
      </c>
      <c r="CJ35" s="706">
        <f ca="1">SUM($BO409:BU409)</f>
        <v>1641.5819119065427</v>
      </c>
      <c r="CK35" s="706">
        <f ca="1">SUM($BO443:BU443)</f>
        <v>677.31482787249388</v>
      </c>
      <c r="CL35" s="400">
        <f ca="1">SUM($BO477:BU477)</f>
        <v>23.709048258770366</v>
      </c>
    </row>
    <row r="36" spans="2:90" x14ac:dyDescent="0.25">
      <c r="B36" s="375">
        <f t="shared" si="12"/>
        <v>2035</v>
      </c>
      <c r="C36" s="401">
        <f>MAX(TREND(C24:C25,B24:B25,B36),0)</f>
        <v>838587.5</v>
      </c>
      <c r="D36" s="402">
        <f>MAX(TREND(D24:D25,B24:B25,B36),0)</f>
        <v>868462.75</v>
      </c>
      <c r="E36" s="401">
        <f>MAX(TREND(E24:E25,B24:B25,B36),0)</f>
        <v>19819.5</v>
      </c>
      <c r="F36" s="402">
        <f>MAX(TREND(F24:F25,B24:B25,B36),0)</f>
        <v>20604.25</v>
      </c>
      <c r="G36" s="401">
        <f>MAX(TREND(G24:G25,B24:B25,B36),0)</f>
        <v>0</v>
      </c>
      <c r="H36" s="402">
        <f>MAX(TREND(H24:H25,B24:B25,B36),0)</f>
        <v>0</v>
      </c>
      <c r="I36" s="401">
        <f>MAX(TREND(I24:I25,B24:B25,B36),0)</f>
        <v>0</v>
      </c>
      <c r="J36" s="402">
        <f>MAX(TREND(J24:J25,B24:B25,B36),0)</f>
        <v>0</v>
      </c>
      <c r="K36" s="435">
        <f>IFERROR(IF(INDEX(HwyTransitModelGroup,A18,1)=Hwy,MAX(5,ROUND(C36/E36,1)),MAX(5,ROUND(G36/I36,1))),55)</f>
        <v>42.3</v>
      </c>
      <c r="L36" s="436">
        <f>IFERROR(IF(INDEX(HwyTransitModelGroup,A18,1)=Hwy,MAX(5,ROUND(D36/F36,1)),MAX(5,ROUND(H36/J36,1))),55)</f>
        <v>42.1</v>
      </c>
      <c r="M36" s="405">
        <f>MIN(MAX(TREND(M24:M25,B24:B25,B36),0),1)</f>
        <v>0.24</v>
      </c>
      <c r="N36" s="406">
        <f>MIN(MAX(TREND(N24:N25,B24:B25,B36),0),1)</f>
        <v>0.24</v>
      </c>
      <c r="O36" s="401">
        <f>MAX(TREND(O24:O25,B24:B25,B36),0)</f>
        <v>0</v>
      </c>
      <c r="P36" s="402">
        <f>MAX(TREND(P24:P25,B24:B25,B36),0)</f>
        <v>0</v>
      </c>
      <c r="Q36" s="729">
        <f>IF(INDEX(HwyTransitModelGroup,A18,1)=Hwy,C36*(1-M36)*0.00000110231131*(VLOOKUP(K36,EmAuto20,2)*VLOOKUP(ProjLoc,EmCost,2)+VLOOKUP(K36,EmAuto20,3)*VLOOKUP(ProjLoc,EmCost,3)*(1+CO2Uprater)^($B36-YearCurrent)+VLOOKUP(K36,EmAuto20,4)*VLOOKUP(ProjLoc,EmCost,4)+VLOOKUP(K36,EmAuto20,5)*VLOOKUP(ProjLoc,EmCost,5)+VLOOKUP(K36,EmAuto20,6)*VLOOKUP(ProjLoc,EmCost,6)+VLOOKUP(K36,EmAuto20,7)*VLOOKUP(ProjLoc,EmCost,7))+C36*M36*0.00000110231131*(VLOOKUP(K36,EmTruck20,2)*VLOOKUP(ProjLoc,EmCost,2)+VLOOKUP(K36,EmTruck20,3)*VLOOKUP(ProjLoc,EmCost,3)*(1+CO2Uprater)^($B36-YearCurrent)+VLOOKUP(K36,EmTruck20,4)*VLOOKUP(ProjLoc,EmCost,4)+VLOOKUP(K36,EmTruck20,5)*VLOOKUP(ProjLoc,EmCost,5)+VLOOKUP(K36,EmTruck20,6)*VLOOKUP(ProjLoc,EmCost,6)+VLOOKUP(K36,EmTruck20,7)*VLOOKUP(ProjLoc,EmCost,7)),0)</f>
        <v>20002.574101461752</v>
      </c>
      <c r="R36" s="802">
        <f>IF(INDEX(HwyTransitModelGroup,A18,1)=Hwy,D36*(1-N36)*0.00000110231131*(VLOOKUP(L36,EmAuto20,2)*VLOOKUP(ProjLoc,EmCost,2)+VLOOKUP(L36,EmAuto20,3)*VLOOKUP(ProjLoc,EmCost,3)*(1+CO2Uprater)^($B36-YearCurrent)+VLOOKUP(L36,EmAuto20,4)*VLOOKUP(ProjLoc,EmCost,4)+VLOOKUP(L36,EmAuto20,5)*VLOOKUP(ProjLoc,EmCost,5)+VLOOKUP(L36,EmAuto20,6)*VLOOKUP(ProjLoc,EmCost,6)+VLOOKUP(L36,EmAuto20,7)*VLOOKUP(ProjLoc,EmCost,7))+D36*N36*0.00000110231131*(VLOOKUP(L36,EmTruck20,2)*VLOOKUP(ProjLoc,EmCost,2)+VLOOKUP(L36,EmTruck20,3)*VLOOKUP(ProjLoc,EmCost,3)*(1+CO2Uprater)^($B36-YearCurrent)+VLOOKUP(L36,EmTruck20,4)*VLOOKUP(ProjLoc,EmCost,4)+VLOOKUP(L36,EmTruck20,5)*VLOOKUP(ProjLoc,EmCost,5)+VLOOKUP(L36,EmTruck20,6)*VLOOKUP(ProjLoc,EmCost,6)+VLOOKUP(L36,EmTruck20,7)*VLOOKUP(ProjLoc,EmCost,7)),0)</f>
        <v>20715.179407317963</v>
      </c>
      <c r="S36" s="729">
        <f>IF(INDEX(HwyTransitModelGroup,A18,1)=Hwy,O36*(1-M36)*0.00000110231131*(VLOOKUP(0,EmAuto20,2)*VLOOKUP(ProjLoc,EmCost,2)+VLOOKUP(0,EmAuto20,3)*VLOOKUP(ProjLoc,EmCost,3)*(1+CO2Uprater)^($B36-YearCurrent)+VLOOKUP(0,EmAuto20,4)*VLOOKUP(ProjLoc,EmCost,4)+VLOOKUP(0,EmAuto20,5)*VLOOKUP(ProjLoc,EmCost,5)+VLOOKUP(0,EmAuto20,6)*VLOOKUP(ProjLoc,EmCost,6)+VLOOKUP(0,EmAuto20,7)*VLOOKUP(ProjLoc,EmCost,7))+O36*M36*0.00000110231131*(VLOOKUP(0,EmTruck20,2)*VLOOKUP(ProjLoc,EmCost,2)+VLOOKUP(0,EmTruck20,3)*VLOOKUP(ProjLoc,EmCost,3)*(1+CO2Uprater)^($B36-YearCurrent)+VLOOKUP(0,EmTruck20,4)*VLOOKUP(ProjLoc,EmCost,4)+VLOOKUP(0,EmTruck20,5)*VLOOKUP(ProjLoc,EmCost,5)+VLOOKUP(0,EmTruck20,6)*VLOOKUP(ProjLoc,EmCost,6)+VLOOKUP(0,EmTruck20,7)*VLOOKUP(ProjLoc,EmCost,7)),0)</f>
        <v>0</v>
      </c>
      <c r="T36" s="802">
        <f>IF(INDEX(HwyTransitModelGroup,A18,1)=Hwy,P36*(1-N36)*0.00000110231131*(VLOOKUP(0,EmAuto20,2)*VLOOKUP(ProjLoc,EmCost,2)+VLOOKUP(0,EmAuto20,3)*VLOOKUP(ProjLoc,EmCost,3)*(1+CO2Uprater)^($B36-YearCurrent)+VLOOKUP(0,EmAuto20,4)*VLOOKUP(ProjLoc,EmCost,4)+VLOOKUP(0,EmAuto20,5)*VLOOKUP(ProjLoc,EmCost,5)+VLOOKUP(0,EmAuto20,6)*VLOOKUP(ProjLoc,EmCost,6)+VLOOKUP(0,EmAuto20,7)*VLOOKUP(ProjLoc,EmCost,7))+P36*N36*0.00000110231131*(VLOOKUP(0,EmTruck20,2)*VLOOKUP(ProjLoc,EmCost,2)+VLOOKUP(0,EmTruck20,3)*VLOOKUP(ProjLoc,EmCost,3)*(1+CO2Uprater)^($B36-YearCurrent)+VLOOKUP(0,EmTruck20,4)*VLOOKUP(ProjLoc,EmCost,4)+VLOOKUP(0,EmTruck20,5)*VLOOKUP(ProjLoc,EmCost,5)+VLOOKUP(0,EmTruck20,6)*VLOOKUP(ProjLoc,EmCost,6)+VLOOKUP(0,EmTruck20,7)*VLOOKUP(ProjLoc,EmCost,7)),0)</f>
        <v>0</v>
      </c>
      <c r="U36" s="729">
        <f>IF(INDEX(HwyTransitModelGroup,A18,1)=PARAMETERS!$J$9,C36*0.00000110231131*(VLOOKUP(K36,EmBus20,2)*VLOOKUP(ProjLoc,EmCost,2)+VLOOKUP(K36,EmBus20,3)*VLOOKUP(ProjLoc,EmCost,3)*(1+CO2Uprater)^($B36-YearCurrent)+VLOOKUP(K36,EmBus20,4)*VLOOKUP(ProjLoc,EmCost,4)+VLOOKUP(K36,EmBus20,5)*VLOOKUP(ProjLoc,EmCost,5)+VLOOKUP(K36,EmBus20,6)*VLOOKUP(ProjLoc,EmCost,6)+VLOOKUP(K36,EmBus20,7)*VLOOKUP(ProjLoc,EmCost,7)),0)</f>
        <v>0</v>
      </c>
      <c r="V36" s="802">
        <f>IF(INDEX(HwyTransitModelGroup,A18,1)=PARAMETERS!$J$9,D36*0.00000110231131*(VLOOKUP(L36,EmBus20,2)*VLOOKUP(ProjLoc,EmCost,2)+VLOOKUP(L36,EmBus20,3)*VLOOKUP(ProjLoc,EmCost,3)*(1+CO2Uprater)^($B36-YearCurrent)+VLOOKUP(L36,EmBus20,4)*VLOOKUP(ProjLoc,EmCost,4)+VLOOKUP(L36,EmBus20,5)*VLOOKUP(ProjLoc,EmCost,5)+VLOOKUP(L36,EmBus20,6)*VLOOKUP(ProjLoc,EmCost,6)+VLOOKUP(L36,EmBus20,7)*VLOOKUP(ProjLoc,EmCost,7)),0)</f>
        <v>0</v>
      </c>
      <c r="W36" s="808">
        <f>IF(INDEX(HwyTransitModelGroup,A18,1)=PARAMETERS!$J$10,C36*0.00000110231131*(PARAMETERS!$CQ$29*VLOOKUP(ProjLoc,EmCost,2)+PARAMETERS!$CR$29*VLOOKUP(ProjLoc,EmCost,3)*(1+CO2Uprater)^($B36-YearCurrent)+PARAMETERS!$CS$29*VLOOKUP(ProjLoc,EmCost,4)+PARAMETERS!$CT$29*VLOOKUP(ProjLoc,EmCost,5)+PARAMETERS!$CU$29*VLOOKUP(ProjLoc,EmCost,6)+PARAMETERS!$CV$29*VLOOKUP(ProjLoc,EmCost,7)),0)</f>
        <v>0</v>
      </c>
      <c r="X36" s="844">
        <f>IF(INDEX(HwyTransitModelGroup,A18,1)=PARAMETERS!$J$10,D36*0.00000110231131*(PARAMETERS!$CQ$29*VLOOKUP(ProjLoc,EmCost,2)+PARAMETERS!$CR$29*VLOOKUP(ProjLoc,EmCost,3)*(1+CO2Uprater)^($B36-YearCurrent)+PARAMETERS!$CS$29*VLOOKUP(ProjLoc,EmCost,4)+PARAMETERS!$CT$29*VLOOKUP(ProjLoc,EmCost,5)+PARAMETERS!$CU$29*VLOOKUP(ProjLoc,EmCost,6)+PARAMETERS!$CV$29*VLOOKUP(ProjLoc,EmCost,7)),0)</f>
        <v>0</v>
      </c>
      <c r="Y36" s="808">
        <f>IF(INDEX(HwyTransitModelGroup,A18,1)=PARAMETERS!$J$11,C36*0.00000110231131*(PARAMETERS!$CQ$37*VLOOKUP(ProjLoc,EmCost,2)+PARAMETERS!$CR$37*VLOOKUP(ProjLoc,EmCost,3)*(1+CO2Uprater)^($B36-YearCurrent)+PARAMETERS!$CS$37*VLOOKUP(ProjLoc,EmCost,4)+PARAMETERS!$CT$37*VLOOKUP(ProjLoc,EmCost,5)+PARAMETERS!$CU$37*VLOOKUP(ProjLoc,EmCost,6)+PARAMETERS!$CV$37*VLOOKUP(ProjLoc,EmCost,7)),0)</f>
        <v>0</v>
      </c>
      <c r="Z36" s="844">
        <f>IF(INDEX(HwyTransitModelGroup,A18,1)=PARAMETERS!$J$11,D36*0.00000110231131*(PARAMETERS!$CQ$37*VLOOKUP(ProjLoc,EmCost,2)+PARAMETERS!$CR$37*VLOOKUP(ProjLoc,EmCost,3)*(1+CO2Uprater)^($B36-YearCurrent)+PARAMETERS!$CS$37*VLOOKUP(ProjLoc,EmCost,4)+PARAMETERS!$CT$37*VLOOKUP(ProjLoc,EmCost,5)+PARAMETERS!$CU$37*VLOOKUP(ProjLoc,EmCost,6)+PARAMETERS!$CV$37*VLOOKUP(ProjLoc,EmCost,7)),0)</f>
        <v>0</v>
      </c>
      <c r="AA36" s="369">
        <f t="shared" si="4"/>
        <v>-712.60530585621018</v>
      </c>
      <c r="AB36" s="370">
        <f t="shared" si="5"/>
        <v>-427.97228033931611</v>
      </c>
      <c r="AC36" s="371"/>
      <c r="AD36" s="401">
        <f>IF(INDEX(HwyTransitModelGroup,A18,1)=Hwy,0.00000110231131*(C36*(1-M36)*VLOOKUP(K36,EmAuto20,2)-D36*(1-N36)*VLOOKUP(L36,EmAuto20,2)+(O36*(1-M36)-P36*(1-N36))*VLOOKUP(0,EmAuto20,2))+0.00000110231131*(C36*M36*VLOOKUP(K36,EmTruck20,2)-D36*N36*VLOOKUP(L36,EmTruck20,2)+(O36*M36-P36*N36)*VLOOKUP(0,EmTruck20,2)),0)</f>
        <v>-1.4464053145334462E-2</v>
      </c>
      <c r="AE36" s="863">
        <f>IF(INDEX(HwyTransitModelGroup,A18,1)=Hwy,0.00000110231131*(C36*(1-M36)*VLOOKUP(K36,EmAuto20,3)-D36*(1-N36)*VLOOKUP(L36,EmAuto20,3)+(O36*(1-M36)-P36*(1-N36))*VLOOKUP(0,EmAuto20,3))+0.00000110231131*(C36*M36*VLOOKUP(K36,EmTruck20,3)-D36*N36*VLOOKUP(L36,EmTruck20,3)+(O36*M36-P36*N36)*VLOOKUP(0,EmTruck20,3)),0)</f>
        <v>-10.479411669070561</v>
      </c>
      <c r="AF36" s="861">
        <f>IF(INDEX(HwyTransitModelGroup,A18,1)=Hwy,0.00000110231131*(C36*(1-M36)*VLOOKUP(K36,EmAuto20,4)-D36*(1-N36)*VLOOKUP(L36,EmAuto20,4)+(O36*(1-M36)-P36*(1-N36))*VLOOKUP(0,EmAuto20,4))+0.00000110231131*(C36*M36*VLOOKUP(K36,EmTruck20,4)-D36*N36*VLOOKUP(L36,EmTruck20,4)+(O36*M36-P36*N36)*VLOOKUP(0,EmTruck20,4)),0)</f>
        <v>-3.2588017701012449E-3</v>
      </c>
      <c r="AG36" s="863">
        <f>IF(INDEX(HwyTransitModelGroup,A18,1)=Hwy,0.00000110231131*(C36*(1-M36)*VLOOKUP(K36,EmAuto20,5)-D36*(1-N36)*VLOOKUP(L36,EmAuto20,5)+(O36*(1-M36)-P36*(1-N36))*VLOOKUP(0,EmAuto20,5))+0.00000110231131*(C36*M36*VLOOKUP(K36,EmTruck20,5)-D36*N36*VLOOKUP(L36,EmTruck20,5)+(O36*M36-P36*N36)*VLOOKUP(0,EmTruck20,5)),0)</f>
        <v>-4.6368010957421128E-5</v>
      </c>
      <c r="AH36" s="861">
        <f>IF(INDEX(HwyTransitModelGroup,A18,1)=Hwy,0.00000110231131*(C36*(1-M36)*VLOOKUP(K36,EmAuto20,6)-D36*(1-N36)*VLOOKUP(L36,EmAuto20,6)+(O36*(1-M36)-P36*(1-N36))*VLOOKUP(0,EmAuto20,6))+0.00000110231131*(C36*M36*VLOOKUP(K36,EmTruck20,6)-D36*N36*VLOOKUP(L36,EmTruck20,6)+(O36*M36-P36*N36)*VLOOKUP(0,EmTruck20,6)),0)</f>
        <v>-1.0011275093079592E-4</v>
      </c>
      <c r="AI36" s="863">
        <f>IF(INDEX(HwyTransitModelGroup,A18,1)=Hwy,0.00000110231131*(C36*(1-M36)*VLOOKUP(K36,EmAuto20,7)-D36*(1-N36)*VLOOKUP(L36,EmAuto20,7)+(O36*(1-M36)-P36*(1-N36))*VLOOKUP(0,EmAuto20,7))+0.00000110231131*(C36*M36*VLOOKUP(K36,EmTruck20,7)-D36*N36*VLOOKUP(L36,EmTruck20,7)+(O36*M36-P36*N36)*VLOOKUP(0,EmTruck20,7)),0)</f>
        <v>-2.0101586568472928E-4</v>
      </c>
      <c r="AJ36" s="861">
        <f>IF(INDEX(HwyTransitModelGroup,A18,1)=Hwy,0.00000110231131*(C36*(1-M36)*VLOOKUP(K36,EmAuto20,8)-D36*(1-N36)*VLOOKUP(L36,EmAuto20,8)+(O36*(1-M36)-P36*(1-N36))*VLOOKUP(0,EmAuto20,8))+0.00000110231131*(C36*M36*VLOOKUP(K36,EmTruck20,8)-D36*N36*VLOOKUP(L36,EmTruck20,8)+(O36*M36-P36*N36)*VLOOKUP(0,EmTruck20,8)),0)</f>
        <v>-4.4787283311145475E-5</v>
      </c>
      <c r="AK36" s="401">
        <f>IF(INDEX(HwyTransitModelGroup,A18,1)=PARAMETERS!$J$9,0.00000110231131*(C36*VLOOKUP(K36,EmBus20,2)-D36*VLOOKUP(L36,EmBus20,2)+(O36-P36)*VLOOKUP(0,EmBus20,2)),0)</f>
        <v>0</v>
      </c>
      <c r="AL36" s="863">
        <f>IF(INDEX(HwyTransitModelGroup,A18,1)=PARAMETERS!$J$9,0.00000110231131*(C36*VLOOKUP(K36,EmBus20,3)-D36*VLOOKUP(L36,EmBus20,3)+(O36-P36)*VLOOKUP(0,EmBus20,3)),0)</f>
        <v>0</v>
      </c>
      <c r="AM36" s="861">
        <f>IF(INDEX(HwyTransitModelGroup,A18,1)=PARAMETERS!$J$9,0.00000110231131*(C36*VLOOKUP(K36,EmBus20,4)-D36*VLOOKUP(L36,EmBus20,4)+(O36-P36)*VLOOKUP(0,EmBus20,4)),0)</f>
        <v>0</v>
      </c>
      <c r="AN36" s="863">
        <f>IF(INDEX(HwyTransitModelGroup,A18,1)=PARAMETERS!$J$9,0.00000110231131*(C36*VLOOKUP(K36,EmBus20,5)-D36*VLOOKUP(L36,EmBus20,5)+(O36-P36)*VLOOKUP(0,EmBus20,5)),0)</f>
        <v>0</v>
      </c>
      <c r="AO36" s="861">
        <f>IF(INDEX(HwyTransitModelGroup,A18,1)=PARAMETERS!$J$9,0.00000110231131*(C36*VLOOKUP(K36,EmBus20,6)-D36*VLOOKUP(L36,EmBus20,6)+(O36-P36)*VLOOKUP(0,EmBus20,6)),0)</f>
        <v>0</v>
      </c>
      <c r="AP36" s="863">
        <f>IF(INDEX(HwyTransitModelGroup,A18,1)=PARAMETERS!$J$9,0.00000110231131*(C36*VLOOKUP(K36,EmBus20,7)-D36*VLOOKUP(L36,EmBus20,7)+(O36-P36)*VLOOKUP(0,EmBus20,7)),0)</f>
        <v>0</v>
      </c>
      <c r="AQ36" s="861">
        <f>IF(INDEX(HwyTransitModelGroup,A18,1)=PARAMETERS!$J$9,0.00000110231131*(C36*VLOOKUP(K36,EmBus20,8)-D36*VLOOKUP(L36,EmBus20,8)+(O36-P36)*VLOOKUP(0,EmBus20,8)),0)</f>
        <v>0</v>
      </c>
      <c r="AR36" s="401">
        <f>IF(INDEX(HwyTransitModelGroup,A18,1)=PARAMETERS!$J$10,0.00000110231131*((C36-D36)*PARAMETERS!$CQ$29),0)</f>
        <v>0</v>
      </c>
      <c r="AS36" s="863">
        <f>IF(INDEX(HwyTransitModelGroup,A18,1)=PARAMETERS!$J$10,0.00000110231131*((C36-D36)*PARAMETERS!$CR$29),0)</f>
        <v>0</v>
      </c>
      <c r="AT36" s="861">
        <f>IF(INDEX(HwyTransitModelGroup,A18,1)=PARAMETERS!$J$10,0.00000110231131*((C36-D36)*PARAMETERS!$CS$29),0)</f>
        <v>0</v>
      </c>
      <c r="AU36" s="863">
        <f>IF(INDEX(HwyTransitModelGroup,A18,1)=PARAMETERS!$J$10,0.00000110231131*((C36-D36)*PARAMETERS!$CT$29),0)</f>
        <v>0</v>
      </c>
      <c r="AV36" s="861">
        <f>IF(INDEX(HwyTransitModelGroup,A18,1)=PARAMETERS!$J$10,0.00000110231131*((C36-D36)*PARAMETERS!$CU$29),0)</f>
        <v>0</v>
      </c>
      <c r="AW36" s="863">
        <f>IF(INDEX(HwyTransitModelGroup,A18,1)=PARAMETERS!$J$10,0.00000110231131*((C36-D36)*PARAMETERS!$CV$29),0)</f>
        <v>0</v>
      </c>
      <c r="AX36" s="861">
        <f>IF(INDEX(HwyTransitModelGroup,A18,1)=PARAMETERS!$J$10,0.00000110231131*((C36-D36)*PARAMETERS!$CW$29),0)</f>
        <v>0</v>
      </c>
      <c r="AY36" s="401">
        <f>IF(INDEX(HwyTransitModelGroup,A18,1)=PARAMETERS!$J$11,0.00000110231131*((C36-D36)*PARAMETERS!$CQ$37),0)</f>
        <v>0</v>
      </c>
      <c r="AZ36" s="863">
        <f>IF(INDEX(HwyTransitModelGroup,A18,1)=PARAMETERS!$J$11,0.00000110231131*((C36-D36)*PARAMETERS!$CR$37),0)</f>
        <v>0</v>
      </c>
      <c r="BA36" s="861">
        <f>IF(INDEX(HwyTransitModelGroup,A18,1)=PARAMETERS!$J$11,0.00000110231131*((C36-D36)*PARAMETERS!$CS$37),0)</f>
        <v>0</v>
      </c>
      <c r="BB36" s="863">
        <f>IF(INDEX(HwyTransitModelGroup,A18,1)=PARAMETERS!$J$11,0.00000110231131*((C36-D36)*PARAMETERS!$CT$37),0)</f>
        <v>0</v>
      </c>
      <c r="BC36" s="861">
        <f>IF(INDEX(HwyTransitModelGroup,A18,1)=PARAMETERS!$J$11,0.00000110231131*((C36-D36)*PARAMETERS!$CU$37),0)</f>
        <v>0</v>
      </c>
      <c r="BD36" s="863">
        <f>IF(INDEX(HwyTransitModelGroup,A18,1)=PARAMETERS!$J$11,0.00000110231131*((C36-D36)*PARAMETERS!$CV$37),0)</f>
        <v>0</v>
      </c>
      <c r="BE36" s="865">
        <f>IF(INDEX(HwyTransitModelGroup,A18,1)=PARAMETERS!$J$11,0.00000110231131*((C36-D36)*PARAMETERS!$CW$37),0)</f>
        <v>0</v>
      </c>
      <c r="BF36" s="729">
        <f t="shared" si="6"/>
        <v>-0.69493883996501282</v>
      </c>
      <c r="BG36" s="867">
        <f t="shared" si="7"/>
        <v>-390.79316632247696</v>
      </c>
      <c r="BH36" s="867">
        <f t="shared" si="8"/>
        <v>-29.552993614086656</v>
      </c>
      <c r="BI36" s="867">
        <f t="shared" si="9"/>
        <v>-3.2497945916344131</v>
      </c>
      <c r="BJ36" s="867">
        <f t="shared" si="10"/>
        <v>-3.5473823101407924</v>
      </c>
      <c r="BK36" s="869">
        <f t="shared" si="11"/>
        <v>-0.13400466101371697</v>
      </c>
      <c r="BL36" s="392"/>
      <c r="BN36" s="375">
        <f t="shared" si="3"/>
        <v>2038</v>
      </c>
      <c r="BO36" s="376">
        <f t="shared" ca="1" si="1"/>
        <v>-661.61568716839088</v>
      </c>
      <c r="BP36" s="376">
        <f t="shared" ca="1" si="1"/>
        <v>-755.35454816364631</v>
      </c>
      <c r="BQ36" s="376">
        <f t="shared" ca="1" si="1"/>
        <v>171.44232902895658</v>
      </c>
      <c r="BR36" s="376">
        <f t="shared" ca="1" si="1"/>
        <v>-2920.1281173623911</v>
      </c>
      <c r="BS36" s="376">
        <f t="shared" ca="1" si="1"/>
        <v>41978.513385920873</v>
      </c>
      <c r="BT36" s="376">
        <f t="shared" ca="1" si="1"/>
        <v>51061.022675754713</v>
      </c>
      <c r="BV36" s="370">
        <f ca="1">IF(Emissions&lt;&gt;"N",SUM($BO36:BU36),0)</f>
        <v>88873.880038010117</v>
      </c>
      <c r="BW36" s="377"/>
      <c r="BX36" s="370">
        <f t="shared" ca="1" si="2"/>
        <v>166459.11054620135</v>
      </c>
      <c r="BZ36" s="401">
        <f ca="1">SUM($BO70:BU70)</f>
        <v>1.984287196460603</v>
      </c>
      <c r="CA36" s="863">
        <f ca="1">SUM($BO104:BU104)</f>
        <v>2215.9707993578622</v>
      </c>
      <c r="CB36" s="861">
        <f ca="1">SUM($BO138:BU138)</f>
        <v>1.0554029888080962</v>
      </c>
      <c r="CC36" s="863">
        <f ca="1">SUM($BO172:BU172)</f>
        <v>2.6114450509973606E-2</v>
      </c>
      <c r="CD36" s="861">
        <f ca="1">SUM($BO206:BU206)</f>
        <v>2.1251334985895952E-2</v>
      </c>
      <c r="CE36" s="863">
        <f ca="1">SUM($BO240:BU240)</f>
        <v>3.9505910341862273E-2</v>
      </c>
      <c r="CF36" s="861">
        <f ca="1">SUM($BO274:BU274)</f>
        <v>2.5015579570892284E-2</v>
      </c>
      <c r="CG36" s="399">
        <f ca="1">SUM($BO308:BU308)</f>
        <v>84.754172567924201</v>
      </c>
      <c r="CH36" s="706">
        <f ca="1">SUM($BO342:BU342)</f>
        <v>77960.495372514386</v>
      </c>
      <c r="CI36" s="706">
        <f ca="1">SUM($BO376:BU376)</f>
        <v>8508.6730939555127</v>
      </c>
      <c r="CJ36" s="706">
        <f ca="1">SUM($BO410:BU410)</f>
        <v>1627.115264216483</v>
      </c>
      <c r="CK36" s="706">
        <f ca="1">SUM($BO444:BU444)</f>
        <v>669.42942809929548</v>
      </c>
      <c r="CL36" s="400">
        <f ca="1">SUM($BO478:BU478)</f>
        <v>23.412706656569618</v>
      </c>
    </row>
    <row r="37" spans="2:90" x14ac:dyDescent="0.25">
      <c r="B37" s="375">
        <f t="shared" si="12"/>
        <v>2036</v>
      </c>
      <c r="C37" s="401">
        <f>MAX(TREND(C24:C25,B24:B25,B37),0)</f>
        <v>848260</v>
      </c>
      <c r="D37" s="402">
        <f>MAX(TREND(D24:D25,B24:B25,B37),0)</f>
        <v>884577.5</v>
      </c>
      <c r="E37" s="401">
        <f>MAX(TREND(E24:E25,B24:B25,B37),0)</f>
        <v>20075</v>
      </c>
      <c r="F37" s="402">
        <f>MAX(TREND(F24:F25,B24:B25,B37),0)</f>
        <v>20987.5</v>
      </c>
      <c r="G37" s="401">
        <f>MAX(TREND(G24:G25,B24:B25,B37),0)</f>
        <v>0</v>
      </c>
      <c r="H37" s="402">
        <f>MAX(TREND(H24:H25,B24:B25,B37),0)</f>
        <v>0</v>
      </c>
      <c r="I37" s="401">
        <f>MAX(TREND(I24:I25,B24:B25,B37),0)</f>
        <v>0</v>
      </c>
      <c r="J37" s="402">
        <f>MAX(TREND(J24:J25,B24:B25,B37),0)</f>
        <v>0</v>
      </c>
      <c r="K37" s="435">
        <f>IFERROR(IF(INDEX(HwyTransitModelGroup,A18,1)=Hwy,MAX(5,ROUND(C37/E37,1)),MAX(5,ROUND(G37/I37,1))),55)</f>
        <v>42.3</v>
      </c>
      <c r="L37" s="436">
        <f>IFERROR(IF(INDEX(HwyTransitModelGroup,A18,1)=Hwy,MAX(5,ROUND(D37/F37,1)),MAX(5,ROUND(H37/J37,1))),55)</f>
        <v>42.1</v>
      </c>
      <c r="M37" s="405">
        <f>MIN(MAX(TREND(M24:M25,B24:B25,B37),0),1)</f>
        <v>0.24</v>
      </c>
      <c r="N37" s="406">
        <f>MIN(MAX(TREND(N24:N25,B24:B25,B37),0),1)</f>
        <v>0.24</v>
      </c>
      <c r="O37" s="401">
        <f>MAX(TREND(O24:O25,B24:B25,B37),0)</f>
        <v>0</v>
      </c>
      <c r="P37" s="402">
        <f>MAX(TREND(P24:P25,B24:B25,B37),0)</f>
        <v>0</v>
      </c>
      <c r="Q37" s="729">
        <f>IF(INDEX(HwyTransitModelGroup,A18,1)=Hwy,C37*(1-M37)*0.00000110231131*(VLOOKUP(K37,EmAuto20,2)*VLOOKUP(ProjLoc,EmCost,2)+VLOOKUP(K37,EmAuto20,3)*VLOOKUP(ProjLoc,EmCost,3)*(1+CO2Uprater)^($B37-YearCurrent)+VLOOKUP(K37,EmAuto20,4)*VLOOKUP(ProjLoc,EmCost,4)+VLOOKUP(K37,EmAuto20,5)*VLOOKUP(ProjLoc,EmCost,5)+VLOOKUP(K37,EmAuto20,6)*VLOOKUP(ProjLoc,EmCost,6)+VLOOKUP(K37,EmAuto20,7)*VLOOKUP(ProjLoc,EmCost,7))+C37*M37*0.00000110231131*(VLOOKUP(K37,EmTruck20,2)*VLOOKUP(ProjLoc,EmCost,2)+VLOOKUP(K37,EmTruck20,3)*VLOOKUP(ProjLoc,EmCost,3)*(1+CO2Uprater)^($B37-YearCurrent)+VLOOKUP(K37,EmTruck20,4)*VLOOKUP(ProjLoc,EmCost,4)+VLOOKUP(K37,EmTruck20,5)*VLOOKUP(ProjLoc,EmCost,5)+VLOOKUP(K37,EmTruck20,6)*VLOOKUP(ProjLoc,EmCost,6)+VLOOKUP(K37,EmTruck20,7)*VLOOKUP(ProjLoc,EmCost,7)),0)</f>
        <v>20602.800690392942</v>
      </c>
      <c r="R37" s="802">
        <f>IF(INDEX(HwyTransitModelGroup,A18,1)=Hwy,D37*(1-N37)*0.00000110231131*(VLOOKUP(L37,EmAuto20,2)*VLOOKUP(ProjLoc,EmCost,2)+VLOOKUP(L37,EmAuto20,3)*VLOOKUP(ProjLoc,EmCost,3)*(1+CO2Uprater)^($B37-YearCurrent)+VLOOKUP(L37,EmAuto20,4)*VLOOKUP(ProjLoc,EmCost,4)+VLOOKUP(L37,EmAuto20,5)*VLOOKUP(ProjLoc,EmCost,5)+VLOOKUP(L37,EmAuto20,6)*VLOOKUP(ProjLoc,EmCost,6)+VLOOKUP(L37,EmAuto20,7)*VLOOKUP(ProjLoc,EmCost,7))+D37*N37*0.00000110231131*(VLOOKUP(L37,EmTruck20,2)*VLOOKUP(ProjLoc,EmCost,2)+VLOOKUP(L37,EmTruck20,3)*VLOOKUP(ProjLoc,EmCost,3)*(1+CO2Uprater)^($B37-YearCurrent)+VLOOKUP(L37,EmTruck20,4)*VLOOKUP(ProjLoc,EmCost,4)+VLOOKUP(L37,EmTruck20,5)*VLOOKUP(ProjLoc,EmCost,5)+VLOOKUP(L37,EmTruck20,6)*VLOOKUP(ProjLoc,EmCost,6)+VLOOKUP(L37,EmTruck20,7)*VLOOKUP(ProjLoc,EmCost,7)),0)</f>
        <v>21484.891339572845</v>
      </c>
      <c r="S37" s="729">
        <f>IF(INDEX(HwyTransitModelGroup,A18,1)=Hwy,O37*(1-M37)*0.00000110231131*(VLOOKUP(0,EmAuto20,2)*VLOOKUP(ProjLoc,EmCost,2)+VLOOKUP(0,EmAuto20,3)*VLOOKUP(ProjLoc,EmCost,3)*(1+CO2Uprater)^($B37-YearCurrent)+VLOOKUP(0,EmAuto20,4)*VLOOKUP(ProjLoc,EmCost,4)+VLOOKUP(0,EmAuto20,5)*VLOOKUP(ProjLoc,EmCost,5)+VLOOKUP(0,EmAuto20,6)*VLOOKUP(ProjLoc,EmCost,6)+VLOOKUP(0,EmAuto20,7)*VLOOKUP(ProjLoc,EmCost,7))+O37*M37*0.00000110231131*(VLOOKUP(0,EmTruck20,2)*VLOOKUP(ProjLoc,EmCost,2)+VLOOKUP(0,EmTruck20,3)*VLOOKUP(ProjLoc,EmCost,3)*(1+CO2Uprater)^($B37-YearCurrent)+VLOOKUP(0,EmTruck20,4)*VLOOKUP(ProjLoc,EmCost,4)+VLOOKUP(0,EmTruck20,5)*VLOOKUP(ProjLoc,EmCost,5)+VLOOKUP(0,EmTruck20,6)*VLOOKUP(ProjLoc,EmCost,6)+VLOOKUP(0,EmTruck20,7)*VLOOKUP(ProjLoc,EmCost,7)),0)</f>
        <v>0</v>
      </c>
      <c r="T37" s="802">
        <f>IF(INDEX(HwyTransitModelGroup,A18,1)=Hwy,P37*(1-N37)*0.00000110231131*(VLOOKUP(0,EmAuto20,2)*VLOOKUP(ProjLoc,EmCost,2)+VLOOKUP(0,EmAuto20,3)*VLOOKUP(ProjLoc,EmCost,3)*(1+CO2Uprater)^($B37-YearCurrent)+VLOOKUP(0,EmAuto20,4)*VLOOKUP(ProjLoc,EmCost,4)+VLOOKUP(0,EmAuto20,5)*VLOOKUP(ProjLoc,EmCost,5)+VLOOKUP(0,EmAuto20,6)*VLOOKUP(ProjLoc,EmCost,6)+VLOOKUP(0,EmAuto20,7)*VLOOKUP(ProjLoc,EmCost,7))+P37*N37*0.00000110231131*(VLOOKUP(0,EmTruck20,2)*VLOOKUP(ProjLoc,EmCost,2)+VLOOKUP(0,EmTruck20,3)*VLOOKUP(ProjLoc,EmCost,3)*(1+CO2Uprater)^($B37-YearCurrent)+VLOOKUP(0,EmTruck20,4)*VLOOKUP(ProjLoc,EmCost,4)+VLOOKUP(0,EmTruck20,5)*VLOOKUP(ProjLoc,EmCost,5)+VLOOKUP(0,EmTruck20,6)*VLOOKUP(ProjLoc,EmCost,6)+VLOOKUP(0,EmTruck20,7)*VLOOKUP(ProjLoc,EmCost,7)),0)</f>
        <v>0</v>
      </c>
      <c r="U37" s="729">
        <f>IF(INDEX(HwyTransitModelGroup,A18,1)=PARAMETERS!$J$9,C37*0.00000110231131*(VLOOKUP(K37,EmBus20,2)*VLOOKUP(ProjLoc,EmCost,2)+VLOOKUP(K37,EmBus20,3)*VLOOKUP(ProjLoc,EmCost,3)*(1+CO2Uprater)^($B37-YearCurrent)+VLOOKUP(K37,EmBus20,4)*VLOOKUP(ProjLoc,EmCost,4)+VLOOKUP(K37,EmBus20,5)*VLOOKUP(ProjLoc,EmCost,5)+VLOOKUP(K37,EmBus20,6)*VLOOKUP(ProjLoc,EmCost,6)+VLOOKUP(K37,EmBus20,7)*VLOOKUP(ProjLoc,EmCost,7)),0)</f>
        <v>0</v>
      </c>
      <c r="V37" s="802">
        <f>IF(INDEX(HwyTransitModelGroup,A18,1)=PARAMETERS!$J$9,D37*0.00000110231131*(VLOOKUP(L37,EmBus20,2)*VLOOKUP(ProjLoc,EmCost,2)+VLOOKUP(L37,EmBus20,3)*VLOOKUP(ProjLoc,EmCost,3)*(1+CO2Uprater)^($B37-YearCurrent)+VLOOKUP(L37,EmBus20,4)*VLOOKUP(ProjLoc,EmCost,4)+VLOOKUP(L37,EmBus20,5)*VLOOKUP(ProjLoc,EmCost,5)+VLOOKUP(L37,EmBus20,6)*VLOOKUP(ProjLoc,EmCost,6)+VLOOKUP(L37,EmBus20,7)*VLOOKUP(ProjLoc,EmCost,7)),0)</f>
        <v>0</v>
      </c>
      <c r="W37" s="808">
        <f>IF(INDEX(HwyTransitModelGroup,A18,1)=PARAMETERS!$J$10,C37*0.00000110231131*(PARAMETERS!$CQ$29*VLOOKUP(ProjLoc,EmCost,2)+PARAMETERS!$CR$29*VLOOKUP(ProjLoc,EmCost,3)*(1+CO2Uprater)^($B37-YearCurrent)+PARAMETERS!$CS$29*VLOOKUP(ProjLoc,EmCost,4)+PARAMETERS!$CT$29*VLOOKUP(ProjLoc,EmCost,5)+PARAMETERS!$CU$29*VLOOKUP(ProjLoc,EmCost,6)+PARAMETERS!$CV$29*VLOOKUP(ProjLoc,EmCost,7)),0)</f>
        <v>0</v>
      </c>
      <c r="X37" s="844">
        <f>IF(INDEX(HwyTransitModelGroup,A18,1)=PARAMETERS!$J$10,D37*0.00000110231131*(PARAMETERS!$CQ$29*VLOOKUP(ProjLoc,EmCost,2)+PARAMETERS!$CR$29*VLOOKUP(ProjLoc,EmCost,3)*(1+CO2Uprater)^($B37-YearCurrent)+PARAMETERS!$CS$29*VLOOKUP(ProjLoc,EmCost,4)+PARAMETERS!$CT$29*VLOOKUP(ProjLoc,EmCost,5)+PARAMETERS!$CU$29*VLOOKUP(ProjLoc,EmCost,6)+PARAMETERS!$CV$29*VLOOKUP(ProjLoc,EmCost,7)),0)</f>
        <v>0</v>
      </c>
      <c r="Y37" s="808">
        <f>IF(INDEX(HwyTransitModelGroup,A18,1)=PARAMETERS!$J$11,C37*0.00000110231131*(PARAMETERS!$CQ$37*VLOOKUP(ProjLoc,EmCost,2)+PARAMETERS!$CR$37*VLOOKUP(ProjLoc,EmCost,3)*(1+CO2Uprater)^($B37-YearCurrent)+PARAMETERS!$CS$37*VLOOKUP(ProjLoc,EmCost,4)+PARAMETERS!$CT$37*VLOOKUP(ProjLoc,EmCost,5)+PARAMETERS!$CU$37*VLOOKUP(ProjLoc,EmCost,6)+PARAMETERS!$CV$37*VLOOKUP(ProjLoc,EmCost,7)),0)</f>
        <v>0</v>
      </c>
      <c r="Z37" s="844">
        <f>IF(INDEX(HwyTransitModelGroup,A18,1)=PARAMETERS!$J$11,D37*0.00000110231131*(PARAMETERS!$CQ$37*VLOOKUP(ProjLoc,EmCost,2)+PARAMETERS!$CR$37*VLOOKUP(ProjLoc,EmCost,3)*(1+CO2Uprater)^($B37-YearCurrent)+PARAMETERS!$CS$37*VLOOKUP(ProjLoc,EmCost,4)+PARAMETERS!$CT$37*VLOOKUP(ProjLoc,EmCost,5)+PARAMETERS!$CU$37*VLOOKUP(ProjLoc,EmCost,6)+PARAMETERS!$CV$37*VLOOKUP(ProjLoc,EmCost,7)),0)</f>
        <v>0</v>
      </c>
      <c r="AA37" s="369">
        <f t="shared" si="4"/>
        <v>-882.09064917990327</v>
      </c>
      <c r="AB37" s="370">
        <f t="shared" si="5"/>
        <v>-509.38537069150505</v>
      </c>
      <c r="AC37" s="371"/>
      <c r="AD37" s="401">
        <f>IF(INDEX(HwyTransitModelGroup,A18,1)=Hwy,0.00000110231131*(C37*(1-M37)*VLOOKUP(K37,EmAuto20,2)-D37*(1-N37)*VLOOKUP(L37,EmAuto20,2)+(O37*(1-M37)-P37*(1-N37))*VLOOKUP(0,EmAuto20,2))+0.00000110231131*(C37*M37*VLOOKUP(K37,EmTruck20,2)-D37*N37*VLOOKUP(L37,EmTruck20,2)+(O37*M37-P37*N37)*VLOOKUP(0,EmTruck20,2)),0)</f>
        <v>-1.7583057885898295E-2</v>
      </c>
      <c r="AE37" s="863">
        <f>IF(INDEX(HwyTransitModelGroup,A18,1)=Hwy,0.00000110231131*(C37*(1-M37)*VLOOKUP(K37,EmAuto20,3)-D37*(1-N37)*VLOOKUP(L37,EmAuto20,3)+(O37*(1-M37)-P37*(1-N37))*VLOOKUP(0,EmAuto20,3))+0.00000110231131*(C37*M37*VLOOKUP(K37,EmTruck20,3)-D37*N37*VLOOKUP(L37,EmTruck20,3)+(O37*M37-P37*N37)*VLOOKUP(0,EmTruck20,3)),0)</f>
        <v>-12.73917484511326</v>
      </c>
      <c r="AF37" s="861">
        <f>IF(INDEX(HwyTransitModelGroup,A18,1)=Hwy,0.00000110231131*(C37*(1-M37)*VLOOKUP(K37,EmAuto20,4)-D37*(1-N37)*VLOOKUP(L37,EmAuto20,4)+(O37*(1-M37)-P37*(1-N37))*VLOOKUP(0,EmAuto20,4))+0.00000110231131*(C37*M37*VLOOKUP(K37,EmTruck20,4)-D37*N37*VLOOKUP(L37,EmTruck20,4)+(O37*M37-P37*N37)*VLOOKUP(0,EmTruck20,4)),0)</f>
        <v>-3.9615244486875421E-3</v>
      </c>
      <c r="AG37" s="863">
        <f>IF(INDEX(HwyTransitModelGroup,A18,1)=Hwy,0.00000110231131*(C37*(1-M37)*VLOOKUP(K37,EmAuto20,5)-D37*(1-N37)*VLOOKUP(L37,EmAuto20,5)+(O37*(1-M37)-P37*(1-N37))*VLOOKUP(0,EmAuto20,5))+0.00000110231131*(C37*M37*VLOOKUP(K37,EmTruck20,5)-D37*N37*VLOOKUP(L37,EmTruck20,5)+(O37*M37-P37*N37)*VLOOKUP(0,EmTruck20,5)),0)</f>
        <v>-5.6366732929302524E-5</v>
      </c>
      <c r="AH37" s="861">
        <f>IF(INDEX(HwyTransitModelGroup,A18,1)=Hwy,0.00000110231131*(C37*(1-M37)*VLOOKUP(K37,EmAuto20,6)-D37*(1-N37)*VLOOKUP(L37,EmAuto20,6)+(O37*(1-M37)-P37*(1-N37))*VLOOKUP(0,EmAuto20,6))+0.00000110231131*(C37*M37*VLOOKUP(K37,EmTruck20,6)-D37*N37*VLOOKUP(L37,EmTruck20,6)+(O37*M37-P37*N37)*VLOOKUP(0,EmTruck20,6)),0)</f>
        <v>-1.2170090064281215E-4</v>
      </c>
      <c r="AI37" s="863">
        <f>IF(INDEX(HwyTransitModelGroup,A18,1)=Hwy,0.00000110231131*(C37*(1-M37)*VLOOKUP(K37,EmAuto20,7)-D37*(1-N37)*VLOOKUP(L37,EmAuto20,7)+(O37*(1-M37)-P37*(1-N37))*VLOOKUP(0,EmAuto20,7))+0.00000110231131*(C37*M37*VLOOKUP(K37,EmTruck20,7)-D37*N37*VLOOKUP(L37,EmTruck20,7)+(O37*M37-P37*N37)*VLOOKUP(0,EmTruck20,7)),0)</f>
        <v>-2.4436259786964694E-4</v>
      </c>
      <c r="AJ37" s="861">
        <f>IF(INDEX(HwyTransitModelGroup,A18,1)=Hwy,0.00000110231131*(C37*(1-M37)*VLOOKUP(K37,EmAuto20,8)-D37*(1-N37)*VLOOKUP(L37,EmAuto20,8)+(O37*(1-M37)-P37*(1-N37))*VLOOKUP(0,EmAuto20,8))+0.00000110231131*(C37*M37*VLOOKUP(K37,EmTruck20,8)-D37*N37*VLOOKUP(L37,EmTruck20,8)+(O37*M37-P37*N37)*VLOOKUP(0,EmTruck20,8)),0)</f>
        <v>-5.4445139761258113E-5</v>
      </c>
      <c r="AK37" s="401">
        <f>IF(INDEX(HwyTransitModelGroup,A18,1)=PARAMETERS!$J$9,0.00000110231131*(C37*VLOOKUP(K37,EmBus20,2)-D37*VLOOKUP(L37,EmBus20,2)+(O37-P37)*VLOOKUP(0,EmBus20,2)),0)</f>
        <v>0</v>
      </c>
      <c r="AL37" s="863">
        <f>IF(INDEX(HwyTransitModelGroup,A18,1)=PARAMETERS!$J$9,0.00000110231131*(C37*VLOOKUP(K37,EmBus20,3)-D37*VLOOKUP(L37,EmBus20,3)+(O37-P37)*VLOOKUP(0,EmBus20,3)),0)</f>
        <v>0</v>
      </c>
      <c r="AM37" s="861">
        <f>IF(INDEX(HwyTransitModelGroup,A18,1)=PARAMETERS!$J$9,0.00000110231131*(C37*VLOOKUP(K37,EmBus20,4)-D37*VLOOKUP(L37,EmBus20,4)+(O37-P37)*VLOOKUP(0,EmBus20,4)),0)</f>
        <v>0</v>
      </c>
      <c r="AN37" s="863">
        <f>IF(INDEX(HwyTransitModelGroup,A18,1)=PARAMETERS!$J$9,0.00000110231131*(C37*VLOOKUP(K37,EmBus20,5)-D37*VLOOKUP(L37,EmBus20,5)+(O37-P37)*VLOOKUP(0,EmBus20,5)),0)</f>
        <v>0</v>
      </c>
      <c r="AO37" s="861">
        <f>IF(INDEX(HwyTransitModelGroup,A18,1)=PARAMETERS!$J$9,0.00000110231131*(C37*VLOOKUP(K37,EmBus20,6)-D37*VLOOKUP(L37,EmBus20,6)+(O37-P37)*VLOOKUP(0,EmBus20,6)),0)</f>
        <v>0</v>
      </c>
      <c r="AP37" s="863">
        <f>IF(INDEX(HwyTransitModelGroup,A18,1)=PARAMETERS!$J$9,0.00000110231131*(C37*VLOOKUP(K37,EmBus20,7)-D37*VLOOKUP(L37,EmBus20,7)+(O37-P37)*VLOOKUP(0,EmBus20,7)),0)</f>
        <v>0</v>
      </c>
      <c r="AQ37" s="861">
        <f>IF(INDEX(HwyTransitModelGroup,A18,1)=PARAMETERS!$J$9,0.00000110231131*(C37*VLOOKUP(K37,EmBus20,8)-D37*VLOOKUP(L37,EmBus20,8)+(O37-P37)*VLOOKUP(0,EmBus20,8)),0)</f>
        <v>0</v>
      </c>
      <c r="AR37" s="401">
        <f>IF(INDEX(HwyTransitModelGroup,A18,1)=PARAMETERS!$J$10,0.00000110231131*((C37-D37)*PARAMETERS!$CQ$29),0)</f>
        <v>0</v>
      </c>
      <c r="AS37" s="863">
        <f>IF(INDEX(HwyTransitModelGroup,A18,1)=PARAMETERS!$J$10,0.00000110231131*((C37-D37)*PARAMETERS!$CR$29),0)</f>
        <v>0</v>
      </c>
      <c r="AT37" s="861">
        <f>IF(INDEX(HwyTransitModelGroup,A18,1)=PARAMETERS!$J$10,0.00000110231131*((C37-D37)*PARAMETERS!$CS$29),0)</f>
        <v>0</v>
      </c>
      <c r="AU37" s="863">
        <f>IF(INDEX(HwyTransitModelGroup,A18,1)=PARAMETERS!$J$10,0.00000110231131*((C37-D37)*PARAMETERS!$CT$29),0)</f>
        <v>0</v>
      </c>
      <c r="AV37" s="861">
        <f>IF(INDEX(HwyTransitModelGroup,A18,1)=PARAMETERS!$J$10,0.00000110231131*((C37-D37)*PARAMETERS!$CU$29),0)</f>
        <v>0</v>
      </c>
      <c r="AW37" s="863">
        <f>IF(INDEX(HwyTransitModelGroup,A18,1)=PARAMETERS!$J$10,0.00000110231131*((C37-D37)*PARAMETERS!$CV$29),0)</f>
        <v>0</v>
      </c>
      <c r="AX37" s="861">
        <f>IF(INDEX(HwyTransitModelGroup,A18,1)=PARAMETERS!$J$10,0.00000110231131*((C37-D37)*PARAMETERS!$CW$29),0)</f>
        <v>0</v>
      </c>
      <c r="AY37" s="401">
        <f>IF(INDEX(HwyTransitModelGroup,A18,1)=PARAMETERS!$J$11,0.00000110231131*((C37-D37)*PARAMETERS!$CQ$37),0)</f>
        <v>0</v>
      </c>
      <c r="AZ37" s="863">
        <f>IF(INDEX(HwyTransitModelGroup,A18,1)=PARAMETERS!$J$11,0.00000110231131*((C37-D37)*PARAMETERS!$CR$37),0)</f>
        <v>0</v>
      </c>
      <c r="BA37" s="861">
        <f>IF(INDEX(HwyTransitModelGroup,A18,1)=PARAMETERS!$J$11,0.00000110231131*((C37-D37)*PARAMETERS!$CS$37),0)</f>
        <v>0</v>
      </c>
      <c r="BB37" s="863">
        <f>IF(INDEX(HwyTransitModelGroup,A18,1)=PARAMETERS!$J$11,0.00000110231131*((C37-D37)*PARAMETERS!$CT$37),0)</f>
        <v>0</v>
      </c>
      <c r="BC37" s="861">
        <f>IF(INDEX(HwyTransitModelGroup,A18,1)=PARAMETERS!$J$11,0.00000110231131*((C37-D37)*PARAMETERS!$CU$37),0)</f>
        <v>0</v>
      </c>
      <c r="BD37" s="863">
        <f>IF(INDEX(HwyTransitModelGroup,A18,1)=PARAMETERS!$J$11,0.00000110231131*((C37-D37)*PARAMETERS!$CV$37),0)</f>
        <v>0</v>
      </c>
      <c r="BE37" s="865">
        <f>IF(INDEX(HwyTransitModelGroup,A18,1)=PARAMETERS!$J$11,0.00000110231131*((C37-D37)*PARAMETERS!$CW$37),0)</f>
        <v>0</v>
      </c>
      <c r="BF37" s="729">
        <f t="shared" si="6"/>
        <v>-0.81230222471357783</v>
      </c>
      <c r="BG37" s="867">
        <f t="shared" si="7"/>
        <v>-465.92733482999114</v>
      </c>
      <c r="BH37" s="867">
        <f t="shared" si="8"/>
        <v>-34.543993052507346</v>
      </c>
      <c r="BI37" s="867">
        <f t="shared" si="9"/>
        <v>-3.7986297855789761</v>
      </c>
      <c r="BJ37" s="867">
        <f t="shared" si="10"/>
        <v>-4.1464750230135818</v>
      </c>
      <c r="BK37" s="869">
        <f t="shared" si="11"/>
        <v>-0.15663577570209186</v>
      </c>
      <c r="BL37" s="392"/>
      <c r="BN37" s="375">
        <f t="shared" si="3"/>
        <v>2039</v>
      </c>
      <c r="BO37" s="376">
        <f t="shared" ca="1" si="1"/>
        <v>-732.67096896726616</v>
      </c>
      <c r="BP37" s="376">
        <f t="shared" ca="1" si="1"/>
        <v>-750.59958271645053</v>
      </c>
      <c r="BQ37" s="376">
        <f t="shared" ca="1" si="1"/>
        <v>167.95284257932784</v>
      </c>
      <c r="BR37" s="376">
        <f t="shared" ca="1" si="1"/>
        <v>-2875.0452999305444</v>
      </c>
      <c r="BS37" s="376">
        <f t="shared" ca="1" si="1"/>
        <v>42442.197086188789</v>
      </c>
      <c r="BT37" s="376">
        <f t="shared" ca="1" si="1"/>
        <v>51072.004298655556</v>
      </c>
      <c r="BV37" s="370">
        <f ca="1">IF(Emissions&lt;&gt;"N",SUM($BO37:BU37),0)</f>
        <v>89323.838375809413</v>
      </c>
      <c r="BW37" s="377"/>
      <c r="BX37" s="370">
        <f t="shared" ca="1" si="2"/>
        <v>173993.94903722836</v>
      </c>
      <c r="BZ37" s="401">
        <f ca="1">SUM($BO71:BU71)</f>
        <v>2.032546904120903</v>
      </c>
      <c r="CA37" s="863">
        <f ca="1">SUM($BO105:BU105)</f>
        <v>2275.9894176343983</v>
      </c>
      <c r="CB37" s="861">
        <f ca="1">SUM($BO139:BU139)</f>
        <v>1.0852257788192159</v>
      </c>
      <c r="CC37" s="863">
        <f ca="1">SUM($BO173:BU173)</f>
        <v>2.6895599537464673E-2</v>
      </c>
      <c r="CD37" s="861">
        <f ca="1">SUM($BO207:BU207)</f>
        <v>2.1827996405003693E-2</v>
      </c>
      <c r="CE37" s="863">
        <f ca="1">SUM($BO241:BU241)</f>
        <v>4.0544562590587044E-2</v>
      </c>
      <c r="CF37" s="861">
        <f ca="1">SUM($BO275:BU275)</f>
        <v>2.576429020664486E-2</v>
      </c>
      <c r="CG37" s="399">
        <f ca="1">SUM($BO309:BU309)</f>
        <v>83.476416121161179</v>
      </c>
      <c r="CH37" s="706">
        <f ca="1">SUM($BO343:BU343)</f>
        <v>78532.175362812777</v>
      </c>
      <c r="CI37" s="706">
        <f ca="1">SUM($BO377:BU377)</f>
        <v>8412.6007963719876</v>
      </c>
      <c r="CJ37" s="706">
        <f ca="1">SUM($BO411:BU411)</f>
        <v>1611.3330599701769</v>
      </c>
      <c r="CK37" s="706">
        <f ca="1">SUM($BO445:BU445)</f>
        <v>661.14865252777349</v>
      </c>
      <c r="CL37" s="400">
        <f ca="1">SUM($BO479:BU479)</f>
        <v>23.104088005634623</v>
      </c>
    </row>
    <row r="38" spans="2:90" x14ac:dyDescent="0.25">
      <c r="B38" s="375">
        <f t="shared" si="12"/>
        <v>2037</v>
      </c>
      <c r="C38" s="401">
        <f>MAX(TREND(C24:C25,B24:B25,B38),0)</f>
        <v>857932.5</v>
      </c>
      <c r="D38" s="402">
        <f>MAX(TREND(D24:D25,B24:B25,B38),0)</f>
        <v>900692.25</v>
      </c>
      <c r="E38" s="401">
        <f>MAX(TREND(E24:E25,B24:B25,B38),0)</f>
        <v>20330.5</v>
      </c>
      <c r="F38" s="402">
        <f>MAX(TREND(F24:F25,B24:B25,B38),0)</f>
        <v>21370.75</v>
      </c>
      <c r="G38" s="401">
        <f>MAX(TREND(G24:G25,B24:B25,B38),0)</f>
        <v>0</v>
      </c>
      <c r="H38" s="402">
        <f>MAX(TREND(H24:H25,B24:B25,B38),0)</f>
        <v>0</v>
      </c>
      <c r="I38" s="401">
        <f>MAX(TREND(I24:I25,B24:B25,B38),0)</f>
        <v>0</v>
      </c>
      <c r="J38" s="402">
        <f>MAX(TREND(J24:J25,B24:B25,B38),0)</f>
        <v>0</v>
      </c>
      <c r="K38" s="435">
        <f>IFERROR(IF(INDEX(HwyTransitModelGroup,A18,1)=Hwy,MAX(5,ROUND(C38/E38,1)),MAX(5,ROUND(G38/I38,1))),55)</f>
        <v>42.2</v>
      </c>
      <c r="L38" s="436">
        <f>IFERROR(IF(INDEX(HwyTransitModelGroup,A18,1)=Hwy,MAX(5,ROUND(D38/F38,1)),MAX(5,ROUND(H38/J38,1))),55)</f>
        <v>42.1</v>
      </c>
      <c r="M38" s="405">
        <f>MIN(MAX(TREND(M24:M25,B24:B25,B38),0),1)</f>
        <v>0.24</v>
      </c>
      <c r="N38" s="406">
        <f>MIN(MAX(TREND(N24:N25,B24:B25,B38),0),1)</f>
        <v>0.24</v>
      </c>
      <c r="O38" s="401">
        <f>MAX(TREND(O24:O25,B24:B25,B38),0)</f>
        <v>0</v>
      </c>
      <c r="P38" s="402">
        <f>MAX(TREND(P24:P25,B24:B25,B38),0)</f>
        <v>0</v>
      </c>
      <c r="Q38" s="729">
        <f>IF(INDEX(HwyTransitModelGroup,A18,1)=Hwy,C38*(1-M38)*0.00000110231131*(VLOOKUP(K38,EmAuto20,2)*VLOOKUP(ProjLoc,EmCost,2)+VLOOKUP(K38,EmAuto20,3)*VLOOKUP(ProjLoc,EmCost,3)*(1+CO2Uprater)^($B38-YearCurrent)+VLOOKUP(K38,EmAuto20,4)*VLOOKUP(ProjLoc,EmCost,4)+VLOOKUP(K38,EmAuto20,5)*VLOOKUP(ProjLoc,EmCost,5)+VLOOKUP(K38,EmAuto20,6)*VLOOKUP(ProjLoc,EmCost,6)+VLOOKUP(K38,EmAuto20,7)*VLOOKUP(ProjLoc,EmCost,7))+C38*M38*0.00000110231131*(VLOOKUP(K38,EmTruck20,2)*VLOOKUP(ProjLoc,EmCost,2)+VLOOKUP(K38,EmTruck20,3)*VLOOKUP(ProjLoc,EmCost,3)*(1+CO2Uprater)^($B38-YearCurrent)+VLOOKUP(K38,EmTruck20,4)*VLOOKUP(ProjLoc,EmCost,4)+VLOOKUP(K38,EmTruck20,5)*VLOOKUP(ProjLoc,EmCost,5)+VLOOKUP(K38,EmTruck20,6)*VLOOKUP(ProjLoc,EmCost,6)+VLOOKUP(K38,EmTruck20,7)*VLOOKUP(ProjLoc,EmCost,7)),0)</f>
        <v>21218.928670112546</v>
      </c>
      <c r="R38" s="802">
        <f>IF(INDEX(HwyTransitModelGroup,A18,1)=Hwy,D38*(1-N38)*0.00000110231131*(VLOOKUP(L38,EmAuto20,2)*VLOOKUP(ProjLoc,EmCost,2)+VLOOKUP(L38,EmAuto20,3)*VLOOKUP(ProjLoc,EmCost,3)*(1+CO2Uprater)^($B38-YearCurrent)+VLOOKUP(L38,EmAuto20,4)*VLOOKUP(ProjLoc,EmCost,4)+VLOOKUP(L38,EmAuto20,5)*VLOOKUP(ProjLoc,EmCost,5)+VLOOKUP(L38,EmAuto20,6)*VLOOKUP(ProjLoc,EmCost,6)+VLOOKUP(L38,EmAuto20,7)*VLOOKUP(ProjLoc,EmCost,7))+D38*N38*0.00000110231131*(VLOOKUP(L38,EmTruck20,2)*VLOOKUP(ProjLoc,EmCost,2)+VLOOKUP(L38,EmTruck20,3)*VLOOKUP(ProjLoc,EmCost,3)*(1+CO2Uprater)^($B38-YearCurrent)+VLOOKUP(L38,EmTruck20,4)*VLOOKUP(ProjLoc,EmCost,4)+VLOOKUP(L38,EmTruck20,5)*VLOOKUP(ProjLoc,EmCost,5)+VLOOKUP(L38,EmTruck20,6)*VLOOKUP(ProjLoc,EmCost,6)+VLOOKUP(L38,EmTruck20,7)*VLOOKUP(ProjLoc,EmCost,7)),0)</f>
        <v>22276.489824634431</v>
      </c>
      <c r="S38" s="729">
        <f>IF(INDEX(HwyTransitModelGroup,A18,1)=Hwy,O38*(1-M38)*0.00000110231131*(VLOOKUP(0,EmAuto20,2)*VLOOKUP(ProjLoc,EmCost,2)+VLOOKUP(0,EmAuto20,3)*VLOOKUP(ProjLoc,EmCost,3)*(1+CO2Uprater)^($B38-YearCurrent)+VLOOKUP(0,EmAuto20,4)*VLOOKUP(ProjLoc,EmCost,4)+VLOOKUP(0,EmAuto20,5)*VLOOKUP(ProjLoc,EmCost,5)+VLOOKUP(0,EmAuto20,6)*VLOOKUP(ProjLoc,EmCost,6)+VLOOKUP(0,EmAuto20,7)*VLOOKUP(ProjLoc,EmCost,7))+O38*M38*0.00000110231131*(VLOOKUP(0,EmTruck20,2)*VLOOKUP(ProjLoc,EmCost,2)+VLOOKUP(0,EmTruck20,3)*VLOOKUP(ProjLoc,EmCost,3)*(1+CO2Uprater)^($B38-YearCurrent)+VLOOKUP(0,EmTruck20,4)*VLOOKUP(ProjLoc,EmCost,4)+VLOOKUP(0,EmTruck20,5)*VLOOKUP(ProjLoc,EmCost,5)+VLOOKUP(0,EmTruck20,6)*VLOOKUP(ProjLoc,EmCost,6)+VLOOKUP(0,EmTruck20,7)*VLOOKUP(ProjLoc,EmCost,7)),0)</f>
        <v>0</v>
      </c>
      <c r="T38" s="802">
        <f>IF(INDEX(HwyTransitModelGroup,A18,1)=Hwy,P38*(1-N38)*0.00000110231131*(VLOOKUP(0,EmAuto20,2)*VLOOKUP(ProjLoc,EmCost,2)+VLOOKUP(0,EmAuto20,3)*VLOOKUP(ProjLoc,EmCost,3)*(1+CO2Uprater)^($B38-YearCurrent)+VLOOKUP(0,EmAuto20,4)*VLOOKUP(ProjLoc,EmCost,4)+VLOOKUP(0,EmAuto20,5)*VLOOKUP(ProjLoc,EmCost,5)+VLOOKUP(0,EmAuto20,6)*VLOOKUP(ProjLoc,EmCost,6)+VLOOKUP(0,EmAuto20,7)*VLOOKUP(ProjLoc,EmCost,7))+P38*N38*0.00000110231131*(VLOOKUP(0,EmTruck20,2)*VLOOKUP(ProjLoc,EmCost,2)+VLOOKUP(0,EmTruck20,3)*VLOOKUP(ProjLoc,EmCost,3)*(1+CO2Uprater)^($B38-YearCurrent)+VLOOKUP(0,EmTruck20,4)*VLOOKUP(ProjLoc,EmCost,4)+VLOOKUP(0,EmTruck20,5)*VLOOKUP(ProjLoc,EmCost,5)+VLOOKUP(0,EmTruck20,6)*VLOOKUP(ProjLoc,EmCost,6)+VLOOKUP(0,EmTruck20,7)*VLOOKUP(ProjLoc,EmCost,7)),0)</f>
        <v>0</v>
      </c>
      <c r="U38" s="729">
        <f>IF(INDEX(HwyTransitModelGroup,A18,1)=PARAMETERS!$J$9,C38*0.00000110231131*(VLOOKUP(K38,EmBus20,2)*VLOOKUP(ProjLoc,EmCost,2)+VLOOKUP(K38,EmBus20,3)*VLOOKUP(ProjLoc,EmCost,3)*(1+CO2Uprater)^($B38-YearCurrent)+VLOOKUP(K38,EmBus20,4)*VLOOKUP(ProjLoc,EmCost,4)+VLOOKUP(K38,EmBus20,5)*VLOOKUP(ProjLoc,EmCost,5)+VLOOKUP(K38,EmBus20,6)*VLOOKUP(ProjLoc,EmCost,6)+VLOOKUP(K38,EmBus20,7)*VLOOKUP(ProjLoc,EmCost,7)),0)</f>
        <v>0</v>
      </c>
      <c r="V38" s="802">
        <f>IF(INDEX(HwyTransitModelGroup,A18,1)=PARAMETERS!$J$9,D38*0.00000110231131*(VLOOKUP(L38,EmBus20,2)*VLOOKUP(ProjLoc,EmCost,2)+VLOOKUP(L38,EmBus20,3)*VLOOKUP(ProjLoc,EmCost,3)*(1+CO2Uprater)^($B38-YearCurrent)+VLOOKUP(L38,EmBus20,4)*VLOOKUP(ProjLoc,EmCost,4)+VLOOKUP(L38,EmBus20,5)*VLOOKUP(ProjLoc,EmCost,5)+VLOOKUP(L38,EmBus20,6)*VLOOKUP(ProjLoc,EmCost,6)+VLOOKUP(L38,EmBus20,7)*VLOOKUP(ProjLoc,EmCost,7)),0)</f>
        <v>0</v>
      </c>
      <c r="W38" s="808">
        <f>IF(INDEX(HwyTransitModelGroup,A18,1)=PARAMETERS!$J$10,C38*0.00000110231131*(PARAMETERS!$CQ$29*VLOOKUP(ProjLoc,EmCost,2)+PARAMETERS!$CR$29*VLOOKUP(ProjLoc,EmCost,3)*(1+CO2Uprater)^($B38-YearCurrent)+PARAMETERS!$CS$29*VLOOKUP(ProjLoc,EmCost,4)+PARAMETERS!$CT$29*VLOOKUP(ProjLoc,EmCost,5)+PARAMETERS!$CU$29*VLOOKUP(ProjLoc,EmCost,6)+PARAMETERS!$CV$29*VLOOKUP(ProjLoc,EmCost,7)),0)</f>
        <v>0</v>
      </c>
      <c r="X38" s="844">
        <f>IF(INDEX(HwyTransitModelGroup,A18,1)=PARAMETERS!$J$10,D38*0.00000110231131*(PARAMETERS!$CQ$29*VLOOKUP(ProjLoc,EmCost,2)+PARAMETERS!$CR$29*VLOOKUP(ProjLoc,EmCost,3)*(1+CO2Uprater)^($B38-YearCurrent)+PARAMETERS!$CS$29*VLOOKUP(ProjLoc,EmCost,4)+PARAMETERS!$CT$29*VLOOKUP(ProjLoc,EmCost,5)+PARAMETERS!$CU$29*VLOOKUP(ProjLoc,EmCost,6)+PARAMETERS!$CV$29*VLOOKUP(ProjLoc,EmCost,7)),0)</f>
        <v>0</v>
      </c>
      <c r="Y38" s="808">
        <f>IF(INDEX(HwyTransitModelGroup,A18,1)=PARAMETERS!$J$11,C38*0.00000110231131*(PARAMETERS!$CQ$37*VLOOKUP(ProjLoc,EmCost,2)+PARAMETERS!$CR$37*VLOOKUP(ProjLoc,EmCost,3)*(1+CO2Uprater)^($B38-YearCurrent)+PARAMETERS!$CS$37*VLOOKUP(ProjLoc,EmCost,4)+PARAMETERS!$CT$37*VLOOKUP(ProjLoc,EmCost,5)+PARAMETERS!$CU$37*VLOOKUP(ProjLoc,EmCost,6)+PARAMETERS!$CV$37*VLOOKUP(ProjLoc,EmCost,7)),0)</f>
        <v>0</v>
      </c>
      <c r="Z38" s="844">
        <f>IF(INDEX(HwyTransitModelGroup,A18,1)=PARAMETERS!$J$11,D38*0.00000110231131*(PARAMETERS!$CQ$37*VLOOKUP(ProjLoc,EmCost,2)+PARAMETERS!$CR$37*VLOOKUP(ProjLoc,EmCost,3)*(1+CO2Uprater)^($B38-YearCurrent)+PARAMETERS!$CS$37*VLOOKUP(ProjLoc,EmCost,4)+PARAMETERS!$CT$37*VLOOKUP(ProjLoc,EmCost,5)+PARAMETERS!$CU$37*VLOOKUP(ProjLoc,EmCost,6)+PARAMETERS!$CV$37*VLOOKUP(ProjLoc,EmCost,7)),0)</f>
        <v>0</v>
      </c>
      <c r="AA38" s="369">
        <f t="shared" si="4"/>
        <v>-1057.5611545218853</v>
      </c>
      <c r="AB38" s="370">
        <f t="shared" si="5"/>
        <v>-587.22616855447143</v>
      </c>
      <c r="AC38" s="371"/>
      <c r="AD38" s="401">
        <f>IF(INDEX(HwyTransitModelGroup,A18,1)=Hwy,0.00000110231131*(C38*(1-M38)*VLOOKUP(K38,EmAuto20,2)-D38*(1-N38)*VLOOKUP(L38,EmAuto20,2)+(O38*(1-M38)-P38*(1-N38))*VLOOKUP(0,EmAuto20,2))+0.00000110231131*(C38*M38*VLOOKUP(K38,EmTruck20,2)-D38*N38*VLOOKUP(L38,EmTruck20,2)+(O38*M38-P38*N38)*VLOOKUP(0,EmTruck20,2)),0)</f>
        <v>-2.0702062626462129E-2</v>
      </c>
      <c r="AE38" s="863">
        <f>IF(INDEX(HwyTransitModelGroup,A18,1)=Hwy,0.00000110231131*(C38*(1-M38)*VLOOKUP(K38,EmAuto20,3)-D38*(1-N38)*VLOOKUP(L38,EmAuto20,3)+(O38*(1-M38)-P38*(1-N38))*VLOOKUP(0,EmAuto20,3))+0.00000110231131*(C38*M38*VLOOKUP(K38,EmTruck20,3)-D38*N38*VLOOKUP(L38,EmTruck20,3)+(O38*M38-P38*N38)*VLOOKUP(0,EmTruck20,3)),0)</f>
        <v>-14.998938021155944</v>
      </c>
      <c r="AF38" s="861">
        <f>IF(INDEX(HwyTransitModelGroup,A18,1)=Hwy,0.00000110231131*(C38*(1-M38)*VLOOKUP(K38,EmAuto20,4)-D38*(1-N38)*VLOOKUP(L38,EmAuto20,4)+(O38*(1-M38)-P38*(1-N38))*VLOOKUP(0,EmAuto20,4))+0.00000110231131*(C38*M38*VLOOKUP(K38,EmTruck20,4)-D38*N38*VLOOKUP(L38,EmTruck20,4)+(O38*M38-P38*N38)*VLOOKUP(0,EmTruck20,4)),0)</f>
        <v>-4.6642471272738198E-3</v>
      </c>
      <c r="AG38" s="863">
        <f>IF(INDEX(HwyTransitModelGroup,A18,1)=Hwy,0.00000110231131*(C38*(1-M38)*VLOOKUP(K38,EmAuto20,5)-D38*(1-N38)*VLOOKUP(L38,EmAuto20,5)+(O38*(1-M38)-P38*(1-N38))*VLOOKUP(0,EmAuto20,5))+0.00000110231131*(C38*M38*VLOOKUP(K38,EmTruck20,5)-D38*N38*VLOOKUP(L38,EmTruck20,5)+(O38*M38-P38*N38)*VLOOKUP(0,EmTruck20,5)),0)</f>
        <v>-6.6365454901183582E-5</v>
      </c>
      <c r="AH38" s="861">
        <f>IF(INDEX(HwyTransitModelGroup,A18,1)=Hwy,0.00000110231131*(C38*(1-M38)*VLOOKUP(K38,EmAuto20,6)-D38*(1-N38)*VLOOKUP(L38,EmAuto20,6)+(O38*(1-M38)-P38*(1-N38))*VLOOKUP(0,EmAuto20,6))+0.00000110231131*(C38*M38*VLOOKUP(K38,EmTruck20,6)-D38*N38*VLOOKUP(L38,EmTruck20,6)+(O38*M38-P38*N38)*VLOOKUP(0,EmTruck20,6)),0)</f>
        <v>-1.4328905035482838E-4</v>
      </c>
      <c r="AI38" s="863">
        <f>IF(INDEX(HwyTransitModelGroup,A18,1)=Hwy,0.00000110231131*(C38*(1-M38)*VLOOKUP(K38,EmAuto20,7)-D38*(1-N38)*VLOOKUP(L38,EmAuto20,7)+(O38*(1-M38)-P38*(1-N38))*VLOOKUP(0,EmAuto20,7))+0.00000110231131*(C38*M38*VLOOKUP(K38,EmTruck20,7)-D38*N38*VLOOKUP(L38,EmTruck20,7)+(O38*M38-P38*N38)*VLOOKUP(0,EmTruck20,7)),0)</f>
        <v>-2.8770933005456379E-4</v>
      </c>
      <c r="AJ38" s="861">
        <f>IF(INDEX(HwyTransitModelGroup,A18,1)=Hwy,0.00000110231131*(C38*(1-M38)*VLOOKUP(K38,EmAuto20,8)-D38*(1-N38)*VLOOKUP(L38,EmAuto20,8)+(O38*(1-M38)-P38*(1-N38))*VLOOKUP(0,EmAuto20,8))+0.00000110231131*(C38*M38*VLOOKUP(K38,EmTruck20,8)-D38*N38*VLOOKUP(L38,EmTruck20,8)+(O38*M38-P38*N38)*VLOOKUP(0,EmTruck20,8)),0)</f>
        <v>-6.4102996211370643E-5</v>
      </c>
      <c r="AK38" s="401">
        <f>IF(INDEX(HwyTransitModelGroup,A18,1)=PARAMETERS!$J$9,0.00000110231131*(C38*VLOOKUP(K38,EmBus20,2)-D38*VLOOKUP(L38,EmBus20,2)+(O38-P38)*VLOOKUP(0,EmBus20,2)),0)</f>
        <v>0</v>
      </c>
      <c r="AL38" s="863">
        <f>IF(INDEX(HwyTransitModelGroup,A18,1)=PARAMETERS!$J$9,0.00000110231131*(C38*VLOOKUP(K38,EmBus20,3)-D38*VLOOKUP(L38,EmBus20,3)+(O38-P38)*VLOOKUP(0,EmBus20,3)),0)</f>
        <v>0</v>
      </c>
      <c r="AM38" s="861">
        <f>IF(INDEX(HwyTransitModelGroup,A18,1)=PARAMETERS!$J$9,0.00000110231131*(C38*VLOOKUP(K38,EmBus20,4)-D38*VLOOKUP(L38,EmBus20,4)+(O38-P38)*VLOOKUP(0,EmBus20,4)),0)</f>
        <v>0</v>
      </c>
      <c r="AN38" s="863">
        <f>IF(INDEX(HwyTransitModelGroup,A18,1)=PARAMETERS!$J$9,0.00000110231131*(C38*VLOOKUP(K38,EmBus20,5)-D38*VLOOKUP(L38,EmBus20,5)+(O38-P38)*VLOOKUP(0,EmBus20,5)),0)</f>
        <v>0</v>
      </c>
      <c r="AO38" s="861">
        <f>IF(INDEX(HwyTransitModelGroup,A18,1)=PARAMETERS!$J$9,0.00000110231131*(C38*VLOOKUP(K38,EmBus20,6)-D38*VLOOKUP(L38,EmBus20,6)+(O38-P38)*VLOOKUP(0,EmBus20,6)),0)</f>
        <v>0</v>
      </c>
      <c r="AP38" s="863">
        <f>IF(INDEX(HwyTransitModelGroup,A18,1)=PARAMETERS!$J$9,0.00000110231131*(C38*VLOOKUP(K38,EmBus20,7)-D38*VLOOKUP(L38,EmBus20,7)+(O38-P38)*VLOOKUP(0,EmBus20,7)),0)</f>
        <v>0</v>
      </c>
      <c r="AQ38" s="861">
        <f>IF(INDEX(HwyTransitModelGroup,A18,1)=PARAMETERS!$J$9,0.00000110231131*(C38*VLOOKUP(K38,EmBus20,8)-D38*VLOOKUP(L38,EmBus20,8)+(O38-P38)*VLOOKUP(0,EmBus20,8)),0)</f>
        <v>0</v>
      </c>
      <c r="AR38" s="401">
        <f>IF(INDEX(HwyTransitModelGroup,A18,1)=PARAMETERS!$J$10,0.00000110231131*((C38-D38)*PARAMETERS!$CQ$29),0)</f>
        <v>0</v>
      </c>
      <c r="AS38" s="863">
        <f>IF(INDEX(HwyTransitModelGroup,A18,1)=PARAMETERS!$J$10,0.00000110231131*((C38-D38)*PARAMETERS!$CR$29),0)</f>
        <v>0</v>
      </c>
      <c r="AT38" s="861">
        <f>IF(INDEX(HwyTransitModelGroup,A18,1)=PARAMETERS!$J$10,0.00000110231131*((C38-D38)*PARAMETERS!$CS$29),0)</f>
        <v>0</v>
      </c>
      <c r="AU38" s="863">
        <f>IF(INDEX(HwyTransitModelGroup,A18,1)=PARAMETERS!$J$10,0.00000110231131*((C38-D38)*PARAMETERS!$CT$29),0)</f>
        <v>0</v>
      </c>
      <c r="AV38" s="861">
        <f>IF(INDEX(HwyTransitModelGroup,A18,1)=PARAMETERS!$J$10,0.00000110231131*((C38-D38)*PARAMETERS!$CU$29),0)</f>
        <v>0</v>
      </c>
      <c r="AW38" s="863">
        <f>IF(INDEX(HwyTransitModelGroup,A18,1)=PARAMETERS!$J$10,0.00000110231131*((C38-D38)*PARAMETERS!$CV$29),0)</f>
        <v>0</v>
      </c>
      <c r="AX38" s="861">
        <f>IF(INDEX(HwyTransitModelGroup,A18,1)=PARAMETERS!$J$10,0.00000110231131*((C38-D38)*PARAMETERS!$CW$29),0)</f>
        <v>0</v>
      </c>
      <c r="AY38" s="401">
        <f>IF(INDEX(HwyTransitModelGroup,A18,1)=PARAMETERS!$J$11,0.00000110231131*((C38-D38)*PARAMETERS!$CQ$37),0)</f>
        <v>0</v>
      </c>
      <c r="AZ38" s="863">
        <f>IF(INDEX(HwyTransitModelGroup,A18,1)=PARAMETERS!$J$11,0.00000110231131*((C38-D38)*PARAMETERS!$CR$37),0)</f>
        <v>0</v>
      </c>
      <c r="BA38" s="861">
        <f>IF(INDEX(HwyTransitModelGroup,A18,1)=PARAMETERS!$J$11,0.00000110231131*((C38-D38)*PARAMETERS!$CS$37),0)</f>
        <v>0</v>
      </c>
      <c r="BB38" s="863">
        <f>IF(INDEX(HwyTransitModelGroup,A18,1)=PARAMETERS!$J$11,0.00000110231131*((C38-D38)*PARAMETERS!$CT$37),0)</f>
        <v>0</v>
      </c>
      <c r="BC38" s="861">
        <f>IF(INDEX(HwyTransitModelGroup,A18,1)=PARAMETERS!$J$11,0.00000110231131*((C38-D38)*PARAMETERS!$CU$37),0)</f>
        <v>0</v>
      </c>
      <c r="BD38" s="863">
        <f>IF(INDEX(HwyTransitModelGroup,A18,1)=PARAMETERS!$J$11,0.00000110231131*((C38-D38)*PARAMETERS!$CV$37),0)</f>
        <v>0</v>
      </c>
      <c r="BE38" s="865">
        <f>IF(INDEX(HwyTransitModelGroup,A18,1)=PARAMETERS!$J$11,0.00000110231131*((C38-D38)*PARAMETERS!$CW$37),0)</f>
        <v>0</v>
      </c>
      <c r="BF38" s="729">
        <f t="shared" si="6"/>
        <v>-0.9196096407537252</v>
      </c>
      <c r="BG38" s="867">
        <f t="shared" si="7"/>
        <v>-538.02720352570589</v>
      </c>
      <c r="BH38" s="867">
        <f t="shared" si="8"/>
        <v>-39.107352011028524</v>
      </c>
      <c r="BI38" s="867">
        <f t="shared" si="9"/>
        <v>-4.3004394992324642</v>
      </c>
      <c r="BJ38" s="867">
        <f t="shared" si="10"/>
        <v>-4.6942360740823386</v>
      </c>
      <c r="BK38" s="869">
        <f t="shared" si="11"/>
        <v>-0.17732780366737563</v>
      </c>
      <c r="BL38" s="392"/>
      <c r="BN38" s="375">
        <f t="shared" si="3"/>
        <v>2040</v>
      </c>
      <c r="BO38" s="376">
        <f t="shared" ca="1" si="1"/>
        <v>-800.5052222878877</v>
      </c>
      <c r="BP38" s="376">
        <f t="shared" ca="1" si="1"/>
        <v>-745.72967037937076</v>
      </c>
      <c r="BQ38" s="376">
        <f t="shared" ca="1" si="1"/>
        <v>164.50600327860232</v>
      </c>
      <c r="BR38" s="376">
        <f t="shared" ca="1" si="1"/>
        <v>-2830.5740018973652</v>
      </c>
      <c r="BS38" s="376">
        <f t="shared" ca="1" si="1"/>
        <v>42867.833333369868</v>
      </c>
      <c r="BT38" s="376">
        <f t="shared" ca="1" si="1"/>
        <v>51060.666179326166</v>
      </c>
      <c r="BV38" s="370">
        <f ca="1">IF(Emissions&lt;&gt;"N",SUM($BO38:BU38),0)</f>
        <v>89716.196621410025</v>
      </c>
      <c r="BW38" s="377"/>
      <c r="BX38" s="370">
        <f t="shared" ca="1" si="2"/>
        <v>181748.55281260019</v>
      </c>
      <c r="BZ38" s="401">
        <f ca="1">SUM($BO72:BU72)</f>
        <v>2.0808066117812034</v>
      </c>
      <c r="CA38" s="863">
        <f ca="1">SUM($BO106:BU106)</f>
        <v>2336.0080359109343</v>
      </c>
      <c r="CB38" s="861">
        <f ca="1">SUM($BO140:BU140)</f>
        <v>1.1150485688303349</v>
      </c>
      <c r="CC38" s="863">
        <f ca="1">SUM($BO174:BU174)</f>
        <v>2.7676748564955701E-2</v>
      </c>
      <c r="CD38" s="861">
        <f ca="1">SUM($BO208:BU208)</f>
        <v>2.2404657824111426E-2</v>
      </c>
      <c r="CE38" s="863">
        <f ca="1">SUM($BO242:BU242)</f>
        <v>4.1583214839311891E-2</v>
      </c>
      <c r="CF38" s="861">
        <f ca="1">SUM($BO276:BU276)</f>
        <v>2.6513000842397383E-2</v>
      </c>
      <c r="CG38" s="399">
        <f ca="1">SUM($BO310:BU310)</f>
        <v>82.171572636918512</v>
      </c>
      <c r="CH38" s="706">
        <f ca="1">SUM($BO344:BU344)</f>
        <v>79053.036117029958</v>
      </c>
      <c r="CI38" s="706">
        <f ca="1">SUM($BO378:BU378)</f>
        <v>8311.3318810079618</v>
      </c>
      <c r="CJ38" s="706">
        <f ca="1">SUM($BO412:BU412)</f>
        <v>1594.3578961921994</v>
      </c>
      <c r="CK38" s="706">
        <f ca="1">SUM($BO446:BU446)</f>
        <v>652.51457947344056</v>
      </c>
      <c r="CL38" s="400">
        <f ca="1">SUM($BO480:BU480)</f>
        <v>22.784575069480805</v>
      </c>
    </row>
    <row r="39" spans="2:90" x14ac:dyDescent="0.25">
      <c r="B39" s="375">
        <f t="shared" si="12"/>
        <v>2038</v>
      </c>
      <c r="C39" s="401">
        <f>MAX(TREND(C24:C25,B24:B25,B39),0)</f>
        <v>867605</v>
      </c>
      <c r="D39" s="402">
        <f>MAX(TREND(D24:D25,B24:B25,B39),0)</f>
        <v>916807</v>
      </c>
      <c r="E39" s="401">
        <f>MAX(TREND(E24:E25,B24:B25,B39),0)</f>
        <v>20586</v>
      </c>
      <c r="F39" s="402">
        <f>MAX(TREND(F24:F25,B24:B25,B39),0)</f>
        <v>21754</v>
      </c>
      <c r="G39" s="401">
        <f>MAX(TREND(G24:G25,B24:B25,B39),0)</f>
        <v>0</v>
      </c>
      <c r="H39" s="402">
        <f>MAX(TREND(H24:H25,B24:B25,B39),0)</f>
        <v>0</v>
      </c>
      <c r="I39" s="401">
        <f>MAX(TREND(I24:I25,B24:B25,B39),0)</f>
        <v>0</v>
      </c>
      <c r="J39" s="402">
        <f>MAX(TREND(J24:J25,B24:B25,B39),0)</f>
        <v>0</v>
      </c>
      <c r="K39" s="435">
        <f>IFERROR(IF(INDEX(HwyTransitModelGroup,A18,1)=Hwy,MAX(5,ROUND(C39/E39,1)),MAX(5,ROUND(G39/I39,1))),55)</f>
        <v>42.1</v>
      </c>
      <c r="L39" s="436">
        <f>IFERROR(IF(INDEX(HwyTransitModelGroup,A18,1)=Hwy,MAX(5,ROUND(D39/F39,1)),MAX(5,ROUND(H39/J39,1))),55)</f>
        <v>42.1</v>
      </c>
      <c r="M39" s="405">
        <f>MIN(MAX(TREND(M24:M25,B24:B25,B39),0),1)</f>
        <v>0.24</v>
      </c>
      <c r="N39" s="406">
        <f>MIN(MAX(TREND(N24:N25,B24:B25,B39),0),1)</f>
        <v>0.24</v>
      </c>
      <c r="O39" s="401">
        <f>MAX(TREND(O24:O25,B24:B25,B39),0)</f>
        <v>0</v>
      </c>
      <c r="P39" s="402">
        <f>MAX(TREND(P24:P25,B24:B25,B39),0)</f>
        <v>0</v>
      </c>
      <c r="Q39" s="729">
        <f>IF(INDEX(HwyTransitModelGroup,A18,1)=Hwy,C39*(1-M39)*0.00000110231131*(VLOOKUP(K39,EmAuto20,2)*VLOOKUP(ProjLoc,EmCost,2)+VLOOKUP(K39,EmAuto20,3)*VLOOKUP(ProjLoc,EmCost,3)*(1+CO2Uprater)^($B39-YearCurrent)+VLOOKUP(K39,EmAuto20,4)*VLOOKUP(ProjLoc,EmCost,4)+VLOOKUP(K39,EmAuto20,5)*VLOOKUP(ProjLoc,EmCost,5)+VLOOKUP(K39,EmAuto20,6)*VLOOKUP(ProjLoc,EmCost,6)+VLOOKUP(K39,EmAuto20,7)*VLOOKUP(ProjLoc,EmCost,7))+C39*M39*0.00000110231131*(VLOOKUP(K39,EmTruck20,2)*VLOOKUP(ProjLoc,EmCost,2)+VLOOKUP(K39,EmTruck20,3)*VLOOKUP(ProjLoc,EmCost,3)*(1+CO2Uprater)^($B39-YearCurrent)+VLOOKUP(K39,EmTruck20,4)*VLOOKUP(ProjLoc,EmCost,4)+VLOOKUP(K39,EmTruck20,5)*VLOOKUP(ProjLoc,EmCost,5)+VLOOKUP(K39,EmTruck20,6)*VLOOKUP(ProjLoc,EmCost,6)+VLOOKUP(K39,EmTruck20,7)*VLOOKUP(ProjLoc,EmCost,7)),0)</f>
        <v>21851.362022759524</v>
      </c>
      <c r="R39" s="802">
        <f>IF(INDEX(HwyTransitModelGroup,A18,1)=Hwy,D39*(1-N39)*0.00000110231131*(VLOOKUP(L39,EmAuto20,2)*VLOOKUP(ProjLoc,EmCost,2)+VLOOKUP(L39,EmAuto20,3)*VLOOKUP(ProjLoc,EmCost,3)*(1+CO2Uprater)^($B39-YearCurrent)+VLOOKUP(L39,EmAuto20,4)*VLOOKUP(ProjLoc,EmCost,4)+VLOOKUP(L39,EmAuto20,5)*VLOOKUP(ProjLoc,EmCost,5)+VLOOKUP(L39,EmAuto20,6)*VLOOKUP(ProjLoc,EmCost,6)+VLOOKUP(L39,EmAuto20,7)*VLOOKUP(ProjLoc,EmCost,7))+D39*N39*0.00000110231131*(VLOOKUP(L39,EmTruck20,2)*VLOOKUP(ProjLoc,EmCost,2)+VLOOKUP(L39,EmTruck20,3)*VLOOKUP(ProjLoc,EmCost,3)*(1+CO2Uprater)^($B39-YearCurrent)+VLOOKUP(L39,EmTruck20,4)*VLOOKUP(ProjLoc,EmCost,4)+VLOOKUP(L39,EmTruck20,5)*VLOOKUP(ProjLoc,EmCost,5)+VLOOKUP(L39,EmTruck20,6)*VLOOKUP(ProjLoc,EmCost,6)+VLOOKUP(L39,EmTruck20,7)*VLOOKUP(ProjLoc,EmCost,7)),0)</f>
        <v>23090.55579670483</v>
      </c>
      <c r="S39" s="729">
        <f>IF(INDEX(HwyTransitModelGroup,A18,1)=Hwy,O39*(1-M39)*0.00000110231131*(VLOOKUP(0,EmAuto20,2)*VLOOKUP(ProjLoc,EmCost,2)+VLOOKUP(0,EmAuto20,3)*VLOOKUP(ProjLoc,EmCost,3)*(1+CO2Uprater)^($B39-YearCurrent)+VLOOKUP(0,EmAuto20,4)*VLOOKUP(ProjLoc,EmCost,4)+VLOOKUP(0,EmAuto20,5)*VLOOKUP(ProjLoc,EmCost,5)+VLOOKUP(0,EmAuto20,6)*VLOOKUP(ProjLoc,EmCost,6)+VLOOKUP(0,EmAuto20,7)*VLOOKUP(ProjLoc,EmCost,7))+O39*M39*0.00000110231131*(VLOOKUP(0,EmTruck20,2)*VLOOKUP(ProjLoc,EmCost,2)+VLOOKUP(0,EmTruck20,3)*VLOOKUP(ProjLoc,EmCost,3)*(1+CO2Uprater)^($B39-YearCurrent)+VLOOKUP(0,EmTruck20,4)*VLOOKUP(ProjLoc,EmCost,4)+VLOOKUP(0,EmTruck20,5)*VLOOKUP(ProjLoc,EmCost,5)+VLOOKUP(0,EmTruck20,6)*VLOOKUP(ProjLoc,EmCost,6)+VLOOKUP(0,EmTruck20,7)*VLOOKUP(ProjLoc,EmCost,7)),0)</f>
        <v>0</v>
      </c>
      <c r="T39" s="802">
        <f>IF(INDEX(HwyTransitModelGroup,A18,1)=Hwy,P39*(1-N39)*0.00000110231131*(VLOOKUP(0,EmAuto20,2)*VLOOKUP(ProjLoc,EmCost,2)+VLOOKUP(0,EmAuto20,3)*VLOOKUP(ProjLoc,EmCost,3)*(1+CO2Uprater)^($B39-YearCurrent)+VLOOKUP(0,EmAuto20,4)*VLOOKUP(ProjLoc,EmCost,4)+VLOOKUP(0,EmAuto20,5)*VLOOKUP(ProjLoc,EmCost,5)+VLOOKUP(0,EmAuto20,6)*VLOOKUP(ProjLoc,EmCost,6)+VLOOKUP(0,EmAuto20,7)*VLOOKUP(ProjLoc,EmCost,7))+P39*N39*0.00000110231131*(VLOOKUP(0,EmTruck20,2)*VLOOKUP(ProjLoc,EmCost,2)+VLOOKUP(0,EmTruck20,3)*VLOOKUP(ProjLoc,EmCost,3)*(1+CO2Uprater)^($B39-YearCurrent)+VLOOKUP(0,EmTruck20,4)*VLOOKUP(ProjLoc,EmCost,4)+VLOOKUP(0,EmTruck20,5)*VLOOKUP(ProjLoc,EmCost,5)+VLOOKUP(0,EmTruck20,6)*VLOOKUP(ProjLoc,EmCost,6)+VLOOKUP(0,EmTruck20,7)*VLOOKUP(ProjLoc,EmCost,7)),0)</f>
        <v>0</v>
      </c>
      <c r="U39" s="729">
        <f>IF(INDEX(HwyTransitModelGroup,A18,1)=PARAMETERS!$J$9,C39*0.00000110231131*(VLOOKUP(K39,EmBus20,2)*VLOOKUP(ProjLoc,EmCost,2)+VLOOKUP(K39,EmBus20,3)*VLOOKUP(ProjLoc,EmCost,3)*(1+CO2Uprater)^($B39-YearCurrent)+VLOOKUP(K39,EmBus20,4)*VLOOKUP(ProjLoc,EmCost,4)+VLOOKUP(K39,EmBus20,5)*VLOOKUP(ProjLoc,EmCost,5)+VLOOKUP(K39,EmBus20,6)*VLOOKUP(ProjLoc,EmCost,6)+VLOOKUP(K39,EmBus20,7)*VLOOKUP(ProjLoc,EmCost,7)),0)</f>
        <v>0</v>
      </c>
      <c r="V39" s="802">
        <f>IF(INDEX(HwyTransitModelGroup,A18,1)=PARAMETERS!$J$9,D39*0.00000110231131*(VLOOKUP(L39,EmBus20,2)*VLOOKUP(ProjLoc,EmCost,2)+VLOOKUP(L39,EmBus20,3)*VLOOKUP(ProjLoc,EmCost,3)*(1+CO2Uprater)^($B39-YearCurrent)+VLOOKUP(L39,EmBus20,4)*VLOOKUP(ProjLoc,EmCost,4)+VLOOKUP(L39,EmBus20,5)*VLOOKUP(ProjLoc,EmCost,5)+VLOOKUP(L39,EmBus20,6)*VLOOKUP(ProjLoc,EmCost,6)+VLOOKUP(L39,EmBus20,7)*VLOOKUP(ProjLoc,EmCost,7)),0)</f>
        <v>0</v>
      </c>
      <c r="W39" s="808">
        <f>IF(INDEX(HwyTransitModelGroup,A18,1)=PARAMETERS!$J$10,C39*0.00000110231131*(PARAMETERS!$CQ$29*VLOOKUP(ProjLoc,EmCost,2)+PARAMETERS!$CR$29*VLOOKUP(ProjLoc,EmCost,3)*(1+CO2Uprater)^($B39-YearCurrent)+PARAMETERS!$CS$29*VLOOKUP(ProjLoc,EmCost,4)+PARAMETERS!$CT$29*VLOOKUP(ProjLoc,EmCost,5)+PARAMETERS!$CU$29*VLOOKUP(ProjLoc,EmCost,6)+PARAMETERS!$CV$29*VLOOKUP(ProjLoc,EmCost,7)),0)</f>
        <v>0</v>
      </c>
      <c r="X39" s="844">
        <f>IF(INDEX(HwyTransitModelGroup,A18,1)=PARAMETERS!$J$10,D39*0.00000110231131*(PARAMETERS!$CQ$29*VLOOKUP(ProjLoc,EmCost,2)+PARAMETERS!$CR$29*VLOOKUP(ProjLoc,EmCost,3)*(1+CO2Uprater)^($B39-YearCurrent)+PARAMETERS!$CS$29*VLOOKUP(ProjLoc,EmCost,4)+PARAMETERS!$CT$29*VLOOKUP(ProjLoc,EmCost,5)+PARAMETERS!$CU$29*VLOOKUP(ProjLoc,EmCost,6)+PARAMETERS!$CV$29*VLOOKUP(ProjLoc,EmCost,7)),0)</f>
        <v>0</v>
      </c>
      <c r="Y39" s="808">
        <f>IF(INDEX(HwyTransitModelGroup,A18,1)=PARAMETERS!$J$11,C39*0.00000110231131*(PARAMETERS!$CQ$37*VLOOKUP(ProjLoc,EmCost,2)+PARAMETERS!$CR$37*VLOOKUP(ProjLoc,EmCost,3)*(1+CO2Uprater)^($B39-YearCurrent)+PARAMETERS!$CS$37*VLOOKUP(ProjLoc,EmCost,4)+PARAMETERS!$CT$37*VLOOKUP(ProjLoc,EmCost,5)+PARAMETERS!$CU$37*VLOOKUP(ProjLoc,EmCost,6)+PARAMETERS!$CV$37*VLOOKUP(ProjLoc,EmCost,7)),0)</f>
        <v>0</v>
      </c>
      <c r="Z39" s="844">
        <f>IF(INDEX(HwyTransitModelGroup,A18,1)=PARAMETERS!$J$11,D39*0.00000110231131*(PARAMETERS!$CQ$37*VLOOKUP(ProjLoc,EmCost,2)+PARAMETERS!$CR$37*VLOOKUP(ProjLoc,EmCost,3)*(1+CO2Uprater)^($B39-YearCurrent)+PARAMETERS!$CS$37*VLOOKUP(ProjLoc,EmCost,4)+PARAMETERS!$CT$37*VLOOKUP(ProjLoc,EmCost,5)+PARAMETERS!$CU$37*VLOOKUP(ProjLoc,EmCost,6)+PARAMETERS!$CV$37*VLOOKUP(ProjLoc,EmCost,7)),0)</f>
        <v>0</v>
      </c>
      <c r="AA39" s="369">
        <f t="shared" si="4"/>
        <v>-1239.193773945306</v>
      </c>
      <c r="AB39" s="370">
        <f t="shared" si="5"/>
        <v>-661.61568716839088</v>
      </c>
      <c r="AC39" s="371"/>
      <c r="AD39" s="401">
        <f>IF(INDEX(HwyTransitModelGroup,A18,1)=Hwy,0.00000110231131*(C39*(1-M39)*VLOOKUP(K39,EmAuto20,2)-D39*(1-N39)*VLOOKUP(L39,EmAuto20,2)+(O39*(1-M39)-P39*(1-N39))*VLOOKUP(0,EmAuto20,2))+0.00000110231131*(C39*M39*VLOOKUP(K39,EmTruck20,2)-D39*N39*VLOOKUP(L39,EmTruck20,2)+(O39*M39-P39*N39)*VLOOKUP(0,EmTruck20,2)),0)</f>
        <v>-2.3821067367026022E-2</v>
      </c>
      <c r="AE39" s="863">
        <f>IF(INDEX(HwyTransitModelGroup,A18,1)=Hwy,0.00000110231131*(C39*(1-M39)*VLOOKUP(K39,EmAuto20,3)-D39*(1-N39)*VLOOKUP(L39,EmAuto20,3)+(O39*(1-M39)-P39*(1-N39))*VLOOKUP(0,EmAuto20,3))+0.00000110231131*(C39*M39*VLOOKUP(K39,EmTruck20,3)-D39*N39*VLOOKUP(L39,EmTruck20,3)+(O39*M39-P39*N39)*VLOOKUP(0,EmTruck20,3)),0)</f>
        <v>-17.25870119719864</v>
      </c>
      <c r="AF39" s="861">
        <f>IF(INDEX(HwyTransitModelGroup,A18,1)=Hwy,0.00000110231131*(C39*(1-M39)*VLOOKUP(K39,EmAuto20,4)-D39*(1-N39)*VLOOKUP(L39,EmAuto20,4)+(O39*(1-M39)-P39*(1-N39))*VLOOKUP(0,EmAuto20,4))+0.00000110231131*(C39*M39*VLOOKUP(K39,EmTruck20,4)-D39*N39*VLOOKUP(L39,EmTruck20,4)+(O39*M39-P39*N39)*VLOOKUP(0,EmTruck20,4)),0)</f>
        <v>-5.3669698058600992E-3</v>
      </c>
      <c r="AG39" s="863">
        <f>IF(INDEX(HwyTransitModelGroup,A18,1)=Hwy,0.00000110231131*(C39*(1-M39)*VLOOKUP(K39,EmAuto20,5)-D39*(1-N39)*VLOOKUP(L39,EmAuto20,5)+(O39*(1-M39)-P39*(1-N39))*VLOOKUP(0,EmAuto20,5))+0.00000110231131*(C39*M39*VLOOKUP(K39,EmTruck20,5)-D39*N39*VLOOKUP(L39,EmTruck20,5)+(O39*M39-P39*N39)*VLOOKUP(0,EmTruck20,5)),0)</f>
        <v>-7.6364176873064998E-5</v>
      </c>
      <c r="AH39" s="861">
        <f>IF(INDEX(HwyTransitModelGroup,A18,1)=Hwy,0.00000110231131*(C39*(1-M39)*VLOOKUP(K39,EmAuto20,6)-D39*(1-N39)*VLOOKUP(L39,EmAuto20,6)+(O39*(1-M39)-P39*(1-N39))*VLOOKUP(0,EmAuto20,6))+0.00000110231131*(C39*M39*VLOOKUP(K39,EmTruck20,6)-D39*N39*VLOOKUP(L39,EmTruck20,6)+(O39*M39-P39*N39)*VLOOKUP(0,EmTruck20,6)),0)</f>
        <v>-1.6487720006684489E-4</v>
      </c>
      <c r="AI39" s="863">
        <f>IF(INDEX(HwyTransitModelGroup,A18,1)=Hwy,0.00000110231131*(C39*(1-M39)*VLOOKUP(K39,EmAuto20,7)-D39*(1-N39)*VLOOKUP(L39,EmAuto20,7)+(O39*(1-M39)-P39*(1-N39))*VLOOKUP(0,EmAuto20,7))+0.00000110231131*(C39*M39*VLOOKUP(K39,EmTruck20,7)-D39*N39*VLOOKUP(L39,EmTruck20,7)+(O39*M39-P39*N39)*VLOOKUP(0,EmTruck20,7)),0)</f>
        <v>-3.3105606223948064E-4</v>
      </c>
      <c r="AJ39" s="861">
        <f>IF(INDEX(HwyTransitModelGroup,A18,1)=Hwy,0.00000110231131*(C39*(1-M39)*VLOOKUP(K39,EmAuto20,8)-D39*(1-N39)*VLOOKUP(L39,EmAuto20,8)+(O39*(1-M39)-P39*(1-N39))*VLOOKUP(0,EmAuto20,8))+0.00000110231131*(C39*M39*VLOOKUP(K39,EmTruck20,8)-D39*N39*VLOOKUP(L39,EmTruck20,8)+(O39*M39-P39*N39)*VLOOKUP(0,EmTruck20,8)),0)</f>
        <v>-7.376085266148318E-5</v>
      </c>
      <c r="AK39" s="401">
        <f>IF(INDEX(HwyTransitModelGroup,A18,1)=PARAMETERS!$J$9,0.00000110231131*(C39*VLOOKUP(K39,EmBus20,2)-D39*VLOOKUP(L39,EmBus20,2)+(O39-P39)*VLOOKUP(0,EmBus20,2)),0)</f>
        <v>0</v>
      </c>
      <c r="AL39" s="863">
        <f>IF(INDEX(HwyTransitModelGroup,A18,1)=PARAMETERS!$J$9,0.00000110231131*(C39*VLOOKUP(K39,EmBus20,3)-D39*VLOOKUP(L39,EmBus20,3)+(O39-P39)*VLOOKUP(0,EmBus20,3)),0)</f>
        <v>0</v>
      </c>
      <c r="AM39" s="861">
        <f>IF(INDEX(HwyTransitModelGroup,A18,1)=PARAMETERS!$J$9,0.00000110231131*(C39*VLOOKUP(K39,EmBus20,4)-D39*VLOOKUP(L39,EmBus20,4)+(O39-P39)*VLOOKUP(0,EmBus20,4)),0)</f>
        <v>0</v>
      </c>
      <c r="AN39" s="863">
        <f>IF(INDEX(HwyTransitModelGroup,A18,1)=PARAMETERS!$J$9,0.00000110231131*(C39*VLOOKUP(K39,EmBus20,5)-D39*VLOOKUP(L39,EmBus20,5)+(O39-P39)*VLOOKUP(0,EmBus20,5)),0)</f>
        <v>0</v>
      </c>
      <c r="AO39" s="861">
        <f>IF(INDEX(HwyTransitModelGroup,A18,1)=PARAMETERS!$J$9,0.00000110231131*(C39*VLOOKUP(K39,EmBus20,6)-D39*VLOOKUP(L39,EmBus20,6)+(O39-P39)*VLOOKUP(0,EmBus20,6)),0)</f>
        <v>0</v>
      </c>
      <c r="AP39" s="863">
        <f>IF(INDEX(HwyTransitModelGroup,A18,1)=PARAMETERS!$J$9,0.00000110231131*(C39*VLOOKUP(K39,EmBus20,7)-D39*VLOOKUP(L39,EmBus20,7)+(O39-P39)*VLOOKUP(0,EmBus20,7)),0)</f>
        <v>0</v>
      </c>
      <c r="AQ39" s="861">
        <f>IF(INDEX(HwyTransitModelGroup,A18,1)=PARAMETERS!$J$9,0.00000110231131*(C39*VLOOKUP(K39,EmBus20,8)-D39*VLOOKUP(L39,EmBus20,8)+(O39-P39)*VLOOKUP(0,EmBus20,8)),0)</f>
        <v>0</v>
      </c>
      <c r="AR39" s="401">
        <f>IF(INDEX(HwyTransitModelGroup,A18,1)=PARAMETERS!$J$10,0.00000110231131*((C39-D39)*PARAMETERS!$CQ$29),0)</f>
        <v>0</v>
      </c>
      <c r="AS39" s="863">
        <f>IF(INDEX(HwyTransitModelGroup,A18,1)=PARAMETERS!$J$10,0.00000110231131*((C39-D39)*PARAMETERS!$CR$29),0)</f>
        <v>0</v>
      </c>
      <c r="AT39" s="861">
        <f>IF(INDEX(HwyTransitModelGroup,A18,1)=PARAMETERS!$J$10,0.00000110231131*((C39-D39)*PARAMETERS!$CS$29),0)</f>
        <v>0</v>
      </c>
      <c r="AU39" s="863">
        <f>IF(INDEX(HwyTransitModelGroup,A18,1)=PARAMETERS!$J$10,0.00000110231131*((C39-D39)*PARAMETERS!$CT$29),0)</f>
        <v>0</v>
      </c>
      <c r="AV39" s="861">
        <f>IF(INDEX(HwyTransitModelGroup,A18,1)=PARAMETERS!$J$10,0.00000110231131*((C39-D39)*PARAMETERS!$CU$29),0)</f>
        <v>0</v>
      </c>
      <c r="AW39" s="863">
        <f>IF(INDEX(HwyTransitModelGroup,A18,1)=PARAMETERS!$J$10,0.00000110231131*((C39-D39)*PARAMETERS!$CV$29),0)</f>
        <v>0</v>
      </c>
      <c r="AX39" s="861">
        <f>IF(INDEX(HwyTransitModelGroup,A18,1)=PARAMETERS!$J$10,0.00000110231131*((C39-D39)*PARAMETERS!$CW$29),0)</f>
        <v>0</v>
      </c>
      <c r="AY39" s="401">
        <f>IF(INDEX(HwyTransitModelGroup,A18,1)=PARAMETERS!$J$11,0.00000110231131*((C39-D39)*PARAMETERS!$CQ$37),0)</f>
        <v>0</v>
      </c>
      <c r="AZ39" s="863">
        <f>IF(INDEX(HwyTransitModelGroup,A18,1)=PARAMETERS!$J$11,0.00000110231131*((C39-D39)*PARAMETERS!$CR$37),0)</f>
        <v>0</v>
      </c>
      <c r="BA39" s="861">
        <f>IF(INDEX(HwyTransitModelGroup,A18,1)=PARAMETERS!$J$11,0.00000110231131*((C39-D39)*PARAMETERS!$CS$37),0)</f>
        <v>0</v>
      </c>
      <c r="BB39" s="863">
        <f>IF(INDEX(HwyTransitModelGroup,A18,1)=PARAMETERS!$J$11,0.00000110231131*((C39-D39)*PARAMETERS!$CT$37),0)</f>
        <v>0</v>
      </c>
      <c r="BC39" s="861">
        <f>IF(INDEX(HwyTransitModelGroup,A18,1)=PARAMETERS!$J$11,0.00000110231131*((C39-D39)*PARAMETERS!$CU$37),0)</f>
        <v>0</v>
      </c>
      <c r="BD39" s="863">
        <f>IF(INDEX(HwyTransitModelGroup,A18,1)=PARAMETERS!$J$11,0.00000110231131*((C39-D39)*PARAMETERS!$CV$37),0)</f>
        <v>0</v>
      </c>
      <c r="BE39" s="865">
        <f>IF(INDEX(HwyTransitModelGroup,A18,1)=PARAMETERS!$J$11,0.00000110231131*((C39-D39)*PARAMETERS!$CW$37),0)</f>
        <v>0</v>
      </c>
      <c r="BF39" s="729">
        <f t="shared" si="6"/>
        <v>-1.0174610096654708</v>
      </c>
      <c r="BG39" s="867">
        <f t="shared" si="7"/>
        <v>-607.18168994361633</v>
      </c>
      <c r="BH39" s="867">
        <f t="shared" si="8"/>
        <v>-43.268582775917153</v>
      </c>
      <c r="BI39" s="867">
        <f t="shared" si="9"/>
        <v>-4.7580291908511221</v>
      </c>
      <c r="BJ39" s="867">
        <f t="shared" si="10"/>
        <v>-5.1937278208928364</v>
      </c>
      <c r="BK39" s="869">
        <f t="shared" si="11"/>
        <v>-0.19619642744642149</v>
      </c>
      <c r="BL39" s="392"/>
      <c r="BN39" s="375">
        <f t="shared" si="3"/>
        <v>2041</v>
      </c>
      <c r="BO39" s="376">
        <f t="shared" ca="1" si="1"/>
        <v>-865.22795302169163</v>
      </c>
      <c r="BP39" s="376">
        <f t="shared" ca="1" si="1"/>
        <v>-1042.5865411195682</v>
      </c>
      <c r="BQ39" s="376">
        <f t="shared" ca="1" si="1"/>
        <v>161.10330680783781</v>
      </c>
      <c r="BR39" s="376">
        <f t="shared" ca="1" si="1"/>
        <v>-2786.71315329763</v>
      </c>
      <c r="BS39" s="376">
        <f t="shared" ca="1" si="1"/>
        <v>43256.958640570781</v>
      </c>
      <c r="BT39" s="376">
        <f t="shared" ca="1" si="1"/>
        <v>51028.030964038539</v>
      </c>
      <c r="BV39" s="370">
        <f ca="1">IF(Emissions&lt;&gt;"N",SUM($BO39:BU39),0)</f>
        <v>89751.565263978264</v>
      </c>
      <c r="BW39" s="377"/>
      <c r="BX39" s="370">
        <f t="shared" ca="1" si="2"/>
        <v>189093.01132055509</v>
      </c>
      <c r="BZ39" s="401">
        <f ca="1">SUM($BO73:BU73)</f>
        <v>2.1309876856877419</v>
      </c>
      <c r="CA39" s="863">
        <f ca="1">SUM($BO107:BU107)</f>
        <v>2388.154904582279</v>
      </c>
      <c r="CB39" s="861">
        <f ca="1">SUM($BO141:BU141)</f>
        <v>1.140815141210507</v>
      </c>
      <c r="CC39" s="863">
        <f ca="1">SUM($BO175:BU175)</f>
        <v>2.8307202200584969E-2</v>
      </c>
      <c r="CD39" s="861">
        <f ca="1">SUM($BO209:BU209)</f>
        <v>2.2865158211992379E-2</v>
      </c>
      <c r="CE39" s="863">
        <f ca="1">SUM($BO243:BU243)</f>
        <v>4.2678377859984878E-2</v>
      </c>
      <c r="CF39" s="861">
        <f ca="1">SUM($BO277:BU277)</f>
        <v>2.7111016086288117E-2</v>
      </c>
      <c r="CG39" s="399">
        <f ca="1">SUM($BO311:BU311)</f>
        <v>80.916572860330476</v>
      </c>
      <c r="CH39" s="706">
        <f ca="1">SUM($BO345:BU345)</f>
        <v>79263.555144576909</v>
      </c>
      <c r="CI39" s="706">
        <f ca="1">SUM($BO379:BU379)</f>
        <v>8176.3368866468754</v>
      </c>
      <c r="CJ39" s="706">
        <f ca="1">SUM($BO413:BU413)</f>
        <v>1567.9577515320841</v>
      </c>
      <c r="CK39" s="706">
        <f ca="1">SUM($BO447:BU447)</f>
        <v>640.31367308069741</v>
      </c>
      <c r="CL39" s="400">
        <f ca="1">SUM($BO481:BU481)</f>
        <v>22.48523528137234</v>
      </c>
    </row>
    <row r="40" spans="2:90" x14ac:dyDescent="0.25">
      <c r="B40" s="375">
        <f t="shared" si="12"/>
        <v>2039</v>
      </c>
      <c r="C40" s="401">
        <f>MAX(TREND(C24:C25,B24:B25,B40),0)</f>
        <v>877277.5</v>
      </c>
      <c r="D40" s="402">
        <f>MAX(TREND(D24:D25,B24:B25,B40),0)</f>
        <v>932921.75</v>
      </c>
      <c r="E40" s="401">
        <f>MAX(TREND(E24:E25,B24:B25,B40),0)</f>
        <v>20841.5</v>
      </c>
      <c r="F40" s="402">
        <f>MAX(TREND(F24:F25,B24:B25,B40),0)</f>
        <v>22137.25</v>
      </c>
      <c r="G40" s="401">
        <f>MAX(TREND(G24:G25,B24:B25,B40),0)</f>
        <v>0</v>
      </c>
      <c r="H40" s="402">
        <f>MAX(TREND(H24:H25,B24:B25,B40),0)</f>
        <v>0</v>
      </c>
      <c r="I40" s="401">
        <f>MAX(TREND(I24:I25,B24:B25,B40),0)</f>
        <v>0</v>
      </c>
      <c r="J40" s="402">
        <f>MAX(TREND(J24:J25,B24:B25,B40),0)</f>
        <v>0</v>
      </c>
      <c r="K40" s="435">
        <f>IFERROR(IF(INDEX(HwyTransitModelGroup,A18,1)=Hwy,MAX(5,ROUND(C40/E40,1)),MAX(5,ROUND(G40/I40,1))),55)</f>
        <v>42.1</v>
      </c>
      <c r="L40" s="436">
        <f>IFERROR(IF(INDEX(HwyTransitModelGroup,A18,1)=Hwy,MAX(5,ROUND(D40/F40,1)),MAX(5,ROUND(H40/J40,1))),55)</f>
        <v>42.1</v>
      </c>
      <c r="M40" s="405">
        <f>MIN(MAX(TREND(M24:M25,B24:B25,B40),0),1)</f>
        <v>0.24</v>
      </c>
      <c r="N40" s="406">
        <f>MIN(MAX(TREND(N24:N25,B24:B25,B40),0),1)</f>
        <v>0.24</v>
      </c>
      <c r="O40" s="401">
        <f>MAX(TREND(O24:O25,B24:B25,B40),0)</f>
        <v>0</v>
      </c>
      <c r="P40" s="402">
        <f>MAX(TREND(P24:P25,B24:B25,B40),0)</f>
        <v>0</v>
      </c>
      <c r="Q40" s="729">
        <f>IF(INDEX(HwyTransitModelGroup,A18,1)=Hwy,C40*(1-M40)*0.00000110231131*(VLOOKUP(K40,EmAuto20,2)*VLOOKUP(ProjLoc,EmCost,2)+VLOOKUP(K40,EmAuto20,3)*VLOOKUP(ProjLoc,EmCost,3)*(1+CO2Uprater)^($B40-YearCurrent)+VLOOKUP(K40,EmAuto20,4)*VLOOKUP(ProjLoc,EmCost,4)+VLOOKUP(K40,EmAuto20,5)*VLOOKUP(ProjLoc,EmCost,5)+VLOOKUP(K40,EmAuto20,6)*VLOOKUP(ProjLoc,EmCost,6)+VLOOKUP(K40,EmAuto20,7)*VLOOKUP(ProjLoc,EmCost,7))+C40*M40*0.00000110231131*(VLOOKUP(K40,EmTruck20,2)*VLOOKUP(ProjLoc,EmCost,2)+VLOOKUP(K40,EmTruck20,3)*VLOOKUP(ProjLoc,EmCost,3)*(1+CO2Uprater)^($B40-YearCurrent)+VLOOKUP(K40,EmTruck20,4)*VLOOKUP(ProjLoc,EmCost,4)+VLOOKUP(K40,EmTruck20,5)*VLOOKUP(ProjLoc,EmCost,5)+VLOOKUP(K40,EmTruck20,6)*VLOOKUP(ProjLoc,EmCost,6)+VLOOKUP(K40,EmTruck20,7)*VLOOKUP(ProjLoc,EmCost,7)),0)</f>
        <v>22500.514529202046</v>
      </c>
      <c r="R40" s="802">
        <f>IF(INDEX(HwyTransitModelGroup,A18,1)=Hwy,D40*(1-N40)*0.00000110231131*(VLOOKUP(L40,EmAuto20,2)*VLOOKUP(ProjLoc,EmCost,2)+VLOOKUP(L40,EmAuto20,3)*VLOOKUP(ProjLoc,EmCost,3)*(1+CO2Uprater)^($B40-YearCurrent)+VLOOKUP(L40,EmAuto20,4)*VLOOKUP(ProjLoc,EmCost,4)+VLOOKUP(L40,EmAuto20,5)*VLOOKUP(ProjLoc,EmCost,5)+VLOOKUP(L40,EmAuto20,6)*VLOOKUP(ProjLoc,EmCost,6)+VLOOKUP(L40,EmAuto20,7)*VLOOKUP(ProjLoc,EmCost,7))+D40*N40*0.00000110231131*(VLOOKUP(L40,EmTruck20,2)*VLOOKUP(ProjLoc,EmCost,2)+VLOOKUP(L40,EmTruck20,3)*VLOOKUP(ProjLoc,EmCost,3)*(1+CO2Uprater)^($B40-YearCurrent)+VLOOKUP(L40,EmTruck20,4)*VLOOKUP(ProjLoc,EmCost,4)+VLOOKUP(L40,EmTruck20,5)*VLOOKUP(ProjLoc,EmCost,5)+VLOOKUP(L40,EmTruck20,6)*VLOOKUP(ProjLoc,EmCost,6)+VLOOKUP(L40,EmTruck20,7)*VLOOKUP(ProjLoc,EmCost,7)),0)</f>
        <v>23927.684672733085</v>
      </c>
      <c r="S40" s="729">
        <f>IF(INDEX(HwyTransitModelGroup,A18,1)=Hwy,O40*(1-M40)*0.00000110231131*(VLOOKUP(0,EmAuto20,2)*VLOOKUP(ProjLoc,EmCost,2)+VLOOKUP(0,EmAuto20,3)*VLOOKUP(ProjLoc,EmCost,3)*(1+CO2Uprater)^($B40-YearCurrent)+VLOOKUP(0,EmAuto20,4)*VLOOKUP(ProjLoc,EmCost,4)+VLOOKUP(0,EmAuto20,5)*VLOOKUP(ProjLoc,EmCost,5)+VLOOKUP(0,EmAuto20,6)*VLOOKUP(ProjLoc,EmCost,6)+VLOOKUP(0,EmAuto20,7)*VLOOKUP(ProjLoc,EmCost,7))+O40*M40*0.00000110231131*(VLOOKUP(0,EmTruck20,2)*VLOOKUP(ProjLoc,EmCost,2)+VLOOKUP(0,EmTruck20,3)*VLOOKUP(ProjLoc,EmCost,3)*(1+CO2Uprater)^($B40-YearCurrent)+VLOOKUP(0,EmTruck20,4)*VLOOKUP(ProjLoc,EmCost,4)+VLOOKUP(0,EmTruck20,5)*VLOOKUP(ProjLoc,EmCost,5)+VLOOKUP(0,EmTruck20,6)*VLOOKUP(ProjLoc,EmCost,6)+VLOOKUP(0,EmTruck20,7)*VLOOKUP(ProjLoc,EmCost,7)),0)</f>
        <v>0</v>
      </c>
      <c r="T40" s="802">
        <f>IF(INDEX(HwyTransitModelGroup,A18,1)=Hwy,P40*(1-N40)*0.00000110231131*(VLOOKUP(0,EmAuto20,2)*VLOOKUP(ProjLoc,EmCost,2)+VLOOKUP(0,EmAuto20,3)*VLOOKUP(ProjLoc,EmCost,3)*(1+CO2Uprater)^($B40-YearCurrent)+VLOOKUP(0,EmAuto20,4)*VLOOKUP(ProjLoc,EmCost,4)+VLOOKUP(0,EmAuto20,5)*VLOOKUP(ProjLoc,EmCost,5)+VLOOKUP(0,EmAuto20,6)*VLOOKUP(ProjLoc,EmCost,6)+VLOOKUP(0,EmAuto20,7)*VLOOKUP(ProjLoc,EmCost,7))+P40*N40*0.00000110231131*(VLOOKUP(0,EmTruck20,2)*VLOOKUP(ProjLoc,EmCost,2)+VLOOKUP(0,EmTruck20,3)*VLOOKUP(ProjLoc,EmCost,3)*(1+CO2Uprater)^($B40-YearCurrent)+VLOOKUP(0,EmTruck20,4)*VLOOKUP(ProjLoc,EmCost,4)+VLOOKUP(0,EmTruck20,5)*VLOOKUP(ProjLoc,EmCost,5)+VLOOKUP(0,EmTruck20,6)*VLOOKUP(ProjLoc,EmCost,6)+VLOOKUP(0,EmTruck20,7)*VLOOKUP(ProjLoc,EmCost,7)),0)</f>
        <v>0</v>
      </c>
      <c r="U40" s="729">
        <f>IF(INDEX(HwyTransitModelGroup,A18,1)=PARAMETERS!$J$9,C40*0.00000110231131*(VLOOKUP(K40,EmBus20,2)*VLOOKUP(ProjLoc,EmCost,2)+VLOOKUP(K40,EmBus20,3)*VLOOKUP(ProjLoc,EmCost,3)*(1+CO2Uprater)^($B40-YearCurrent)+VLOOKUP(K40,EmBus20,4)*VLOOKUP(ProjLoc,EmCost,4)+VLOOKUP(K40,EmBus20,5)*VLOOKUP(ProjLoc,EmCost,5)+VLOOKUP(K40,EmBus20,6)*VLOOKUP(ProjLoc,EmCost,6)+VLOOKUP(K40,EmBus20,7)*VLOOKUP(ProjLoc,EmCost,7)),0)</f>
        <v>0</v>
      </c>
      <c r="V40" s="802">
        <f>IF(INDEX(HwyTransitModelGroup,A18,1)=PARAMETERS!$J$9,D40*0.00000110231131*(VLOOKUP(L40,EmBus20,2)*VLOOKUP(ProjLoc,EmCost,2)+VLOOKUP(L40,EmBus20,3)*VLOOKUP(ProjLoc,EmCost,3)*(1+CO2Uprater)^($B40-YearCurrent)+VLOOKUP(L40,EmBus20,4)*VLOOKUP(ProjLoc,EmCost,4)+VLOOKUP(L40,EmBus20,5)*VLOOKUP(ProjLoc,EmCost,5)+VLOOKUP(L40,EmBus20,6)*VLOOKUP(ProjLoc,EmCost,6)+VLOOKUP(L40,EmBus20,7)*VLOOKUP(ProjLoc,EmCost,7)),0)</f>
        <v>0</v>
      </c>
      <c r="W40" s="808">
        <f>IF(INDEX(HwyTransitModelGroup,A18,1)=PARAMETERS!$J$10,C40*0.00000110231131*(PARAMETERS!$CQ$29*VLOOKUP(ProjLoc,EmCost,2)+PARAMETERS!$CR$29*VLOOKUP(ProjLoc,EmCost,3)*(1+CO2Uprater)^($B40-YearCurrent)+PARAMETERS!$CS$29*VLOOKUP(ProjLoc,EmCost,4)+PARAMETERS!$CT$29*VLOOKUP(ProjLoc,EmCost,5)+PARAMETERS!$CU$29*VLOOKUP(ProjLoc,EmCost,6)+PARAMETERS!$CV$29*VLOOKUP(ProjLoc,EmCost,7)),0)</f>
        <v>0</v>
      </c>
      <c r="X40" s="844">
        <f>IF(INDEX(HwyTransitModelGroup,A18,1)=PARAMETERS!$J$10,D40*0.00000110231131*(PARAMETERS!$CQ$29*VLOOKUP(ProjLoc,EmCost,2)+PARAMETERS!$CR$29*VLOOKUP(ProjLoc,EmCost,3)*(1+CO2Uprater)^($B40-YearCurrent)+PARAMETERS!$CS$29*VLOOKUP(ProjLoc,EmCost,4)+PARAMETERS!$CT$29*VLOOKUP(ProjLoc,EmCost,5)+PARAMETERS!$CU$29*VLOOKUP(ProjLoc,EmCost,6)+PARAMETERS!$CV$29*VLOOKUP(ProjLoc,EmCost,7)),0)</f>
        <v>0</v>
      </c>
      <c r="Y40" s="808">
        <f>IF(INDEX(HwyTransitModelGroup,A18,1)=PARAMETERS!$J$11,C40*0.00000110231131*(PARAMETERS!$CQ$37*VLOOKUP(ProjLoc,EmCost,2)+PARAMETERS!$CR$37*VLOOKUP(ProjLoc,EmCost,3)*(1+CO2Uprater)^($B40-YearCurrent)+PARAMETERS!$CS$37*VLOOKUP(ProjLoc,EmCost,4)+PARAMETERS!$CT$37*VLOOKUP(ProjLoc,EmCost,5)+PARAMETERS!$CU$37*VLOOKUP(ProjLoc,EmCost,6)+PARAMETERS!$CV$37*VLOOKUP(ProjLoc,EmCost,7)),0)</f>
        <v>0</v>
      </c>
      <c r="Z40" s="844">
        <f>IF(INDEX(HwyTransitModelGroup,A18,1)=PARAMETERS!$J$11,D40*0.00000110231131*(PARAMETERS!$CQ$37*VLOOKUP(ProjLoc,EmCost,2)+PARAMETERS!$CR$37*VLOOKUP(ProjLoc,EmCost,3)*(1+CO2Uprater)^($B40-YearCurrent)+PARAMETERS!$CS$37*VLOOKUP(ProjLoc,EmCost,4)+PARAMETERS!$CT$37*VLOOKUP(ProjLoc,EmCost,5)+PARAMETERS!$CU$37*VLOOKUP(ProjLoc,EmCost,6)+PARAMETERS!$CV$37*VLOOKUP(ProjLoc,EmCost,7)),0)</f>
        <v>0</v>
      </c>
      <c r="AA40" s="369">
        <f t="shared" si="4"/>
        <v>-1427.1701435310388</v>
      </c>
      <c r="AB40" s="370">
        <f t="shared" si="5"/>
        <v>-732.67096896726616</v>
      </c>
      <c r="AC40" s="371"/>
      <c r="AD40" s="401">
        <f>IF(INDEX(HwyTransitModelGroup,A18,1)=Hwy,0.00000110231131*(C40*(1-M40)*VLOOKUP(K40,EmAuto20,2)-D40*(1-N40)*VLOOKUP(L40,EmAuto20,2)+(O40*(1-M40)-P40*(1-N40))*VLOOKUP(0,EmAuto20,2))+0.00000110231131*(C40*M40*VLOOKUP(K40,EmTruck20,2)-D40*N40*VLOOKUP(L40,EmTruck20,2)+(O40*M40-P40*N40)*VLOOKUP(0,EmTruck20,2)),0)</f>
        <v>-2.6940072107589846E-2</v>
      </c>
      <c r="AE40" s="863">
        <f>IF(INDEX(HwyTransitModelGroup,A18,1)=Hwy,0.00000110231131*(C40*(1-M40)*VLOOKUP(K40,EmAuto20,3)-D40*(1-N40)*VLOOKUP(L40,EmAuto20,3)+(O40*(1-M40)-P40*(1-N40))*VLOOKUP(0,EmAuto20,3))+0.00000110231131*(C40*M40*VLOOKUP(K40,EmTruck20,3)-D40*N40*VLOOKUP(L40,EmTruck20,3)+(O40*M40-P40*N40)*VLOOKUP(0,EmTruck20,3)),0)</f>
        <v>-19.518464373241358</v>
      </c>
      <c r="AF40" s="861">
        <f>IF(INDEX(HwyTransitModelGroup,A18,1)=Hwy,0.00000110231131*(C40*(1-M40)*VLOOKUP(K40,EmAuto20,4)-D40*(1-N40)*VLOOKUP(L40,EmAuto20,4)+(O40*(1-M40)-P40*(1-N40))*VLOOKUP(0,EmAuto20,4))+0.00000110231131*(C40*M40*VLOOKUP(K40,EmTruck20,4)-D40*N40*VLOOKUP(L40,EmTruck20,4)+(O40*M40-P40*N40)*VLOOKUP(0,EmTruck20,4)),0)</f>
        <v>-6.0696924844463786E-3</v>
      </c>
      <c r="AG40" s="863">
        <f>IF(INDEX(HwyTransitModelGroup,A18,1)=Hwy,0.00000110231131*(C40*(1-M40)*VLOOKUP(K40,EmAuto20,5)-D40*(1-N40)*VLOOKUP(L40,EmAuto20,5)+(O40*(1-M40)-P40*(1-N40))*VLOOKUP(0,EmAuto20,5))+0.00000110231131*(C40*M40*VLOOKUP(K40,EmTruck20,5)-D40*N40*VLOOKUP(L40,EmTruck20,5)+(O40*M40-P40*N40)*VLOOKUP(0,EmTruck20,5)),0)</f>
        <v>-8.6362898844946238E-5</v>
      </c>
      <c r="AH40" s="861">
        <f>IF(INDEX(HwyTransitModelGroup,A18,1)=Hwy,0.00000110231131*(C40*(1-M40)*VLOOKUP(K40,EmAuto20,6)-D40*(1-N40)*VLOOKUP(L40,EmAuto20,6)+(O40*(1-M40)-P40*(1-N40))*VLOOKUP(0,EmAuto20,6))+0.00000110231131*(C40*M40*VLOOKUP(K40,EmTruck20,6)-D40*N40*VLOOKUP(L40,EmTruck20,6)+(O40*M40-P40*N40)*VLOOKUP(0,EmTruck20,6)),0)</f>
        <v>-1.8646534977886115E-4</v>
      </c>
      <c r="AI40" s="863">
        <f>IF(INDEX(HwyTransitModelGroup,A18,1)=Hwy,0.00000110231131*(C40*(1-M40)*VLOOKUP(K40,EmAuto20,7)-D40*(1-N40)*VLOOKUP(L40,EmAuto20,7)+(O40*(1-M40)-P40*(1-N40))*VLOOKUP(0,EmAuto20,7))+0.00000110231131*(C40*M40*VLOOKUP(K40,EmTruck20,7)-D40*N40*VLOOKUP(L40,EmTruck20,7)+(O40*M40-P40*N40)*VLOOKUP(0,EmTruck20,7)),0)</f>
        <v>-3.7440279442439803E-4</v>
      </c>
      <c r="AJ40" s="861">
        <f>IF(INDEX(HwyTransitModelGroup,A18,1)=Hwy,0.00000110231131*(C40*(1-M40)*VLOOKUP(K40,EmAuto20,8)-D40*(1-N40)*VLOOKUP(L40,EmAuto20,8)+(O40*(1-M40)-P40*(1-N40))*VLOOKUP(0,EmAuto20,8))+0.00000110231131*(C40*M40*VLOOKUP(K40,EmTruck20,8)-D40*N40*VLOOKUP(L40,EmTruck20,8)+(O40*M40-P40*N40)*VLOOKUP(0,EmTruck20,8)),0)</f>
        <v>-8.3418709111595784E-5</v>
      </c>
      <c r="AK40" s="401">
        <f>IF(INDEX(HwyTransitModelGroup,A18,1)=PARAMETERS!$J$9,0.00000110231131*(C40*VLOOKUP(K40,EmBus20,2)-D40*VLOOKUP(L40,EmBus20,2)+(O40-P40)*VLOOKUP(0,EmBus20,2)),0)</f>
        <v>0</v>
      </c>
      <c r="AL40" s="863">
        <f>IF(INDEX(HwyTransitModelGroup,A18,1)=PARAMETERS!$J$9,0.00000110231131*(C40*VLOOKUP(K40,EmBus20,3)-D40*VLOOKUP(L40,EmBus20,3)+(O40-P40)*VLOOKUP(0,EmBus20,3)),0)</f>
        <v>0</v>
      </c>
      <c r="AM40" s="861">
        <f>IF(INDEX(HwyTransitModelGroup,A18,1)=PARAMETERS!$J$9,0.00000110231131*(C40*VLOOKUP(K40,EmBus20,4)-D40*VLOOKUP(L40,EmBus20,4)+(O40-P40)*VLOOKUP(0,EmBus20,4)),0)</f>
        <v>0</v>
      </c>
      <c r="AN40" s="863">
        <f>IF(INDEX(HwyTransitModelGroup,A18,1)=PARAMETERS!$J$9,0.00000110231131*(C40*VLOOKUP(K40,EmBus20,5)-D40*VLOOKUP(L40,EmBus20,5)+(O40-P40)*VLOOKUP(0,EmBus20,5)),0)</f>
        <v>0</v>
      </c>
      <c r="AO40" s="861">
        <f>IF(INDEX(HwyTransitModelGroup,A18,1)=PARAMETERS!$J$9,0.00000110231131*(C40*VLOOKUP(K40,EmBus20,6)-D40*VLOOKUP(L40,EmBus20,6)+(O40-P40)*VLOOKUP(0,EmBus20,6)),0)</f>
        <v>0</v>
      </c>
      <c r="AP40" s="863">
        <f>IF(INDEX(HwyTransitModelGroup,A18,1)=PARAMETERS!$J$9,0.00000110231131*(C40*VLOOKUP(K40,EmBus20,7)-D40*VLOOKUP(L40,EmBus20,7)+(O40-P40)*VLOOKUP(0,EmBus20,7)),0)</f>
        <v>0</v>
      </c>
      <c r="AQ40" s="861">
        <f>IF(INDEX(HwyTransitModelGroup,A18,1)=PARAMETERS!$J$9,0.00000110231131*(C40*VLOOKUP(K40,EmBus20,8)-D40*VLOOKUP(L40,EmBus20,8)+(O40-P40)*VLOOKUP(0,EmBus20,8)),0)</f>
        <v>0</v>
      </c>
      <c r="AR40" s="401">
        <f>IF(INDEX(HwyTransitModelGroup,A18,1)=PARAMETERS!$J$10,0.00000110231131*((C40-D40)*PARAMETERS!$CQ$29),0)</f>
        <v>0</v>
      </c>
      <c r="AS40" s="863">
        <f>IF(INDEX(HwyTransitModelGroup,A18,1)=PARAMETERS!$J$10,0.00000110231131*((C40-D40)*PARAMETERS!$CR$29),0)</f>
        <v>0</v>
      </c>
      <c r="AT40" s="861">
        <f>IF(INDEX(HwyTransitModelGroup,A18,1)=PARAMETERS!$J$10,0.00000110231131*((C40-D40)*PARAMETERS!$CS$29),0)</f>
        <v>0</v>
      </c>
      <c r="AU40" s="863">
        <f>IF(INDEX(HwyTransitModelGroup,A18,1)=PARAMETERS!$J$10,0.00000110231131*((C40-D40)*PARAMETERS!$CT$29),0)</f>
        <v>0</v>
      </c>
      <c r="AV40" s="861">
        <f>IF(INDEX(HwyTransitModelGroup,A18,1)=PARAMETERS!$J$10,0.00000110231131*((C40-D40)*PARAMETERS!$CU$29),0)</f>
        <v>0</v>
      </c>
      <c r="AW40" s="863">
        <f>IF(INDEX(HwyTransitModelGroup,A18,1)=PARAMETERS!$J$10,0.00000110231131*((C40-D40)*PARAMETERS!$CV$29),0)</f>
        <v>0</v>
      </c>
      <c r="AX40" s="861">
        <f>IF(INDEX(HwyTransitModelGroup,A18,1)=PARAMETERS!$J$10,0.00000110231131*((C40-D40)*PARAMETERS!$CW$29),0)</f>
        <v>0</v>
      </c>
      <c r="AY40" s="401">
        <f>IF(INDEX(HwyTransitModelGroup,A18,1)=PARAMETERS!$J$11,0.00000110231131*((C40-D40)*PARAMETERS!$CQ$37),0)</f>
        <v>0</v>
      </c>
      <c r="AZ40" s="863">
        <f>IF(INDEX(HwyTransitModelGroup,A18,1)=PARAMETERS!$J$11,0.00000110231131*((C40-D40)*PARAMETERS!$CR$37),0)</f>
        <v>0</v>
      </c>
      <c r="BA40" s="861">
        <f>IF(INDEX(HwyTransitModelGroup,A18,1)=PARAMETERS!$J$11,0.00000110231131*((C40-D40)*PARAMETERS!$CS$37),0)</f>
        <v>0</v>
      </c>
      <c r="BB40" s="863">
        <f>IF(INDEX(HwyTransitModelGroup,A18,1)=PARAMETERS!$J$11,0.00000110231131*((C40-D40)*PARAMETERS!$CT$37),0)</f>
        <v>0</v>
      </c>
      <c r="BC40" s="861">
        <f>IF(INDEX(HwyTransitModelGroup,A18,1)=PARAMETERS!$J$11,0.00000110231131*((C40-D40)*PARAMETERS!$CU$37),0)</f>
        <v>0</v>
      </c>
      <c r="BD40" s="863">
        <f>IF(INDEX(HwyTransitModelGroup,A18,1)=PARAMETERS!$J$11,0.00000110231131*((C40-D40)*PARAMETERS!$CV$37),0)</f>
        <v>0</v>
      </c>
      <c r="BE40" s="865">
        <f>IF(INDEX(HwyTransitModelGroup,A18,1)=PARAMETERS!$J$11,0.00000110231131*((C40-D40)*PARAMETERS!$CW$37),0)</f>
        <v>0</v>
      </c>
      <c r="BF40" s="729">
        <f t="shared" si="6"/>
        <v>-1.1064249809083313</v>
      </c>
      <c r="BG40" s="867">
        <f t="shared" si="7"/>
        <v>-673.4774138648603</v>
      </c>
      <c r="BH40" s="867">
        <f t="shared" si="8"/>
        <v>-47.05186775414122</v>
      </c>
      <c r="BI40" s="867">
        <f t="shared" si="9"/>
        <v>-5.174058078529824</v>
      </c>
      <c r="BJ40" s="867">
        <f t="shared" si="10"/>
        <v>-5.6478529894367169</v>
      </c>
      <c r="BK40" s="869">
        <f t="shared" si="11"/>
        <v>-0.21335129939088518</v>
      </c>
      <c r="BL40" s="392"/>
      <c r="BN40" s="375">
        <f t="shared" si="3"/>
        <v>2042</v>
      </c>
      <c r="BO40" s="376">
        <f t="shared" ca="1" si="1"/>
        <v>-972.48997499899008</v>
      </c>
      <c r="BP40" s="376">
        <f t="shared" ca="1" si="1"/>
        <v>-1035.320688078906</v>
      </c>
      <c r="BQ40" s="376">
        <f t="shared" ca="1" si="1"/>
        <v>157.7460752488991</v>
      </c>
      <c r="BR40" s="376">
        <f t="shared" ca="1" si="1"/>
        <v>-2743.4611176305884</v>
      </c>
      <c r="BS40" s="376">
        <f t="shared" ca="1" si="1"/>
        <v>43611.052613530912</v>
      </c>
      <c r="BT40" s="376">
        <f t="shared" ca="1" si="1"/>
        <v>50975.081736466534</v>
      </c>
      <c r="BV40" s="370">
        <f ca="1">IF(Emissions&lt;&gt;"N",SUM($BO40:BU40),0)</f>
        <v>89992.608644537861</v>
      </c>
      <c r="BW40" s="377"/>
      <c r="BX40" s="370">
        <f t="shared" ca="1" si="2"/>
        <v>197184.88750299643</v>
      </c>
      <c r="BZ40" s="401">
        <f ca="1">SUM($BO74:BU74)</f>
        <v>2.1858015993755995</v>
      </c>
      <c r="CA40" s="863">
        <f ca="1">SUM($BO108:BU108)</f>
        <v>2446.4421157586376</v>
      </c>
      <c r="CB40" s="861">
        <f ca="1">SUM($BO142:BU142)</f>
        <v>1.1719202090551633</v>
      </c>
      <c r="CC40" s="863">
        <f ca="1">SUM($BO176:BU176)</f>
        <v>2.9038154193278248E-2</v>
      </c>
      <c r="CD40" s="861">
        <f ca="1">SUM($BO210:BU210)</f>
        <v>2.3440089794905281E-2</v>
      </c>
      <c r="CE40" s="863">
        <f ca="1">SUM($BO244:BU244)</f>
        <v>4.3841750035000696E-2</v>
      </c>
      <c r="CF40" s="861">
        <f ca="1">SUM($BO278:BU278)</f>
        <v>2.7809529687242873E-2</v>
      </c>
      <c r="CG40" s="399">
        <f ca="1">SUM($BO312:BU312)</f>
        <v>79.805705355274384</v>
      </c>
      <c r="CH40" s="706">
        <f ca="1">SUM($BO346:BU346)</f>
        <v>79636.622221947808</v>
      </c>
      <c r="CI40" s="706">
        <f ca="1">SUM($BO380:BU380)</f>
        <v>8076.221189574213</v>
      </c>
      <c r="CJ40" s="706">
        <f ca="1">SUM($BO414:BU414)</f>
        <v>1546.582447969645</v>
      </c>
      <c r="CK40" s="706">
        <f ca="1">SUM($BO448:BU448)</f>
        <v>631.16730901067262</v>
      </c>
      <c r="CL40" s="400">
        <f ca="1">SUM($BO482:BU482)</f>
        <v>22.209770680199732</v>
      </c>
    </row>
    <row r="41" spans="2:90" x14ac:dyDescent="0.25">
      <c r="B41" s="375">
        <f t="shared" si="12"/>
        <v>2040</v>
      </c>
      <c r="C41" s="401">
        <f>MAX(TREND(C24:C25,B24:B25,B41),0)</f>
        <v>886950</v>
      </c>
      <c r="D41" s="402">
        <f>MAX(TREND(D24:D25,B24:B25,B41),0)</f>
        <v>949036.5</v>
      </c>
      <c r="E41" s="401">
        <f>MAX(TREND(E24:E25,B24:B25,B41),0)</f>
        <v>21097</v>
      </c>
      <c r="F41" s="402">
        <f>MAX(TREND(F24:F25,B24:B25,B41),0)</f>
        <v>22520.5</v>
      </c>
      <c r="G41" s="401">
        <f>MAX(TREND(G24:G25,B24:B25,B41),0)</f>
        <v>0</v>
      </c>
      <c r="H41" s="402">
        <f>MAX(TREND(H24:H25,B24:B25,B41),0)</f>
        <v>0</v>
      </c>
      <c r="I41" s="401">
        <f>MAX(TREND(I24:I25,B24:B25,B41),0)</f>
        <v>0</v>
      </c>
      <c r="J41" s="402">
        <f>MAX(TREND(J24:J25,B24:B25,B41),0)</f>
        <v>0</v>
      </c>
      <c r="K41" s="435">
        <f>IFERROR(IF(INDEX(HwyTransitModelGroup,A18,1)=Hwy,MAX(5,ROUND(C41/E41,1)),MAX(5,ROUND(G41/I41,1))),55)</f>
        <v>42</v>
      </c>
      <c r="L41" s="436">
        <f>IFERROR(IF(INDEX(HwyTransitModelGroup,A18,1)=Hwy,MAX(5,ROUND(D41/F41,1)),MAX(5,ROUND(H41/J41,1))),55)</f>
        <v>42.1</v>
      </c>
      <c r="M41" s="405">
        <f>MIN(MAX(TREND(M24:M25,B24:B25,B41),0),1)</f>
        <v>0.24</v>
      </c>
      <c r="N41" s="406">
        <f>MIN(MAX(TREND(N24:N25,B24:B25,B41),0),1)</f>
        <v>0.24</v>
      </c>
      <c r="O41" s="401">
        <f>MAX(TREND(O24:O25,B24:B25,B41),0)</f>
        <v>0</v>
      </c>
      <c r="P41" s="402">
        <f>MAX(TREND(P24:P25,B24:B25,B41),0)</f>
        <v>0</v>
      </c>
      <c r="Q41" s="729">
        <f>IF(INDEX(HwyTransitModelGroup,A18,1)=Hwy,C41*(1-M41)*0.00000110231131*(VLOOKUP(K41,EmAuto20,2)*VLOOKUP(ProjLoc,EmCost,2)+VLOOKUP(K41,EmAuto20,3)*VLOOKUP(ProjLoc,EmCost,3)*(1+CO2Uprater)^($B41-YearCurrent)+VLOOKUP(K41,EmAuto20,4)*VLOOKUP(ProjLoc,EmCost,4)+VLOOKUP(K41,EmAuto20,5)*VLOOKUP(ProjLoc,EmCost,5)+VLOOKUP(K41,EmAuto20,6)*VLOOKUP(ProjLoc,EmCost,6)+VLOOKUP(K41,EmAuto20,7)*VLOOKUP(ProjLoc,EmCost,7))+C41*M41*0.00000110231131*(VLOOKUP(K41,EmTruck20,2)*VLOOKUP(ProjLoc,EmCost,2)+VLOOKUP(K41,EmTruck20,3)*VLOOKUP(ProjLoc,EmCost,3)*(1+CO2Uprater)^($B41-YearCurrent)+VLOOKUP(K41,EmTruck20,4)*VLOOKUP(ProjLoc,EmCost,4)+VLOOKUP(K41,EmTruck20,5)*VLOOKUP(ProjLoc,EmCost,5)+VLOOKUP(K41,EmTruck20,6)*VLOOKUP(ProjLoc,EmCost,6)+VLOOKUP(K41,EmTruck20,7)*VLOOKUP(ProjLoc,EmCost,7)),0)</f>
        <v>23166.809999393841</v>
      </c>
      <c r="R41" s="802">
        <f>IF(INDEX(HwyTransitModelGroup,A18,1)=Hwy,D41*(1-N41)*0.00000110231131*(VLOOKUP(L41,EmAuto20,2)*VLOOKUP(ProjLoc,EmCost,2)+VLOOKUP(L41,EmAuto20,3)*VLOOKUP(ProjLoc,EmCost,3)*(1+CO2Uprater)^($B41-YearCurrent)+VLOOKUP(L41,EmAuto20,4)*VLOOKUP(ProjLoc,EmCost,4)+VLOOKUP(L41,EmAuto20,5)*VLOOKUP(ProjLoc,EmCost,5)+VLOOKUP(L41,EmAuto20,6)*VLOOKUP(ProjLoc,EmCost,6)+VLOOKUP(L41,EmAuto20,7)*VLOOKUP(ProjLoc,EmCost,7))+D41*N41*0.00000110231131*(VLOOKUP(L41,EmTruck20,2)*VLOOKUP(ProjLoc,EmCost,2)+VLOOKUP(L41,EmTruck20,3)*VLOOKUP(ProjLoc,EmCost,3)*(1+CO2Uprater)^($B41-YearCurrent)+VLOOKUP(L41,EmTruck20,4)*VLOOKUP(ProjLoc,EmCost,4)+VLOOKUP(L41,EmTruck20,5)*VLOOKUP(ProjLoc,EmCost,5)+VLOOKUP(L41,EmTruck20,6)*VLOOKUP(ProjLoc,EmCost,6)+VLOOKUP(L41,EmTruck20,7)*VLOOKUP(ProjLoc,EmCost,7)),0)</f>
        <v>24788.486699351408</v>
      </c>
      <c r="S41" s="729">
        <f>IF(INDEX(HwyTransitModelGroup,A18,1)=Hwy,O41*(1-M41)*0.00000110231131*(VLOOKUP(0,EmAuto20,2)*VLOOKUP(ProjLoc,EmCost,2)+VLOOKUP(0,EmAuto20,3)*VLOOKUP(ProjLoc,EmCost,3)*(1+CO2Uprater)^($B41-YearCurrent)+VLOOKUP(0,EmAuto20,4)*VLOOKUP(ProjLoc,EmCost,4)+VLOOKUP(0,EmAuto20,5)*VLOOKUP(ProjLoc,EmCost,5)+VLOOKUP(0,EmAuto20,6)*VLOOKUP(ProjLoc,EmCost,6)+VLOOKUP(0,EmAuto20,7)*VLOOKUP(ProjLoc,EmCost,7))+O41*M41*0.00000110231131*(VLOOKUP(0,EmTruck20,2)*VLOOKUP(ProjLoc,EmCost,2)+VLOOKUP(0,EmTruck20,3)*VLOOKUP(ProjLoc,EmCost,3)*(1+CO2Uprater)^($B41-YearCurrent)+VLOOKUP(0,EmTruck20,4)*VLOOKUP(ProjLoc,EmCost,4)+VLOOKUP(0,EmTruck20,5)*VLOOKUP(ProjLoc,EmCost,5)+VLOOKUP(0,EmTruck20,6)*VLOOKUP(ProjLoc,EmCost,6)+VLOOKUP(0,EmTruck20,7)*VLOOKUP(ProjLoc,EmCost,7)),0)</f>
        <v>0</v>
      </c>
      <c r="T41" s="802">
        <f>IF(INDEX(HwyTransitModelGroup,A18,1)=Hwy,P41*(1-N41)*0.00000110231131*(VLOOKUP(0,EmAuto20,2)*VLOOKUP(ProjLoc,EmCost,2)+VLOOKUP(0,EmAuto20,3)*VLOOKUP(ProjLoc,EmCost,3)*(1+CO2Uprater)^($B41-YearCurrent)+VLOOKUP(0,EmAuto20,4)*VLOOKUP(ProjLoc,EmCost,4)+VLOOKUP(0,EmAuto20,5)*VLOOKUP(ProjLoc,EmCost,5)+VLOOKUP(0,EmAuto20,6)*VLOOKUP(ProjLoc,EmCost,6)+VLOOKUP(0,EmAuto20,7)*VLOOKUP(ProjLoc,EmCost,7))+P41*N41*0.00000110231131*(VLOOKUP(0,EmTruck20,2)*VLOOKUP(ProjLoc,EmCost,2)+VLOOKUP(0,EmTruck20,3)*VLOOKUP(ProjLoc,EmCost,3)*(1+CO2Uprater)^($B41-YearCurrent)+VLOOKUP(0,EmTruck20,4)*VLOOKUP(ProjLoc,EmCost,4)+VLOOKUP(0,EmTruck20,5)*VLOOKUP(ProjLoc,EmCost,5)+VLOOKUP(0,EmTruck20,6)*VLOOKUP(ProjLoc,EmCost,6)+VLOOKUP(0,EmTruck20,7)*VLOOKUP(ProjLoc,EmCost,7)),0)</f>
        <v>0</v>
      </c>
      <c r="U41" s="729">
        <f>IF(INDEX(HwyTransitModelGroup,A18,1)=PARAMETERS!$J$9,C41*0.00000110231131*(VLOOKUP(K41,EmBus20,2)*VLOOKUP(ProjLoc,EmCost,2)+VLOOKUP(K41,EmBus20,3)*VLOOKUP(ProjLoc,EmCost,3)*(1+CO2Uprater)^($B41-YearCurrent)+VLOOKUP(K41,EmBus20,4)*VLOOKUP(ProjLoc,EmCost,4)+VLOOKUP(K41,EmBus20,5)*VLOOKUP(ProjLoc,EmCost,5)+VLOOKUP(K41,EmBus20,6)*VLOOKUP(ProjLoc,EmCost,6)+VLOOKUP(K41,EmBus20,7)*VLOOKUP(ProjLoc,EmCost,7)),0)</f>
        <v>0</v>
      </c>
      <c r="V41" s="802">
        <f>IF(INDEX(HwyTransitModelGroup,A18,1)=PARAMETERS!$J$9,D41*0.00000110231131*(VLOOKUP(L41,EmBus20,2)*VLOOKUP(ProjLoc,EmCost,2)+VLOOKUP(L41,EmBus20,3)*VLOOKUP(ProjLoc,EmCost,3)*(1+CO2Uprater)^($B41-YearCurrent)+VLOOKUP(L41,EmBus20,4)*VLOOKUP(ProjLoc,EmCost,4)+VLOOKUP(L41,EmBus20,5)*VLOOKUP(ProjLoc,EmCost,5)+VLOOKUP(L41,EmBus20,6)*VLOOKUP(ProjLoc,EmCost,6)+VLOOKUP(L41,EmBus20,7)*VLOOKUP(ProjLoc,EmCost,7)),0)</f>
        <v>0</v>
      </c>
      <c r="W41" s="808">
        <f>IF(INDEX(HwyTransitModelGroup,A18,1)=PARAMETERS!$J$10,C41*0.00000110231131*(PARAMETERS!$CQ$29*VLOOKUP(ProjLoc,EmCost,2)+PARAMETERS!$CR$29*VLOOKUP(ProjLoc,EmCost,3)*(1+CO2Uprater)^($B41-YearCurrent)+PARAMETERS!$CS$29*VLOOKUP(ProjLoc,EmCost,4)+PARAMETERS!$CT$29*VLOOKUP(ProjLoc,EmCost,5)+PARAMETERS!$CU$29*VLOOKUP(ProjLoc,EmCost,6)+PARAMETERS!$CV$29*VLOOKUP(ProjLoc,EmCost,7)),0)</f>
        <v>0</v>
      </c>
      <c r="X41" s="844">
        <f>IF(INDEX(HwyTransitModelGroup,A18,1)=PARAMETERS!$J$10,D41*0.00000110231131*(PARAMETERS!$CQ$29*VLOOKUP(ProjLoc,EmCost,2)+PARAMETERS!$CR$29*VLOOKUP(ProjLoc,EmCost,3)*(1+CO2Uprater)^($B41-YearCurrent)+PARAMETERS!$CS$29*VLOOKUP(ProjLoc,EmCost,4)+PARAMETERS!$CT$29*VLOOKUP(ProjLoc,EmCost,5)+PARAMETERS!$CU$29*VLOOKUP(ProjLoc,EmCost,6)+PARAMETERS!$CV$29*VLOOKUP(ProjLoc,EmCost,7)),0)</f>
        <v>0</v>
      </c>
      <c r="Y41" s="808">
        <f>IF(INDEX(HwyTransitModelGroup,A18,1)=PARAMETERS!$J$11,C41*0.00000110231131*(PARAMETERS!$CQ$37*VLOOKUP(ProjLoc,EmCost,2)+PARAMETERS!$CR$37*VLOOKUP(ProjLoc,EmCost,3)*(1+CO2Uprater)^($B41-YearCurrent)+PARAMETERS!$CS$37*VLOOKUP(ProjLoc,EmCost,4)+PARAMETERS!$CT$37*VLOOKUP(ProjLoc,EmCost,5)+PARAMETERS!$CU$37*VLOOKUP(ProjLoc,EmCost,6)+PARAMETERS!$CV$37*VLOOKUP(ProjLoc,EmCost,7)),0)</f>
        <v>0</v>
      </c>
      <c r="Z41" s="844">
        <f>IF(INDEX(HwyTransitModelGroup,A18,1)=PARAMETERS!$J$11,D41*0.00000110231131*(PARAMETERS!$CQ$37*VLOOKUP(ProjLoc,EmCost,2)+PARAMETERS!$CR$37*VLOOKUP(ProjLoc,EmCost,3)*(1+CO2Uprater)^($B41-YearCurrent)+PARAMETERS!$CS$37*VLOOKUP(ProjLoc,EmCost,4)+PARAMETERS!$CT$37*VLOOKUP(ProjLoc,EmCost,5)+PARAMETERS!$CU$37*VLOOKUP(ProjLoc,EmCost,6)+PARAMETERS!$CV$37*VLOOKUP(ProjLoc,EmCost,7)),0)</f>
        <v>0</v>
      </c>
      <c r="AA41" s="369">
        <f t="shared" si="4"/>
        <v>-1621.6766999575666</v>
      </c>
      <c r="AB41" s="370">
        <f t="shared" si="5"/>
        <v>-800.5052222878877</v>
      </c>
      <c r="AC41" s="371"/>
      <c r="AD41" s="401">
        <f>IF(INDEX(HwyTransitModelGroup,A18,1)=Hwy,0.00000110231131*(C41*(1-M41)*VLOOKUP(K41,EmAuto20,2)-D41*(1-N41)*VLOOKUP(L41,EmAuto20,2)+(O41*(1-M41)-P41*(1-N41))*VLOOKUP(0,EmAuto20,2))+0.00000110231131*(C41*M41*VLOOKUP(K41,EmTruck20,2)-D41*N41*VLOOKUP(L41,EmTruck20,2)+(O41*M41-P41*N41)*VLOOKUP(0,EmTruck20,2)),0)</f>
        <v>-3.0059076848153739E-2</v>
      </c>
      <c r="AE41" s="863">
        <f>IF(INDEX(HwyTransitModelGroup,A18,1)=Hwy,0.00000110231131*(C41*(1-M41)*VLOOKUP(K41,EmAuto20,3)-D41*(1-N41)*VLOOKUP(L41,EmAuto20,3)+(O41*(1-M41)-P41*(1-N41))*VLOOKUP(0,EmAuto20,3))+0.00000110231131*(C41*M41*VLOOKUP(K41,EmTruck20,3)-D41*N41*VLOOKUP(L41,EmTruck20,3)+(O41*M41-P41*N41)*VLOOKUP(0,EmTruck20,3)),0)</f>
        <v>-21.778227549284054</v>
      </c>
      <c r="AF41" s="861">
        <f>IF(INDEX(HwyTransitModelGroup,A18,1)=Hwy,0.00000110231131*(C41*(1-M41)*VLOOKUP(K41,EmAuto20,4)-D41*(1-N41)*VLOOKUP(L41,EmAuto20,4)+(O41*(1-M41)-P41*(1-N41))*VLOOKUP(0,EmAuto20,4))+0.00000110231131*(C41*M41*VLOOKUP(K41,EmTruck20,4)-D41*N41*VLOOKUP(L41,EmTruck20,4)+(O41*M41-P41*N41)*VLOOKUP(0,EmTruck20,4)),0)</f>
        <v>-6.7724151630326407E-3</v>
      </c>
      <c r="AG41" s="863">
        <f>IF(INDEX(HwyTransitModelGroup,A18,1)=Hwy,0.00000110231131*(C41*(1-M41)*VLOOKUP(K41,EmAuto20,5)-D41*(1-N41)*VLOOKUP(L41,EmAuto20,5)+(O41*(1-M41)-P41*(1-N41))*VLOOKUP(0,EmAuto20,5))+0.00000110231131*(C41*M41*VLOOKUP(K41,EmTruck20,5)-D41*N41*VLOOKUP(L41,EmTruck20,5)+(O41*M41-P41*N41)*VLOOKUP(0,EmTruck20,5)),0)</f>
        <v>-9.6361620816827221E-5</v>
      </c>
      <c r="AH41" s="861">
        <f>IF(INDEX(HwyTransitModelGroup,A18,1)=Hwy,0.00000110231131*(C41*(1-M41)*VLOOKUP(K41,EmAuto20,6)-D41*(1-N41)*VLOOKUP(L41,EmAuto20,6)+(O41*(1-M41)-P41*(1-N41))*VLOOKUP(0,EmAuto20,6))+0.00000110231131*(C41*M41*VLOOKUP(K41,EmTruck20,6)-D41*N41*VLOOKUP(L41,EmTruck20,6)+(O41*M41-P41*N41)*VLOOKUP(0,EmTruck20,6)),0)</f>
        <v>-2.0805349949087741E-4</v>
      </c>
      <c r="AI41" s="863">
        <f>IF(INDEX(HwyTransitModelGroup,A18,1)=Hwy,0.00000110231131*(C41*(1-M41)*VLOOKUP(K41,EmAuto20,7)-D41*(1-N41)*VLOOKUP(L41,EmAuto20,7)+(O41*(1-M41)-P41*(1-N41))*VLOOKUP(0,EmAuto20,7))+0.00000110231131*(C41*M41*VLOOKUP(K41,EmTruck20,7)-D41*N41*VLOOKUP(L41,EmTruck20,7)+(O41*M41-P41*N41)*VLOOKUP(0,EmTruck20,7)),0)</f>
        <v>-4.177495266093151E-4</v>
      </c>
      <c r="AJ41" s="861">
        <f>IF(INDEX(HwyTransitModelGroup,A18,1)=Hwy,0.00000110231131*(C41*(1-M41)*VLOOKUP(K41,EmAuto20,8)-D41*(1-N41)*VLOOKUP(L41,EmAuto20,8)+(O41*(1-M41)-P41*(1-N41))*VLOOKUP(0,EmAuto20,8))+0.00000110231131*(C41*M41*VLOOKUP(K41,EmTruck20,8)-D41*N41*VLOOKUP(L41,EmTruck20,8)+(O41*M41-P41*N41)*VLOOKUP(0,EmTruck20,8)),0)</f>
        <v>-9.3076565561708266E-5</v>
      </c>
      <c r="AK41" s="401">
        <f>IF(INDEX(HwyTransitModelGroup,A18,1)=PARAMETERS!$J$9,0.00000110231131*(C41*VLOOKUP(K41,EmBus20,2)-D41*VLOOKUP(L41,EmBus20,2)+(O41-P41)*VLOOKUP(0,EmBus20,2)),0)</f>
        <v>0</v>
      </c>
      <c r="AL41" s="863">
        <f>IF(INDEX(HwyTransitModelGroup,A18,1)=PARAMETERS!$J$9,0.00000110231131*(C41*VLOOKUP(K41,EmBus20,3)-D41*VLOOKUP(L41,EmBus20,3)+(O41-P41)*VLOOKUP(0,EmBus20,3)),0)</f>
        <v>0</v>
      </c>
      <c r="AM41" s="861">
        <f>IF(INDEX(HwyTransitModelGroup,A18,1)=PARAMETERS!$J$9,0.00000110231131*(C41*VLOOKUP(K41,EmBus20,4)-D41*VLOOKUP(L41,EmBus20,4)+(O41-P41)*VLOOKUP(0,EmBus20,4)),0)</f>
        <v>0</v>
      </c>
      <c r="AN41" s="863">
        <f>IF(INDEX(HwyTransitModelGroup,A18,1)=PARAMETERS!$J$9,0.00000110231131*(C41*VLOOKUP(K41,EmBus20,5)-D41*VLOOKUP(L41,EmBus20,5)+(O41-P41)*VLOOKUP(0,EmBus20,5)),0)</f>
        <v>0</v>
      </c>
      <c r="AO41" s="861">
        <f>IF(INDEX(HwyTransitModelGroup,A18,1)=PARAMETERS!$J$9,0.00000110231131*(C41*VLOOKUP(K41,EmBus20,6)-D41*VLOOKUP(L41,EmBus20,6)+(O41-P41)*VLOOKUP(0,EmBus20,6)),0)</f>
        <v>0</v>
      </c>
      <c r="AP41" s="863">
        <f>IF(INDEX(HwyTransitModelGroup,A18,1)=PARAMETERS!$J$9,0.00000110231131*(C41*VLOOKUP(K41,EmBus20,7)-D41*VLOOKUP(L41,EmBus20,7)+(O41-P41)*VLOOKUP(0,EmBus20,7)),0)</f>
        <v>0</v>
      </c>
      <c r="AQ41" s="861">
        <f>IF(INDEX(HwyTransitModelGroup,A18,1)=PARAMETERS!$J$9,0.00000110231131*(C41*VLOOKUP(K41,EmBus20,8)-D41*VLOOKUP(L41,EmBus20,8)+(O41-P41)*VLOOKUP(0,EmBus20,8)),0)</f>
        <v>0</v>
      </c>
      <c r="AR41" s="401">
        <f>IF(INDEX(HwyTransitModelGroup,A18,1)=PARAMETERS!$J$10,0.00000110231131*((C41-D41)*PARAMETERS!$CQ$29),0)</f>
        <v>0</v>
      </c>
      <c r="AS41" s="863">
        <f>IF(INDEX(HwyTransitModelGroup,A18,1)=PARAMETERS!$J$10,0.00000110231131*((C41-D41)*PARAMETERS!$CR$29),0)</f>
        <v>0</v>
      </c>
      <c r="AT41" s="861">
        <f>IF(INDEX(HwyTransitModelGroup,A18,1)=PARAMETERS!$J$10,0.00000110231131*((C41-D41)*PARAMETERS!$CS$29),0)</f>
        <v>0</v>
      </c>
      <c r="AU41" s="863">
        <f>IF(INDEX(HwyTransitModelGroup,A18,1)=PARAMETERS!$J$10,0.00000110231131*((C41-D41)*PARAMETERS!$CT$29),0)</f>
        <v>0</v>
      </c>
      <c r="AV41" s="861">
        <f>IF(INDEX(HwyTransitModelGroup,A18,1)=PARAMETERS!$J$10,0.00000110231131*((C41-D41)*PARAMETERS!$CU$29),0)</f>
        <v>0</v>
      </c>
      <c r="AW41" s="863">
        <f>IF(INDEX(HwyTransitModelGroup,A18,1)=PARAMETERS!$J$10,0.00000110231131*((C41-D41)*PARAMETERS!$CV$29),0)</f>
        <v>0</v>
      </c>
      <c r="AX41" s="861">
        <f>IF(INDEX(HwyTransitModelGroup,A18,1)=PARAMETERS!$J$10,0.00000110231131*((C41-D41)*PARAMETERS!$CW$29),0)</f>
        <v>0</v>
      </c>
      <c r="AY41" s="401">
        <f>IF(INDEX(HwyTransitModelGroup,A18,1)=PARAMETERS!$J$11,0.00000110231131*((C41-D41)*PARAMETERS!$CQ$37),0)</f>
        <v>0</v>
      </c>
      <c r="AZ41" s="863">
        <f>IF(INDEX(HwyTransitModelGroup,A18,1)=PARAMETERS!$J$11,0.00000110231131*((C41-D41)*PARAMETERS!$CR$37),0)</f>
        <v>0</v>
      </c>
      <c r="BA41" s="861">
        <f>IF(INDEX(HwyTransitModelGroup,A18,1)=PARAMETERS!$J$11,0.00000110231131*((C41-D41)*PARAMETERS!$CS$37),0)</f>
        <v>0</v>
      </c>
      <c r="BB41" s="863">
        <f>IF(INDEX(HwyTransitModelGroup,A18,1)=PARAMETERS!$J$11,0.00000110231131*((C41-D41)*PARAMETERS!$CT$37),0)</f>
        <v>0</v>
      </c>
      <c r="BC41" s="861">
        <f>IF(INDEX(HwyTransitModelGroup,A18,1)=PARAMETERS!$J$11,0.00000110231131*((C41-D41)*PARAMETERS!$CU$37),0)</f>
        <v>0</v>
      </c>
      <c r="BD41" s="863">
        <f>IF(INDEX(HwyTransitModelGroup,A18,1)=PARAMETERS!$J$11,0.00000110231131*((C41-D41)*PARAMETERS!$CV$37),0)</f>
        <v>0</v>
      </c>
      <c r="BE41" s="865">
        <f>IF(INDEX(HwyTransitModelGroup,A18,1)=PARAMETERS!$J$11,0.00000110231131*((C41-D41)*PARAMETERS!$CW$37),0)</f>
        <v>0</v>
      </c>
      <c r="BF41" s="729">
        <f t="shared" si="6"/>
        <v>-1.187040449911114</v>
      </c>
      <c r="BG41" s="867">
        <f t="shared" si="7"/>
        <v>-736.99875280912363</v>
      </c>
      <c r="BH41" s="867">
        <f t="shared" si="8"/>
        <v>-50.480124031709003</v>
      </c>
      <c r="BI41" s="867">
        <f t="shared" si="9"/>
        <v>-5.5510462393591862</v>
      </c>
      <c r="BJ41" s="867">
        <f t="shared" si="10"/>
        <v>-6.0593624233871433</v>
      </c>
      <c r="BK41" s="869">
        <f t="shared" si="11"/>
        <v>-0.22889633439961118</v>
      </c>
      <c r="BL41" s="392"/>
      <c r="BN41" s="375">
        <f t="shared" si="3"/>
        <v>2043</v>
      </c>
      <c r="BO41" s="376">
        <f t="shared" ca="1" si="1"/>
        <v>-1031.0409207998341</v>
      </c>
      <c r="BP41" s="376">
        <f t="shared" ca="1" si="1"/>
        <v>-1027.9263266831656</v>
      </c>
      <c r="BQ41" s="376">
        <f t="shared" ca="1" si="1"/>
        <v>154.435468193698</v>
      </c>
      <c r="BR41" s="376">
        <f t="shared" ca="1" si="1"/>
        <v>-2700.8157348478649</v>
      </c>
      <c r="BS41" s="376">
        <f t="shared" ca="1" si="1"/>
        <v>43931.540123212872</v>
      </c>
      <c r="BT41" s="376">
        <f t="shared" ca="1" si="1"/>
        <v>50902.763564872323</v>
      </c>
      <c r="BV41" s="370">
        <f ca="1">IF(Emissions&lt;&gt;"N",SUM($BO41:BU41),0)</f>
        <v>90228.956173948027</v>
      </c>
      <c r="BW41" s="377"/>
      <c r="BX41" s="370">
        <f t="shared" ca="1" si="2"/>
        <v>205610.86420626531</v>
      </c>
      <c r="BZ41" s="401">
        <f ca="1">SUM($BO75:BU75)</f>
        <v>2.2341595643389542</v>
      </c>
      <c r="CA41" s="863">
        <f ca="1">SUM($BO109:BU109)</f>
        <v>2506.3262827461826</v>
      </c>
      <c r="CB41" s="861">
        <f ca="1">SUM($BO143:BU143)</f>
        <v>1.201696924927111</v>
      </c>
      <c r="CC41" s="863">
        <f ca="1">SUM($BO177:BU177)</f>
        <v>2.9816547327853903E-2</v>
      </c>
      <c r="CD41" s="861">
        <f ca="1">SUM($BO211:BU211)</f>
        <v>2.4015021377818163E-2</v>
      </c>
      <c r="CE41" s="863">
        <f ca="1">SUM($BO245:BU245)</f>
        <v>4.4882565926820245E-2</v>
      </c>
      <c r="CF41" s="861">
        <f ca="1">SUM($BO279:BU279)</f>
        <v>2.855548443008004E-2</v>
      </c>
      <c r="CG41" s="399">
        <f ca="1">SUM($BO313:BU313)</f>
        <v>78.433943145774151</v>
      </c>
      <c r="CH41" s="706">
        <f ca="1">SUM($BO347:BU347)</f>
        <v>80017.011556480546</v>
      </c>
      <c r="CI41" s="706">
        <f ca="1">SUM($BO381:BU381)</f>
        <v>7962.9093522953926</v>
      </c>
      <c r="CJ41" s="706">
        <f ca="1">SUM($BO415:BU415)</f>
        <v>1526.9614845279038</v>
      </c>
      <c r="CK41" s="706">
        <f ca="1">SUM($BO449:BU449)</f>
        <v>621.77730183200879</v>
      </c>
      <c r="CL41" s="400">
        <f ca="1">SUM($BO483:BU483)</f>
        <v>21.862535666472894</v>
      </c>
    </row>
    <row r="42" spans="2:90" x14ac:dyDescent="0.25">
      <c r="B42" s="375">
        <f t="shared" si="12"/>
        <v>2041</v>
      </c>
      <c r="C42" s="401">
        <f>MAX(TREND(C24:C25,B24:B25,B42),0)</f>
        <v>896622.5</v>
      </c>
      <c r="D42" s="402">
        <f>MAX(TREND(D24:D25,B24:B25,B42),0)</f>
        <v>965151.25</v>
      </c>
      <c r="E42" s="401">
        <f>MAX(TREND(E24:E25,B24:B25,B42),0)</f>
        <v>21352.5</v>
      </c>
      <c r="F42" s="402">
        <f>MAX(TREND(F24:F25,B24:B25,B42),0)</f>
        <v>22903.75</v>
      </c>
      <c r="G42" s="401">
        <f>MAX(TREND(G24:G25,B24:B25,B42),0)</f>
        <v>0</v>
      </c>
      <c r="H42" s="402">
        <f>MAX(TREND(H24:H25,B24:B25,B42),0)</f>
        <v>0</v>
      </c>
      <c r="I42" s="401">
        <f>MAX(TREND(I24:I25,B24:B25,B42),0)</f>
        <v>0</v>
      </c>
      <c r="J42" s="402">
        <f>MAX(TREND(J24:J25,B24:B25,B42),0)</f>
        <v>0</v>
      </c>
      <c r="K42" s="435">
        <f>IFERROR(IF(INDEX(HwyTransitModelGroup,A18,1)=Hwy,MAX(5,ROUND(C42/E42,1)),MAX(5,ROUND(G42/I42,1))),55)</f>
        <v>42</v>
      </c>
      <c r="L42" s="436">
        <f>IFERROR(IF(INDEX(HwyTransitModelGroup,A18,1)=Hwy,MAX(5,ROUND(D42/F42,1)),MAX(5,ROUND(H42/J42,1))),55)</f>
        <v>42.1</v>
      </c>
      <c r="M42" s="405">
        <f>MIN(MAX(TREND(M24:M25,B24:B25,B42),0),1)</f>
        <v>0.24</v>
      </c>
      <c r="N42" s="406">
        <f>MIN(MAX(TREND(N24:N25,B24:B25,B42),0),1)</f>
        <v>0.24</v>
      </c>
      <c r="O42" s="401">
        <f>MAX(TREND(O24:O25,B24:B25,B42),0)</f>
        <v>0</v>
      </c>
      <c r="P42" s="402">
        <f>MAX(TREND(P24:P25,B24:B25,B42),0)</f>
        <v>0</v>
      </c>
      <c r="Q42" s="729">
        <f>IF(INDEX(HwyTransitModelGroup,A18,1)=Hwy,C42*(1-M42)*0.00000110231131*(VLOOKUP(K42,EmAuto20,2)*VLOOKUP(ProjLoc,EmCost,2)+VLOOKUP(K42,EmAuto20,3)*VLOOKUP(ProjLoc,EmCost,3)*(1+CO2Uprater)^($B42-YearCurrent)+VLOOKUP(K42,EmAuto20,4)*VLOOKUP(ProjLoc,EmCost,4)+VLOOKUP(K42,EmAuto20,5)*VLOOKUP(ProjLoc,EmCost,5)+VLOOKUP(K42,EmAuto20,6)*VLOOKUP(ProjLoc,EmCost,6)+VLOOKUP(K42,EmAuto20,7)*VLOOKUP(ProjLoc,EmCost,7))+C42*M42*0.00000110231131*(VLOOKUP(K42,EmTruck20,2)*VLOOKUP(ProjLoc,EmCost,2)+VLOOKUP(K42,EmTruck20,3)*VLOOKUP(ProjLoc,EmCost,3)*(1+CO2Uprater)^($B42-YearCurrent)+VLOOKUP(K42,EmTruck20,4)*VLOOKUP(ProjLoc,EmCost,4)+VLOOKUP(K42,EmTruck20,5)*VLOOKUP(ProjLoc,EmCost,5)+VLOOKUP(K42,EmTruck20,6)*VLOOKUP(ProjLoc,EmCost,6)+VLOOKUP(K42,EmTruck20,7)*VLOOKUP(ProjLoc,EmCost,7)),0)</f>
        <v>23850.682508025293</v>
      </c>
      <c r="R42" s="802">
        <f>IF(INDEX(HwyTransitModelGroup,A18,1)=Hwy,D42*(1-N42)*0.00000110231131*(VLOOKUP(L42,EmAuto20,2)*VLOOKUP(ProjLoc,EmCost,2)+VLOOKUP(L42,EmAuto20,3)*VLOOKUP(ProjLoc,EmCost,3)*(1+CO2Uprater)^($B42-YearCurrent)+VLOOKUP(L42,EmAuto20,4)*VLOOKUP(ProjLoc,EmCost,4)+VLOOKUP(L42,EmAuto20,5)*VLOOKUP(ProjLoc,EmCost,5)+VLOOKUP(L42,EmAuto20,6)*VLOOKUP(ProjLoc,EmCost,6)+VLOOKUP(L42,EmAuto20,7)*VLOOKUP(ProjLoc,EmCost,7))+D42*N42*0.00000110231131*(VLOOKUP(L42,EmTruck20,2)*VLOOKUP(ProjLoc,EmCost,2)+VLOOKUP(L42,EmTruck20,3)*VLOOKUP(ProjLoc,EmCost,3)*(1+CO2Uprater)^($B42-YearCurrent)+VLOOKUP(L42,EmTruck20,4)*VLOOKUP(ProjLoc,EmCost,4)+VLOOKUP(L42,EmTruck20,5)*VLOOKUP(ProjLoc,EmCost,5)+VLOOKUP(L42,EmTruck20,6)*VLOOKUP(ProjLoc,EmCost,6)+VLOOKUP(L42,EmTruck20,7)*VLOOKUP(ProjLoc,EmCost,7)),0)</f>
        <v>25673.587307895737</v>
      </c>
      <c r="S42" s="729">
        <f>IF(INDEX(HwyTransitModelGroup,A18,1)=Hwy,O42*(1-M42)*0.00000110231131*(VLOOKUP(0,EmAuto20,2)*VLOOKUP(ProjLoc,EmCost,2)+VLOOKUP(0,EmAuto20,3)*VLOOKUP(ProjLoc,EmCost,3)*(1+CO2Uprater)^($B42-YearCurrent)+VLOOKUP(0,EmAuto20,4)*VLOOKUP(ProjLoc,EmCost,4)+VLOOKUP(0,EmAuto20,5)*VLOOKUP(ProjLoc,EmCost,5)+VLOOKUP(0,EmAuto20,6)*VLOOKUP(ProjLoc,EmCost,6)+VLOOKUP(0,EmAuto20,7)*VLOOKUP(ProjLoc,EmCost,7))+O42*M42*0.00000110231131*(VLOOKUP(0,EmTruck20,2)*VLOOKUP(ProjLoc,EmCost,2)+VLOOKUP(0,EmTruck20,3)*VLOOKUP(ProjLoc,EmCost,3)*(1+CO2Uprater)^($B42-YearCurrent)+VLOOKUP(0,EmTruck20,4)*VLOOKUP(ProjLoc,EmCost,4)+VLOOKUP(0,EmTruck20,5)*VLOOKUP(ProjLoc,EmCost,5)+VLOOKUP(0,EmTruck20,6)*VLOOKUP(ProjLoc,EmCost,6)+VLOOKUP(0,EmTruck20,7)*VLOOKUP(ProjLoc,EmCost,7)),0)</f>
        <v>0</v>
      </c>
      <c r="T42" s="802">
        <f>IF(INDEX(HwyTransitModelGroup,A18,1)=Hwy,P42*(1-N42)*0.00000110231131*(VLOOKUP(0,EmAuto20,2)*VLOOKUP(ProjLoc,EmCost,2)+VLOOKUP(0,EmAuto20,3)*VLOOKUP(ProjLoc,EmCost,3)*(1+CO2Uprater)^($B42-YearCurrent)+VLOOKUP(0,EmAuto20,4)*VLOOKUP(ProjLoc,EmCost,4)+VLOOKUP(0,EmAuto20,5)*VLOOKUP(ProjLoc,EmCost,5)+VLOOKUP(0,EmAuto20,6)*VLOOKUP(ProjLoc,EmCost,6)+VLOOKUP(0,EmAuto20,7)*VLOOKUP(ProjLoc,EmCost,7))+P42*N42*0.00000110231131*(VLOOKUP(0,EmTruck20,2)*VLOOKUP(ProjLoc,EmCost,2)+VLOOKUP(0,EmTruck20,3)*VLOOKUP(ProjLoc,EmCost,3)*(1+CO2Uprater)^($B42-YearCurrent)+VLOOKUP(0,EmTruck20,4)*VLOOKUP(ProjLoc,EmCost,4)+VLOOKUP(0,EmTruck20,5)*VLOOKUP(ProjLoc,EmCost,5)+VLOOKUP(0,EmTruck20,6)*VLOOKUP(ProjLoc,EmCost,6)+VLOOKUP(0,EmTruck20,7)*VLOOKUP(ProjLoc,EmCost,7)),0)</f>
        <v>0</v>
      </c>
      <c r="U42" s="729">
        <f>IF(INDEX(HwyTransitModelGroup,A18,1)=PARAMETERS!$J$9,C42*0.00000110231131*(VLOOKUP(K42,EmBus20,2)*VLOOKUP(ProjLoc,EmCost,2)+VLOOKUP(K42,EmBus20,3)*VLOOKUP(ProjLoc,EmCost,3)*(1+CO2Uprater)^($B42-YearCurrent)+VLOOKUP(K42,EmBus20,4)*VLOOKUP(ProjLoc,EmCost,4)+VLOOKUP(K42,EmBus20,5)*VLOOKUP(ProjLoc,EmCost,5)+VLOOKUP(K42,EmBus20,6)*VLOOKUP(ProjLoc,EmCost,6)+VLOOKUP(K42,EmBus20,7)*VLOOKUP(ProjLoc,EmCost,7)),0)</f>
        <v>0</v>
      </c>
      <c r="V42" s="802">
        <f>IF(INDEX(HwyTransitModelGroup,A18,1)=PARAMETERS!$J$9,D42*0.00000110231131*(VLOOKUP(L42,EmBus20,2)*VLOOKUP(ProjLoc,EmCost,2)+VLOOKUP(L42,EmBus20,3)*VLOOKUP(ProjLoc,EmCost,3)*(1+CO2Uprater)^($B42-YearCurrent)+VLOOKUP(L42,EmBus20,4)*VLOOKUP(ProjLoc,EmCost,4)+VLOOKUP(L42,EmBus20,5)*VLOOKUP(ProjLoc,EmCost,5)+VLOOKUP(L42,EmBus20,6)*VLOOKUP(ProjLoc,EmCost,6)+VLOOKUP(L42,EmBus20,7)*VLOOKUP(ProjLoc,EmCost,7)),0)</f>
        <v>0</v>
      </c>
      <c r="W42" s="808">
        <f>IF(INDEX(HwyTransitModelGroup,A18,1)=PARAMETERS!$J$10,C42*0.00000110231131*(PARAMETERS!$CQ$29*VLOOKUP(ProjLoc,EmCost,2)+PARAMETERS!$CR$29*VLOOKUP(ProjLoc,EmCost,3)*(1+CO2Uprater)^($B42-YearCurrent)+PARAMETERS!$CS$29*VLOOKUP(ProjLoc,EmCost,4)+PARAMETERS!$CT$29*VLOOKUP(ProjLoc,EmCost,5)+PARAMETERS!$CU$29*VLOOKUP(ProjLoc,EmCost,6)+PARAMETERS!$CV$29*VLOOKUP(ProjLoc,EmCost,7)),0)</f>
        <v>0</v>
      </c>
      <c r="X42" s="844">
        <f>IF(INDEX(HwyTransitModelGroup,A18,1)=PARAMETERS!$J$10,D42*0.00000110231131*(PARAMETERS!$CQ$29*VLOOKUP(ProjLoc,EmCost,2)+PARAMETERS!$CR$29*VLOOKUP(ProjLoc,EmCost,3)*(1+CO2Uprater)^($B42-YearCurrent)+PARAMETERS!$CS$29*VLOOKUP(ProjLoc,EmCost,4)+PARAMETERS!$CT$29*VLOOKUP(ProjLoc,EmCost,5)+PARAMETERS!$CU$29*VLOOKUP(ProjLoc,EmCost,6)+PARAMETERS!$CV$29*VLOOKUP(ProjLoc,EmCost,7)),0)</f>
        <v>0</v>
      </c>
      <c r="Y42" s="808">
        <f>IF(INDEX(HwyTransitModelGroup,A18,1)=PARAMETERS!$J$11,C42*0.00000110231131*(PARAMETERS!$CQ$37*VLOOKUP(ProjLoc,EmCost,2)+PARAMETERS!$CR$37*VLOOKUP(ProjLoc,EmCost,3)*(1+CO2Uprater)^($B42-YearCurrent)+PARAMETERS!$CS$37*VLOOKUP(ProjLoc,EmCost,4)+PARAMETERS!$CT$37*VLOOKUP(ProjLoc,EmCost,5)+PARAMETERS!$CU$37*VLOOKUP(ProjLoc,EmCost,6)+PARAMETERS!$CV$37*VLOOKUP(ProjLoc,EmCost,7)),0)</f>
        <v>0</v>
      </c>
      <c r="Z42" s="844">
        <f>IF(INDEX(HwyTransitModelGroup,A18,1)=PARAMETERS!$J$11,D42*0.00000110231131*(PARAMETERS!$CQ$37*VLOOKUP(ProjLoc,EmCost,2)+PARAMETERS!$CR$37*VLOOKUP(ProjLoc,EmCost,3)*(1+CO2Uprater)^($B42-YearCurrent)+PARAMETERS!$CS$37*VLOOKUP(ProjLoc,EmCost,4)+PARAMETERS!$CT$37*VLOOKUP(ProjLoc,EmCost,5)+PARAMETERS!$CU$37*VLOOKUP(ProjLoc,EmCost,6)+PARAMETERS!$CV$37*VLOOKUP(ProjLoc,EmCost,7)),0)</f>
        <v>0</v>
      </c>
      <c r="AA42" s="369">
        <f t="shared" si="4"/>
        <v>-1822.9047998704445</v>
      </c>
      <c r="AB42" s="370">
        <f t="shared" si="5"/>
        <v>-865.22795302169163</v>
      </c>
      <c r="AC42" s="371"/>
      <c r="AD42" s="401">
        <f>IF(INDEX(HwyTransitModelGroup,A18,1)=Hwy,0.00000110231131*(C42*(1-M42)*VLOOKUP(K42,EmAuto20,2)-D42*(1-N42)*VLOOKUP(L42,EmAuto20,2)+(O42*(1-M42)-P42*(1-N42))*VLOOKUP(0,EmAuto20,2))+0.00000110231131*(C42*M42*VLOOKUP(K42,EmTruck20,2)-D42*N42*VLOOKUP(L42,EmTruck20,2)+(O42*M42-P42*N42)*VLOOKUP(0,EmTruck20,2)),0)</f>
        <v>-3.317808158871758E-2</v>
      </c>
      <c r="AE42" s="863">
        <f>IF(INDEX(HwyTransitModelGroup,A18,1)=Hwy,0.00000110231131*(C42*(1-M42)*VLOOKUP(K42,EmAuto20,3)-D42*(1-N42)*VLOOKUP(L42,EmAuto20,3)+(O42*(1-M42)-P42*(1-N42))*VLOOKUP(0,EmAuto20,3))+0.00000110231131*(C42*M42*VLOOKUP(K42,EmTruck20,3)-D42*N42*VLOOKUP(L42,EmTruck20,3)+(O42*M42-P42*N42)*VLOOKUP(0,EmTruck20,3)),0)</f>
        <v>-24.03799072532674</v>
      </c>
      <c r="AF42" s="861">
        <f>IF(INDEX(HwyTransitModelGroup,A18,1)=Hwy,0.00000110231131*(C42*(1-M42)*VLOOKUP(K42,EmAuto20,4)-D42*(1-N42)*VLOOKUP(L42,EmAuto20,4)+(O42*(1-M42)-P42*(1-N42))*VLOOKUP(0,EmAuto20,4))+0.00000110231131*(C42*M42*VLOOKUP(K42,EmTruck20,4)-D42*N42*VLOOKUP(L42,EmTruck20,4)+(O42*M42-P42*N42)*VLOOKUP(0,EmTruck20,4)),0)</f>
        <v>-7.4751378416189366E-3</v>
      </c>
      <c r="AG42" s="863">
        <f>IF(INDEX(HwyTransitModelGroup,A18,1)=Hwy,0.00000110231131*(C42*(1-M42)*VLOOKUP(K42,EmAuto20,5)-D42*(1-N42)*VLOOKUP(L42,EmAuto20,5)+(O42*(1-M42)-P42*(1-N42))*VLOOKUP(0,EmAuto20,5))+0.00000110231131*(C42*M42*VLOOKUP(K42,EmTruck20,5)-D42*N42*VLOOKUP(L42,EmTruck20,5)+(O42*M42-P42*N42)*VLOOKUP(0,EmTruck20,5)),0)</f>
        <v>-1.0636034278870871E-4</v>
      </c>
      <c r="AH42" s="861">
        <f>IF(INDEX(HwyTransitModelGroup,A18,1)=Hwy,0.00000110231131*(C42*(1-M42)*VLOOKUP(K42,EmAuto20,6)-D42*(1-N42)*VLOOKUP(L42,EmAuto20,6)+(O42*(1-M42)-P42*(1-N42))*VLOOKUP(0,EmAuto20,6))+0.00000110231131*(C42*M42*VLOOKUP(K42,EmTruck20,6)-D42*N42*VLOOKUP(L42,EmTruck20,6)+(O42*M42-P42*N42)*VLOOKUP(0,EmTruck20,6)),0)</f>
        <v>-2.2964164920289388E-4</v>
      </c>
      <c r="AI42" s="863">
        <f>IF(INDEX(HwyTransitModelGroup,A18,1)=Hwy,0.00000110231131*(C42*(1-M42)*VLOOKUP(K42,EmAuto20,7)-D42*(1-N42)*VLOOKUP(L42,EmAuto20,7)+(O42*(1-M42)-P42*(1-N42))*VLOOKUP(0,EmAuto20,7))+0.00000110231131*(C42*M42*VLOOKUP(K42,EmTruck20,7)-D42*N42*VLOOKUP(L42,EmTruck20,7)+(O42*M42-P42*N42)*VLOOKUP(0,EmTruck20,7)),0)</f>
        <v>-4.6109625879423174E-4</v>
      </c>
      <c r="AJ42" s="861">
        <f>IF(INDEX(HwyTransitModelGroup,A18,1)=Hwy,0.00000110231131*(C42*(1-M42)*VLOOKUP(K42,EmAuto20,8)-D42*(1-N42)*VLOOKUP(L42,EmAuto20,8)+(O42*(1-M42)-P42*(1-N42))*VLOOKUP(0,EmAuto20,8))+0.00000110231131*(C42*M42*VLOOKUP(K42,EmTruck20,8)-D42*N42*VLOOKUP(L42,EmTruck20,8)+(O42*M42-P42*N42)*VLOOKUP(0,EmTruck20,8)),0)</f>
        <v>-1.0273442201182086E-4</v>
      </c>
      <c r="AK42" s="401">
        <f>IF(INDEX(HwyTransitModelGroup,A18,1)=PARAMETERS!$J$9,0.00000110231131*(C42*VLOOKUP(K42,EmBus20,2)-D42*VLOOKUP(L42,EmBus20,2)+(O42-P42)*VLOOKUP(0,EmBus20,2)),0)</f>
        <v>0</v>
      </c>
      <c r="AL42" s="863">
        <f>IF(INDEX(HwyTransitModelGroup,A18,1)=PARAMETERS!$J$9,0.00000110231131*(C42*VLOOKUP(K42,EmBus20,3)-D42*VLOOKUP(L42,EmBus20,3)+(O42-P42)*VLOOKUP(0,EmBus20,3)),0)</f>
        <v>0</v>
      </c>
      <c r="AM42" s="861">
        <f>IF(INDEX(HwyTransitModelGroup,A18,1)=PARAMETERS!$J$9,0.00000110231131*(C42*VLOOKUP(K42,EmBus20,4)-D42*VLOOKUP(L42,EmBus20,4)+(O42-P42)*VLOOKUP(0,EmBus20,4)),0)</f>
        <v>0</v>
      </c>
      <c r="AN42" s="863">
        <f>IF(INDEX(HwyTransitModelGroup,A18,1)=PARAMETERS!$J$9,0.00000110231131*(C42*VLOOKUP(K42,EmBus20,5)-D42*VLOOKUP(L42,EmBus20,5)+(O42-P42)*VLOOKUP(0,EmBus20,5)),0)</f>
        <v>0</v>
      </c>
      <c r="AO42" s="861">
        <f>IF(INDEX(HwyTransitModelGroup,A18,1)=PARAMETERS!$J$9,0.00000110231131*(C42*VLOOKUP(K42,EmBus20,6)-D42*VLOOKUP(L42,EmBus20,6)+(O42-P42)*VLOOKUP(0,EmBus20,6)),0)</f>
        <v>0</v>
      </c>
      <c r="AP42" s="863">
        <f>IF(INDEX(HwyTransitModelGroup,A18,1)=PARAMETERS!$J$9,0.00000110231131*(C42*VLOOKUP(K42,EmBus20,7)-D42*VLOOKUP(L42,EmBus20,7)+(O42-P42)*VLOOKUP(0,EmBus20,7)),0)</f>
        <v>0</v>
      </c>
      <c r="AQ42" s="861">
        <f>IF(INDEX(HwyTransitModelGroup,A18,1)=PARAMETERS!$J$9,0.00000110231131*(C42*VLOOKUP(K42,EmBus20,8)-D42*VLOOKUP(L42,EmBus20,8)+(O42-P42)*VLOOKUP(0,EmBus20,8)),0)</f>
        <v>0</v>
      </c>
      <c r="AR42" s="401">
        <f>IF(INDEX(HwyTransitModelGroup,A18,1)=PARAMETERS!$J$10,0.00000110231131*((C42-D42)*PARAMETERS!$CQ$29),0)</f>
        <v>0</v>
      </c>
      <c r="AS42" s="863">
        <f>IF(INDEX(HwyTransitModelGroup,A18,1)=PARAMETERS!$J$10,0.00000110231131*((C42-D42)*PARAMETERS!$CR$29),0)</f>
        <v>0</v>
      </c>
      <c r="AT42" s="861">
        <f>IF(INDEX(HwyTransitModelGroup,A18,1)=PARAMETERS!$J$10,0.00000110231131*((C42-D42)*PARAMETERS!$CS$29),0)</f>
        <v>0</v>
      </c>
      <c r="AU42" s="863">
        <f>IF(INDEX(HwyTransitModelGroup,A18,1)=PARAMETERS!$J$10,0.00000110231131*((C42-D42)*PARAMETERS!$CT$29),0)</f>
        <v>0</v>
      </c>
      <c r="AV42" s="861">
        <f>IF(INDEX(HwyTransitModelGroup,A18,1)=PARAMETERS!$J$10,0.00000110231131*((C42-D42)*PARAMETERS!$CU$29),0)</f>
        <v>0</v>
      </c>
      <c r="AW42" s="863">
        <f>IF(INDEX(HwyTransitModelGroup,A18,1)=PARAMETERS!$J$10,0.00000110231131*((C42-D42)*PARAMETERS!$CV$29),0)</f>
        <v>0</v>
      </c>
      <c r="AX42" s="861">
        <f>IF(INDEX(HwyTransitModelGroup,A18,1)=PARAMETERS!$J$10,0.00000110231131*((C42-D42)*PARAMETERS!$CW$29),0)</f>
        <v>0</v>
      </c>
      <c r="AY42" s="401">
        <f>IF(INDEX(HwyTransitModelGroup,A18,1)=PARAMETERS!$J$11,0.00000110231131*((C42-D42)*PARAMETERS!$CQ$37),0)</f>
        <v>0</v>
      </c>
      <c r="AZ42" s="863">
        <f>IF(INDEX(HwyTransitModelGroup,A18,1)=PARAMETERS!$J$11,0.00000110231131*((C42-D42)*PARAMETERS!$CR$37),0)</f>
        <v>0</v>
      </c>
      <c r="BA42" s="861">
        <f>IF(INDEX(HwyTransitModelGroup,A18,1)=PARAMETERS!$J$11,0.00000110231131*((C42-D42)*PARAMETERS!$CS$37),0)</f>
        <v>0</v>
      </c>
      <c r="BB42" s="863">
        <f>IF(INDEX(HwyTransitModelGroup,A18,1)=PARAMETERS!$J$11,0.00000110231131*((C42-D42)*PARAMETERS!$CT$37),0)</f>
        <v>0</v>
      </c>
      <c r="BC42" s="861">
        <f>IF(INDEX(HwyTransitModelGroup,A18,1)=PARAMETERS!$J$11,0.00000110231131*((C42-D42)*PARAMETERS!$CU$37),0)</f>
        <v>0</v>
      </c>
      <c r="BD42" s="863">
        <f>IF(INDEX(HwyTransitModelGroup,A18,1)=PARAMETERS!$J$11,0.00000110231131*((C42-D42)*PARAMETERS!$CV$37),0)</f>
        <v>0</v>
      </c>
      <c r="BE42" s="865">
        <f>IF(INDEX(HwyTransitModelGroup,A18,1)=PARAMETERS!$J$11,0.00000110231131*((C42-D42)*PARAMETERS!$CW$37),0)</f>
        <v>0</v>
      </c>
      <c r="BF42" s="729">
        <f t="shared" si="6"/>
        <v>-1.2598180056460651</v>
      </c>
      <c r="BG42" s="867">
        <f t="shared" si="7"/>
        <v>-797.82789624152724</v>
      </c>
      <c r="BH42" s="867">
        <f t="shared" si="8"/>
        <v>-53.575064933259775</v>
      </c>
      <c r="BI42" s="867">
        <f t="shared" si="9"/>
        <v>-5.8913813788251801</v>
      </c>
      <c r="BJ42" s="867">
        <f t="shared" si="10"/>
        <v>-6.4308624733806852</v>
      </c>
      <c r="BK42" s="869">
        <f t="shared" si="11"/>
        <v>-0.24292998905353724</v>
      </c>
      <c r="BL42" s="392"/>
      <c r="BN42" s="375">
        <f t="shared" si="3"/>
        <v>2044</v>
      </c>
      <c r="BO42" s="376">
        <f t="shared" ca="1" si="1"/>
        <v>-1086.7813407354574</v>
      </c>
      <c r="BP42" s="376">
        <f t="shared" ca="1" si="1"/>
        <v>-1020.4126044497274</v>
      </c>
      <c r="BQ42" s="376">
        <f t="shared" ca="1" si="1"/>
        <v>151.17249325524168</v>
      </c>
      <c r="BR42" s="376">
        <f t="shared" ca="1" si="1"/>
        <v>-2658.7743618617342</v>
      </c>
      <c r="BS42" s="376">
        <f t="shared" ca="1" si="1"/>
        <v>44219.793390987099</v>
      </c>
      <c r="BT42" s="376">
        <f t="shared" ca="1" si="1"/>
        <v>50811.984985912248</v>
      </c>
      <c r="BV42" s="370">
        <f ca="1">IF(Emissions&lt;&gt;"N",SUM($BO42:BU42),0)</f>
        <v>90416.982563107667</v>
      </c>
      <c r="BW42" s="377"/>
      <c r="BX42" s="370">
        <f t="shared" ca="1" si="2"/>
        <v>214280.90604748417</v>
      </c>
      <c r="BZ42" s="401">
        <f ca="1">SUM($BO76:BU76)</f>
        <v>2.2825175293023112</v>
      </c>
      <c r="CA42" s="863">
        <f ca="1">SUM($BO110:BU110)</f>
        <v>2566.2104497337314</v>
      </c>
      <c r="CB42" s="861">
        <f ca="1">SUM($BO144:BU144)</f>
        <v>1.2314736407990596</v>
      </c>
      <c r="CC42" s="863">
        <f ca="1">SUM($BO178:BU178)</f>
        <v>3.0594940462429637E-2</v>
      </c>
      <c r="CD42" s="861">
        <f ca="1">SUM($BO212:BU212)</f>
        <v>2.4589952960731049E-2</v>
      </c>
      <c r="CE42" s="863">
        <f ca="1">SUM($BO246:BU246)</f>
        <v>4.5923381818639822E-2</v>
      </c>
      <c r="CF42" s="861">
        <f ca="1">SUM($BO280:BU280)</f>
        <v>2.9301439172917242E-2</v>
      </c>
      <c r="CG42" s="399">
        <f ca="1">SUM($BO314:BU314)</f>
        <v>77.049645329082821</v>
      </c>
      <c r="CH42" s="706">
        <f ca="1">SUM($BO348:BU348)</f>
        <v>80353.319118449304</v>
      </c>
      <c r="CI42" s="706">
        <f ca="1">SUM($BO382:BU382)</f>
        <v>7846.3667374262295</v>
      </c>
      <c r="CJ42" s="706">
        <f ca="1">SUM($BO416:BU416)</f>
        <v>1506.5619821083574</v>
      </c>
      <c r="CK42" s="706">
        <f ca="1">SUM($BO450:BU450)</f>
        <v>612.175923446659</v>
      </c>
      <c r="CL42" s="400">
        <f ca="1">SUM($BO484:BU484)</f>
        <v>21.509156348062049</v>
      </c>
    </row>
    <row r="43" spans="2:90" x14ac:dyDescent="0.25">
      <c r="B43" s="375">
        <f t="shared" si="12"/>
        <v>2042</v>
      </c>
      <c r="C43" s="401">
        <f>MAX(TREND(C24:C25,B24:B25,B43),0)</f>
        <v>906295</v>
      </c>
      <c r="D43" s="402">
        <f>MAX(TREND(D24:D25,B24:B25,B43),0)</f>
        <v>981266</v>
      </c>
      <c r="E43" s="401">
        <f>MAX(TREND(E24:E25,B24:B25,B43),0)</f>
        <v>21608</v>
      </c>
      <c r="F43" s="402">
        <f>MAX(TREND(F24:F25,B24:B25,B43),0)</f>
        <v>23287</v>
      </c>
      <c r="G43" s="401">
        <f>MAX(TREND(G24:G25,B24:B25,B43),0)</f>
        <v>0</v>
      </c>
      <c r="H43" s="402">
        <f>MAX(TREND(H24:H25,B24:B25,B43),0)</f>
        <v>0</v>
      </c>
      <c r="I43" s="401">
        <f>MAX(TREND(I24:I25,B24:B25,B43),0)</f>
        <v>0</v>
      </c>
      <c r="J43" s="402">
        <f>MAX(TREND(J24:J25,B24:B25,B43),0)</f>
        <v>0</v>
      </c>
      <c r="K43" s="435">
        <f>IFERROR(IF(INDEX(HwyTransitModelGroup,A18,1)=Hwy,MAX(5,ROUND(C43/E43,1)),MAX(5,ROUND(G43/I43,1))),55)</f>
        <v>41.9</v>
      </c>
      <c r="L43" s="436">
        <f>IFERROR(IF(INDEX(HwyTransitModelGroup,A18,1)=Hwy,MAX(5,ROUND(D43/F43,1)),MAX(5,ROUND(H43/J43,1))),55)</f>
        <v>42.1</v>
      </c>
      <c r="M43" s="405">
        <f>MIN(MAX(TREND(M24:M25,B24:B25,B43),0),1)</f>
        <v>0.24</v>
      </c>
      <c r="N43" s="406">
        <f>MIN(MAX(TREND(N24:N25,B24:B25,B43),0),1)</f>
        <v>0.24</v>
      </c>
      <c r="O43" s="401">
        <f>MAX(TREND(O24:O25,B24:B25,B43),0)</f>
        <v>0</v>
      </c>
      <c r="P43" s="402">
        <f>MAX(TREND(P24:P25,B24:B25,B43),0)</f>
        <v>0</v>
      </c>
      <c r="Q43" s="729">
        <f>IF(INDEX(HwyTransitModelGroup,A18,1)=Hwy,C43*(1-M43)*0.00000110231131*(VLOOKUP(K43,EmAuto20,2)*VLOOKUP(ProjLoc,EmCost,2)+VLOOKUP(K43,EmAuto20,3)*VLOOKUP(ProjLoc,EmCost,3)*(1+CO2Uprater)^($B43-YearCurrent)+VLOOKUP(K43,EmAuto20,4)*VLOOKUP(ProjLoc,EmCost,4)+VLOOKUP(K43,EmAuto20,5)*VLOOKUP(ProjLoc,EmCost,5)+VLOOKUP(K43,EmAuto20,6)*VLOOKUP(ProjLoc,EmCost,6)+VLOOKUP(K43,EmAuto20,7)*VLOOKUP(ProjLoc,EmCost,7))+C43*M43*0.00000110231131*(VLOOKUP(K43,EmTruck20,2)*VLOOKUP(ProjLoc,EmCost,2)+VLOOKUP(K43,EmTruck20,3)*VLOOKUP(ProjLoc,EmCost,3)*(1+CO2Uprater)^($B43-YearCurrent)+VLOOKUP(K43,EmTruck20,4)*VLOOKUP(ProjLoc,EmCost,4)+VLOOKUP(K43,EmTruck20,5)*VLOOKUP(ProjLoc,EmCost,5)+VLOOKUP(K43,EmTruck20,6)*VLOOKUP(ProjLoc,EmCost,6)+VLOOKUP(K43,EmTruck20,7)*VLOOKUP(ProjLoc,EmCost,7)),0)</f>
        <v>24452.782187106903</v>
      </c>
      <c r="R43" s="802">
        <f>IF(INDEX(HwyTransitModelGroup,A18,1)=Hwy,D43*(1-N43)*0.00000110231131*(VLOOKUP(L43,EmAuto20,2)*VLOOKUP(ProjLoc,EmCost,2)+VLOOKUP(L43,EmAuto20,3)*VLOOKUP(ProjLoc,EmCost,3)*(1+CO2Uprater)^($B43-YearCurrent)+VLOOKUP(L43,EmAuto20,4)*VLOOKUP(ProjLoc,EmCost,4)+VLOOKUP(L43,EmAuto20,5)*VLOOKUP(ProjLoc,EmCost,5)+VLOOKUP(L43,EmAuto20,6)*VLOOKUP(ProjLoc,EmCost,6)+VLOOKUP(L43,EmAuto20,7)*VLOOKUP(ProjLoc,EmCost,7))+D43*N43*0.00000110231131*(VLOOKUP(L43,EmTruck20,2)*VLOOKUP(ProjLoc,EmCost,2)+VLOOKUP(L43,EmTruck20,3)*VLOOKUP(ProjLoc,EmCost,3)*(1+CO2Uprater)^($B43-YearCurrent)+VLOOKUP(L43,EmTruck20,4)*VLOOKUP(ProjLoc,EmCost,4)+VLOOKUP(L43,EmTruck20,5)*VLOOKUP(ProjLoc,EmCost,5)+VLOOKUP(L43,EmTruck20,6)*VLOOKUP(ProjLoc,EmCost,6)+VLOOKUP(L43,EmTruck20,7)*VLOOKUP(ProjLoc,EmCost,7)),0)</f>
        <v>26583.627477695183</v>
      </c>
      <c r="S43" s="729">
        <f>IF(INDEX(HwyTransitModelGroup,A18,1)=Hwy,O43*(1-M43)*0.00000110231131*(VLOOKUP(0,EmAuto20,2)*VLOOKUP(ProjLoc,EmCost,2)+VLOOKUP(0,EmAuto20,3)*VLOOKUP(ProjLoc,EmCost,3)*(1+CO2Uprater)^($B43-YearCurrent)+VLOOKUP(0,EmAuto20,4)*VLOOKUP(ProjLoc,EmCost,4)+VLOOKUP(0,EmAuto20,5)*VLOOKUP(ProjLoc,EmCost,5)+VLOOKUP(0,EmAuto20,6)*VLOOKUP(ProjLoc,EmCost,6)+VLOOKUP(0,EmAuto20,7)*VLOOKUP(ProjLoc,EmCost,7))+O43*M43*0.00000110231131*(VLOOKUP(0,EmTruck20,2)*VLOOKUP(ProjLoc,EmCost,2)+VLOOKUP(0,EmTruck20,3)*VLOOKUP(ProjLoc,EmCost,3)*(1+CO2Uprater)^($B43-YearCurrent)+VLOOKUP(0,EmTruck20,4)*VLOOKUP(ProjLoc,EmCost,4)+VLOOKUP(0,EmTruck20,5)*VLOOKUP(ProjLoc,EmCost,5)+VLOOKUP(0,EmTruck20,6)*VLOOKUP(ProjLoc,EmCost,6)+VLOOKUP(0,EmTruck20,7)*VLOOKUP(ProjLoc,EmCost,7)),0)</f>
        <v>0</v>
      </c>
      <c r="T43" s="802">
        <f>IF(INDEX(HwyTransitModelGroup,A18,1)=Hwy,P43*(1-N43)*0.00000110231131*(VLOOKUP(0,EmAuto20,2)*VLOOKUP(ProjLoc,EmCost,2)+VLOOKUP(0,EmAuto20,3)*VLOOKUP(ProjLoc,EmCost,3)*(1+CO2Uprater)^($B43-YearCurrent)+VLOOKUP(0,EmAuto20,4)*VLOOKUP(ProjLoc,EmCost,4)+VLOOKUP(0,EmAuto20,5)*VLOOKUP(ProjLoc,EmCost,5)+VLOOKUP(0,EmAuto20,6)*VLOOKUP(ProjLoc,EmCost,6)+VLOOKUP(0,EmAuto20,7)*VLOOKUP(ProjLoc,EmCost,7))+P43*N43*0.00000110231131*(VLOOKUP(0,EmTruck20,2)*VLOOKUP(ProjLoc,EmCost,2)+VLOOKUP(0,EmTruck20,3)*VLOOKUP(ProjLoc,EmCost,3)*(1+CO2Uprater)^($B43-YearCurrent)+VLOOKUP(0,EmTruck20,4)*VLOOKUP(ProjLoc,EmCost,4)+VLOOKUP(0,EmTruck20,5)*VLOOKUP(ProjLoc,EmCost,5)+VLOOKUP(0,EmTruck20,6)*VLOOKUP(ProjLoc,EmCost,6)+VLOOKUP(0,EmTruck20,7)*VLOOKUP(ProjLoc,EmCost,7)),0)</f>
        <v>0</v>
      </c>
      <c r="U43" s="729">
        <f>IF(INDEX(HwyTransitModelGroup,A18,1)=PARAMETERS!$J$9,C43*0.00000110231131*(VLOOKUP(K43,EmBus20,2)*VLOOKUP(ProjLoc,EmCost,2)+VLOOKUP(K43,EmBus20,3)*VLOOKUP(ProjLoc,EmCost,3)*(1+CO2Uprater)^($B43-YearCurrent)+VLOOKUP(K43,EmBus20,4)*VLOOKUP(ProjLoc,EmCost,4)+VLOOKUP(K43,EmBus20,5)*VLOOKUP(ProjLoc,EmCost,5)+VLOOKUP(K43,EmBus20,6)*VLOOKUP(ProjLoc,EmCost,6)+VLOOKUP(K43,EmBus20,7)*VLOOKUP(ProjLoc,EmCost,7)),0)</f>
        <v>0</v>
      </c>
      <c r="V43" s="802">
        <f>IF(INDEX(HwyTransitModelGroup,A18,1)=PARAMETERS!$J$9,D43*0.00000110231131*(VLOOKUP(L43,EmBus20,2)*VLOOKUP(ProjLoc,EmCost,2)+VLOOKUP(L43,EmBus20,3)*VLOOKUP(ProjLoc,EmCost,3)*(1+CO2Uprater)^($B43-YearCurrent)+VLOOKUP(L43,EmBus20,4)*VLOOKUP(ProjLoc,EmCost,4)+VLOOKUP(L43,EmBus20,5)*VLOOKUP(ProjLoc,EmCost,5)+VLOOKUP(L43,EmBus20,6)*VLOOKUP(ProjLoc,EmCost,6)+VLOOKUP(L43,EmBus20,7)*VLOOKUP(ProjLoc,EmCost,7)),0)</f>
        <v>0</v>
      </c>
      <c r="W43" s="808">
        <f>IF(INDEX(HwyTransitModelGroup,A18,1)=PARAMETERS!$J$10,C43*0.00000110231131*(PARAMETERS!$CQ$29*VLOOKUP(ProjLoc,EmCost,2)+PARAMETERS!$CR$29*VLOOKUP(ProjLoc,EmCost,3)*(1+CO2Uprater)^($B43-YearCurrent)+PARAMETERS!$CS$29*VLOOKUP(ProjLoc,EmCost,4)+PARAMETERS!$CT$29*VLOOKUP(ProjLoc,EmCost,5)+PARAMETERS!$CU$29*VLOOKUP(ProjLoc,EmCost,6)+PARAMETERS!$CV$29*VLOOKUP(ProjLoc,EmCost,7)),0)</f>
        <v>0</v>
      </c>
      <c r="X43" s="844">
        <f>IF(INDEX(HwyTransitModelGroup,A18,1)=PARAMETERS!$J$10,D43*0.00000110231131*(PARAMETERS!$CQ$29*VLOOKUP(ProjLoc,EmCost,2)+PARAMETERS!$CR$29*VLOOKUP(ProjLoc,EmCost,3)*(1+CO2Uprater)^($B43-YearCurrent)+PARAMETERS!$CS$29*VLOOKUP(ProjLoc,EmCost,4)+PARAMETERS!$CT$29*VLOOKUP(ProjLoc,EmCost,5)+PARAMETERS!$CU$29*VLOOKUP(ProjLoc,EmCost,6)+PARAMETERS!$CV$29*VLOOKUP(ProjLoc,EmCost,7)),0)</f>
        <v>0</v>
      </c>
      <c r="Y43" s="808">
        <f>IF(INDEX(HwyTransitModelGroup,A18,1)=PARAMETERS!$J$11,C43*0.00000110231131*(PARAMETERS!$CQ$37*VLOOKUP(ProjLoc,EmCost,2)+PARAMETERS!$CR$37*VLOOKUP(ProjLoc,EmCost,3)*(1+CO2Uprater)^($B43-YearCurrent)+PARAMETERS!$CS$37*VLOOKUP(ProjLoc,EmCost,4)+PARAMETERS!$CT$37*VLOOKUP(ProjLoc,EmCost,5)+PARAMETERS!$CU$37*VLOOKUP(ProjLoc,EmCost,6)+PARAMETERS!$CV$37*VLOOKUP(ProjLoc,EmCost,7)),0)</f>
        <v>0</v>
      </c>
      <c r="Z43" s="844">
        <f>IF(INDEX(HwyTransitModelGroup,A18,1)=PARAMETERS!$J$11,D43*0.00000110231131*(PARAMETERS!$CQ$37*VLOOKUP(ProjLoc,EmCost,2)+PARAMETERS!$CR$37*VLOOKUP(ProjLoc,EmCost,3)*(1+CO2Uprater)^($B43-YearCurrent)+PARAMETERS!$CS$37*VLOOKUP(ProjLoc,EmCost,4)+PARAMETERS!$CT$37*VLOOKUP(ProjLoc,EmCost,5)+PARAMETERS!$CU$37*VLOOKUP(ProjLoc,EmCost,6)+PARAMETERS!$CV$37*VLOOKUP(ProjLoc,EmCost,7)),0)</f>
        <v>0</v>
      </c>
      <c r="AA43" s="369">
        <f t="shared" si="4"/>
        <v>-2130.8452905882805</v>
      </c>
      <c r="AB43" s="370">
        <f t="shared" si="5"/>
        <v>-972.48997499899008</v>
      </c>
      <c r="AC43" s="371"/>
      <c r="AD43" s="401">
        <f>IF(INDEX(HwyTransitModelGroup,A18,1)=Hwy,0.00000110231131*(C43*(1-M43)*VLOOKUP(K43,EmAuto20,2)-D43*(1-N43)*VLOOKUP(L43,EmAuto20,2)+(O43*(1-M43)-P43*(1-N43))*VLOOKUP(0,EmAuto20,2))+0.00000110231131*(C43*M43*VLOOKUP(K43,EmTruck20,2)-D43*N43*VLOOKUP(L43,EmTruck20,2)+(O43*M43-P43*N43)*VLOOKUP(0,EmTruck20,2)),0)</f>
        <v>-2.9771492727436288E-2</v>
      </c>
      <c r="AE43" s="863">
        <f>IF(INDEX(HwyTransitModelGroup,A18,1)=Hwy,0.00000110231131*(C43*(1-M43)*VLOOKUP(K43,EmAuto20,3)-D43*(1-N43)*VLOOKUP(L43,EmAuto20,3)+(O43*(1-M43)-P43*(1-N43))*VLOOKUP(0,EmAuto20,3))+0.00000110231131*(C43*M43*VLOOKUP(K43,EmTruck20,3)-D43*N43*VLOOKUP(L43,EmTruck20,3)+(O43*M43-P43*N43)*VLOOKUP(0,EmTruck20,3)),0)</f>
        <v>-27.911937202481869</v>
      </c>
      <c r="AF43" s="861">
        <f>IF(INDEX(HwyTransitModelGroup,A18,1)=Hwy,0.00000110231131*(C43*(1-M43)*VLOOKUP(K43,EmAuto20,4)-D43*(1-N43)*VLOOKUP(L43,EmAuto20,4)+(O43*(1-M43)-P43*(1-N43))*VLOOKUP(0,EmAuto20,4))+0.00000110231131*(C43*M43*VLOOKUP(K43,EmTruck20,4)-D43*N43*VLOOKUP(L43,EmTruck20,4)+(O43*M43-P43*N43)*VLOOKUP(0,EmTruck20,4)),0)</f>
        <v>-6.8351786768371886E-3</v>
      </c>
      <c r="AG43" s="863">
        <f>IF(INDEX(HwyTransitModelGroup,A18,1)=Hwy,0.00000110231131*(C43*(1-M43)*VLOOKUP(K43,EmAuto20,5)-D43*(1-N43)*VLOOKUP(L43,EmAuto20,5)+(O43*(1-M43)-P43*(1-N43))*VLOOKUP(0,EmAuto20,5))+0.00000110231131*(C43*M43*VLOOKUP(K43,EmTruck20,5)-D43*N43*VLOOKUP(L43,EmTruck20,5)+(O43*M43-P43*N43)*VLOOKUP(0,EmTruck20,5)),0)</f>
        <v>-1.6431198773801962E-4</v>
      </c>
      <c r="AH43" s="861">
        <f>IF(INDEX(HwyTransitModelGroup,A18,1)=Hwy,0.00000110231131*(C43*(1-M43)*VLOOKUP(K43,EmAuto20,6)-D43*(1-N43)*VLOOKUP(L43,EmAuto20,6)+(O43*(1-M43)-P43*(1-N43))*VLOOKUP(0,EmAuto20,6))+0.00000110231131*(C43*M43*VLOOKUP(K43,EmTruck20,6)-D43*N43*VLOOKUP(L43,EmTruck20,6)+(O43*M43-P43*N43)*VLOOKUP(0,EmTruck20,6)),0)</f>
        <v>-2.512297989149109E-4</v>
      </c>
      <c r="AI43" s="863">
        <f>IF(INDEX(HwyTransitModelGroup,A18,1)=Hwy,0.00000110231131*(C43*(1-M43)*VLOOKUP(K43,EmAuto20,7)-D43*(1-N43)*VLOOKUP(L43,EmAuto20,7)+(O43*(1-M43)-P43*(1-N43))*VLOOKUP(0,EmAuto20,7))+0.00000110231131*(C43*M43*VLOOKUP(K43,EmTruck20,7)-D43*N43*VLOOKUP(L43,EmTruck20,7)+(O43*M43-P43*N43)*VLOOKUP(0,EmTruck20,7)),0)</f>
        <v>-3.8056460662078985E-4</v>
      </c>
      <c r="AJ43" s="861">
        <f>IF(INDEX(HwyTransitModelGroup,A18,1)=Hwy,0.00000110231131*(C43*(1-M43)*VLOOKUP(K43,EmAuto20,8)-D43*(1-N43)*VLOOKUP(L43,EmAuto20,8)+(O43*(1-M43)-P43*(1-N43))*VLOOKUP(0,EmAuto20,8))+0.00000110231131*(C43*M43*VLOOKUP(K43,EmTruck20,8)-D43*N43*VLOOKUP(L43,EmTruck20,8)+(O43*M43-P43*N43)*VLOOKUP(0,EmTruck20,8)),0)</f>
        <v>-1.603452014393635E-4</v>
      </c>
      <c r="AK43" s="401">
        <f>IF(INDEX(HwyTransitModelGroup,A18,1)=PARAMETERS!$J$9,0.00000110231131*(C43*VLOOKUP(K43,EmBus20,2)-D43*VLOOKUP(L43,EmBus20,2)+(O43-P43)*VLOOKUP(0,EmBus20,2)),0)</f>
        <v>0</v>
      </c>
      <c r="AL43" s="863">
        <f>IF(INDEX(HwyTransitModelGroup,A18,1)=PARAMETERS!$J$9,0.00000110231131*(C43*VLOOKUP(K43,EmBus20,3)-D43*VLOOKUP(L43,EmBus20,3)+(O43-P43)*VLOOKUP(0,EmBus20,3)),0)</f>
        <v>0</v>
      </c>
      <c r="AM43" s="861">
        <f>IF(INDEX(HwyTransitModelGroup,A18,1)=PARAMETERS!$J$9,0.00000110231131*(C43*VLOOKUP(K43,EmBus20,4)-D43*VLOOKUP(L43,EmBus20,4)+(O43-P43)*VLOOKUP(0,EmBus20,4)),0)</f>
        <v>0</v>
      </c>
      <c r="AN43" s="863">
        <f>IF(INDEX(HwyTransitModelGroup,A18,1)=PARAMETERS!$J$9,0.00000110231131*(C43*VLOOKUP(K43,EmBus20,5)-D43*VLOOKUP(L43,EmBus20,5)+(O43-P43)*VLOOKUP(0,EmBus20,5)),0)</f>
        <v>0</v>
      </c>
      <c r="AO43" s="861">
        <f>IF(INDEX(HwyTransitModelGroup,A18,1)=PARAMETERS!$J$9,0.00000110231131*(C43*VLOOKUP(K43,EmBus20,6)-D43*VLOOKUP(L43,EmBus20,6)+(O43-P43)*VLOOKUP(0,EmBus20,6)),0)</f>
        <v>0</v>
      </c>
      <c r="AP43" s="863">
        <f>IF(INDEX(HwyTransitModelGroup,A18,1)=PARAMETERS!$J$9,0.00000110231131*(C43*VLOOKUP(K43,EmBus20,7)-D43*VLOOKUP(L43,EmBus20,7)+(O43-P43)*VLOOKUP(0,EmBus20,7)),0)</f>
        <v>0</v>
      </c>
      <c r="AQ43" s="861">
        <f>IF(INDEX(HwyTransitModelGroup,A18,1)=PARAMETERS!$J$9,0.00000110231131*(C43*VLOOKUP(K43,EmBus20,8)-D43*VLOOKUP(L43,EmBus20,8)+(O43-P43)*VLOOKUP(0,EmBus20,8)),0)</f>
        <v>0</v>
      </c>
      <c r="AR43" s="401">
        <f>IF(INDEX(HwyTransitModelGroup,A18,1)=PARAMETERS!$J$10,0.00000110231131*((C43-D43)*PARAMETERS!$CQ$29),0)</f>
        <v>0</v>
      </c>
      <c r="AS43" s="863">
        <f>IF(INDEX(HwyTransitModelGroup,A18,1)=PARAMETERS!$J$10,0.00000110231131*((C43-D43)*PARAMETERS!$CR$29),0)</f>
        <v>0</v>
      </c>
      <c r="AT43" s="861">
        <f>IF(INDEX(HwyTransitModelGroup,A18,1)=PARAMETERS!$J$10,0.00000110231131*((C43-D43)*PARAMETERS!$CS$29),0)</f>
        <v>0</v>
      </c>
      <c r="AU43" s="863">
        <f>IF(INDEX(HwyTransitModelGroup,A18,1)=PARAMETERS!$J$10,0.00000110231131*((C43-D43)*PARAMETERS!$CT$29),0)</f>
        <v>0</v>
      </c>
      <c r="AV43" s="861">
        <f>IF(INDEX(HwyTransitModelGroup,A18,1)=PARAMETERS!$J$10,0.00000110231131*((C43-D43)*PARAMETERS!$CU$29),0)</f>
        <v>0</v>
      </c>
      <c r="AW43" s="863">
        <f>IF(INDEX(HwyTransitModelGroup,A18,1)=PARAMETERS!$J$10,0.00000110231131*((C43-D43)*PARAMETERS!$CV$29),0)</f>
        <v>0</v>
      </c>
      <c r="AX43" s="861">
        <f>IF(INDEX(HwyTransitModelGroup,A18,1)=PARAMETERS!$J$10,0.00000110231131*((C43-D43)*PARAMETERS!$CW$29),0)</f>
        <v>0</v>
      </c>
      <c r="AY43" s="401">
        <f>IF(INDEX(HwyTransitModelGroup,A18,1)=PARAMETERS!$J$11,0.00000110231131*((C43-D43)*PARAMETERS!$CQ$37),0)</f>
        <v>0</v>
      </c>
      <c r="AZ43" s="863">
        <f>IF(INDEX(HwyTransitModelGroup,A18,1)=PARAMETERS!$J$11,0.00000110231131*((C43-D43)*PARAMETERS!$CR$37),0)</f>
        <v>0</v>
      </c>
      <c r="BA43" s="861">
        <f>IF(INDEX(HwyTransitModelGroup,A18,1)=PARAMETERS!$J$11,0.00000110231131*((C43-D43)*PARAMETERS!$CS$37),0)</f>
        <v>0</v>
      </c>
      <c r="BB43" s="863">
        <f>IF(INDEX(HwyTransitModelGroup,A18,1)=PARAMETERS!$J$11,0.00000110231131*((C43-D43)*PARAMETERS!$CT$37),0)</f>
        <v>0</v>
      </c>
      <c r="BC43" s="861">
        <f>IF(INDEX(HwyTransitModelGroup,A18,1)=PARAMETERS!$J$11,0.00000110231131*((C43-D43)*PARAMETERS!$CU$37),0)</f>
        <v>0</v>
      </c>
      <c r="BD43" s="863">
        <f>IF(INDEX(HwyTransitModelGroup,A18,1)=PARAMETERS!$J$11,0.00000110231131*((C43-D43)*PARAMETERS!$CV$37),0)</f>
        <v>0</v>
      </c>
      <c r="BE43" s="865">
        <f>IF(INDEX(HwyTransitModelGroup,A18,1)=PARAMETERS!$J$11,0.00000110231131*((C43-D43)*PARAMETERS!$CW$37),0)</f>
        <v>0</v>
      </c>
      <c r="BF43" s="729">
        <f t="shared" si="6"/>
        <v>-1.0869856519782899</v>
      </c>
      <c r="BG43" s="867">
        <f t="shared" si="7"/>
        <v>-908.58981872435982</v>
      </c>
      <c r="BH43" s="867">
        <f t="shared" si="8"/>
        <v>-47.104243478234885</v>
      </c>
      <c r="BI43" s="867">
        <f t="shared" si="9"/>
        <v>-8.7513150641458086</v>
      </c>
      <c r="BJ43" s="867">
        <f t="shared" si="10"/>
        <v>-6.7648220425709109</v>
      </c>
      <c r="BK43" s="869">
        <f t="shared" si="11"/>
        <v>-0.1927900376992337</v>
      </c>
      <c r="BL43" s="392"/>
      <c r="BN43" s="375">
        <f t="shared" si="3"/>
        <v>2045</v>
      </c>
      <c r="BO43" s="376">
        <f t="shared" ca="1" si="1"/>
        <v>-1139.8074690797307</v>
      </c>
      <c r="BP43" s="376">
        <f t="shared" ca="1" si="1"/>
        <v>-1012.7882809635603</v>
      </c>
      <c r="BQ43" s="376">
        <f t="shared" ca="1" si="1"/>
        <v>147.95801601008236</v>
      </c>
      <c r="BR43" s="376">
        <f t="shared" ca="1" si="1"/>
        <v>-2617.333910702137</v>
      </c>
      <c r="BS43" s="376">
        <f t="shared" ca="1" si="1"/>
        <v>44477.133990064714</v>
      </c>
      <c r="BT43" s="376">
        <f t="shared" ca="1" si="1"/>
        <v>50703.619427748854</v>
      </c>
      <c r="BV43" s="370">
        <f ca="1">IF(Emissions&lt;&gt;"N",SUM($BO43:BU43),0)</f>
        <v>90558.781773078226</v>
      </c>
      <c r="BW43" s="377"/>
      <c r="BX43" s="370">
        <f t="shared" ca="1" si="2"/>
        <v>223201.63700620647</v>
      </c>
      <c r="BZ43" s="401">
        <f ca="1">SUM($BO77:BU77)</f>
        <v>2.3308754942656669</v>
      </c>
      <c r="CA43" s="863">
        <f ca="1">SUM($BO111:BU111)</f>
        <v>2626.094616721276</v>
      </c>
      <c r="CB43" s="861">
        <f ca="1">SUM($BO145:BU145)</f>
        <v>1.2612503566710085</v>
      </c>
      <c r="CC43" s="863">
        <f ca="1">SUM($BO179:BU179)</f>
        <v>3.1373333597005323E-2</v>
      </c>
      <c r="CD43" s="861">
        <f ca="1">SUM($BO213:BU213)</f>
        <v>2.5164884543643934E-2</v>
      </c>
      <c r="CE43" s="863">
        <f ca="1">SUM($BO247:BU247)</f>
        <v>4.6964197710459385E-2</v>
      </c>
      <c r="CF43" s="861">
        <f ca="1">SUM($BO281:BU281)</f>
        <v>3.0047393915754408E-2</v>
      </c>
      <c r="CG43" s="399">
        <f ca="1">SUM($BO315:BU315)</f>
        <v>75.655805416714188</v>
      </c>
      <c r="CH43" s="706">
        <f ca="1">SUM($BO349:BU349)</f>
        <v>80647.099684115674</v>
      </c>
      <c r="CI43" s="706">
        <f ca="1">SUM($BO383:BU383)</f>
        <v>7727.0094873808885</v>
      </c>
      <c r="CJ43" s="706">
        <f ca="1">SUM($BO417:BU417)</f>
        <v>1485.4728534185256</v>
      </c>
      <c r="CK43" s="706">
        <f ca="1">SUM($BO451:BU451)</f>
        <v>602.3933237213771</v>
      </c>
      <c r="CL43" s="400">
        <f ca="1">SUM($BO485:BU485)</f>
        <v>21.150619025051917</v>
      </c>
    </row>
    <row r="44" spans="2:90" x14ac:dyDescent="0.25">
      <c r="B44" s="375">
        <f t="shared" si="12"/>
        <v>2043</v>
      </c>
      <c r="C44" s="401">
        <f>MAX(TREND(C24:C25,B24:B25,B44),0)</f>
        <v>915967.5</v>
      </c>
      <c r="D44" s="402">
        <f>MAX(TREND(D24:D25,B24:B25,B44),0)</f>
        <v>997380.75</v>
      </c>
      <c r="E44" s="401">
        <f>MAX(TREND(E24:E25,B24:B25,B44),0)</f>
        <v>21863.5</v>
      </c>
      <c r="F44" s="402">
        <f>MAX(TREND(F24:F25,B24:B25,B44),0)</f>
        <v>23670.25</v>
      </c>
      <c r="G44" s="401">
        <f>MAX(TREND(G24:G25,B24:B25,B44),0)</f>
        <v>0</v>
      </c>
      <c r="H44" s="402">
        <f>MAX(TREND(H24:H25,B24:B25,B44),0)</f>
        <v>0</v>
      </c>
      <c r="I44" s="401">
        <f>MAX(TREND(I24:I25,B24:B25,B44),0)</f>
        <v>0</v>
      </c>
      <c r="J44" s="402">
        <f>MAX(TREND(J24:J25,B24:B25,B44),0)</f>
        <v>0</v>
      </c>
      <c r="K44" s="435">
        <f>IFERROR(IF(INDEX(HwyTransitModelGroup,A18,1)=Hwy,MAX(5,ROUND(C44/E44,1)),MAX(5,ROUND(G44/I44,1))),55)</f>
        <v>41.9</v>
      </c>
      <c r="L44" s="436">
        <f>IFERROR(IF(INDEX(HwyTransitModelGroup,A18,1)=Hwy,MAX(5,ROUND(D44/F44,1)),MAX(5,ROUND(H44/J44,1))),55)</f>
        <v>42.1</v>
      </c>
      <c r="M44" s="405">
        <f>MIN(MAX(TREND(M24:M25,B24:B25,B44),0),1)</f>
        <v>0.24</v>
      </c>
      <c r="N44" s="406">
        <f>MIN(MAX(TREND(N24:N25,B24:B25,B44),0),1)</f>
        <v>0.24</v>
      </c>
      <c r="O44" s="401">
        <f>MAX(TREND(O24:O25,B24:B25,B44),0)</f>
        <v>0</v>
      </c>
      <c r="P44" s="402">
        <f>MAX(TREND(P24:P25,B24:B25,B44),0)</f>
        <v>0</v>
      </c>
      <c r="Q44" s="729">
        <f>IF(INDEX(HwyTransitModelGroup,A18,1)=Hwy,C44*(1-M44)*0.00000110231131*(VLOOKUP(K44,EmAuto20,2)*VLOOKUP(ProjLoc,EmCost,2)+VLOOKUP(K44,EmAuto20,3)*VLOOKUP(ProjLoc,EmCost,3)*(1+CO2Uprater)^($B44-YearCurrent)+VLOOKUP(K44,EmAuto20,4)*VLOOKUP(ProjLoc,EmCost,4)+VLOOKUP(K44,EmAuto20,5)*VLOOKUP(ProjLoc,EmCost,5)+VLOOKUP(K44,EmAuto20,6)*VLOOKUP(ProjLoc,EmCost,6)+VLOOKUP(K44,EmAuto20,7)*VLOOKUP(ProjLoc,EmCost,7))+C44*M44*0.00000110231131*(VLOOKUP(K44,EmTruck20,2)*VLOOKUP(ProjLoc,EmCost,2)+VLOOKUP(K44,EmTruck20,3)*VLOOKUP(ProjLoc,EmCost,3)*(1+CO2Uprater)^($B44-YearCurrent)+VLOOKUP(K44,EmTruck20,4)*VLOOKUP(ProjLoc,EmCost,4)+VLOOKUP(K44,EmTruck20,5)*VLOOKUP(ProjLoc,EmCost,5)+VLOOKUP(K44,EmTruck20,6)*VLOOKUP(ProjLoc,EmCost,6)+VLOOKUP(K44,EmTruck20,7)*VLOOKUP(ProjLoc,EmCost,7)),0)</f>
        <v>25169.760979921088</v>
      </c>
      <c r="R44" s="802">
        <f>IF(INDEX(HwyTransitModelGroup,A18,1)=Hwy,D44*(1-N44)*0.00000110231131*(VLOOKUP(L44,EmAuto20,2)*VLOOKUP(ProjLoc,EmCost,2)+VLOOKUP(L44,EmAuto20,3)*VLOOKUP(ProjLoc,EmCost,3)*(1+CO2Uprater)^($B44-YearCurrent)+VLOOKUP(L44,EmAuto20,4)*VLOOKUP(ProjLoc,EmCost,4)+VLOOKUP(L44,EmAuto20,5)*VLOOKUP(ProjLoc,EmCost,5)+VLOOKUP(L44,EmAuto20,6)*VLOOKUP(ProjLoc,EmCost,6)+VLOOKUP(L44,EmAuto20,7)*VLOOKUP(ProjLoc,EmCost,7))+D44*N44*0.00000110231131*(VLOOKUP(L44,EmTruck20,2)*VLOOKUP(ProjLoc,EmCost,2)+VLOOKUP(L44,EmTruck20,3)*VLOOKUP(ProjLoc,EmCost,3)*(1+CO2Uprater)^($B44-YearCurrent)+VLOOKUP(L44,EmTruck20,4)*VLOOKUP(ProjLoc,EmCost,4)+VLOOKUP(L44,EmTruck20,5)*VLOOKUP(ProjLoc,EmCost,5)+VLOOKUP(L44,EmTruck20,6)*VLOOKUP(ProjLoc,EmCost,6)+VLOOKUP(L44,EmTruck20,7)*VLOOKUP(ProjLoc,EmCost,7)),0)</f>
        <v>27519.264107819254</v>
      </c>
      <c r="S44" s="729">
        <f>IF(INDEX(HwyTransitModelGroup,A18,1)=Hwy,O44*(1-M44)*0.00000110231131*(VLOOKUP(0,EmAuto20,2)*VLOOKUP(ProjLoc,EmCost,2)+VLOOKUP(0,EmAuto20,3)*VLOOKUP(ProjLoc,EmCost,3)*(1+CO2Uprater)^($B44-YearCurrent)+VLOOKUP(0,EmAuto20,4)*VLOOKUP(ProjLoc,EmCost,4)+VLOOKUP(0,EmAuto20,5)*VLOOKUP(ProjLoc,EmCost,5)+VLOOKUP(0,EmAuto20,6)*VLOOKUP(ProjLoc,EmCost,6)+VLOOKUP(0,EmAuto20,7)*VLOOKUP(ProjLoc,EmCost,7))+O44*M44*0.00000110231131*(VLOOKUP(0,EmTruck20,2)*VLOOKUP(ProjLoc,EmCost,2)+VLOOKUP(0,EmTruck20,3)*VLOOKUP(ProjLoc,EmCost,3)*(1+CO2Uprater)^($B44-YearCurrent)+VLOOKUP(0,EmTruck20,4)*VLOOKUP(ProjLoc,EmCost,4)+VLOOKUP(0,EmTruck20,5)*VLOOKUP(ProjLoc,EmCost,5)+VLOOKUP(0,EmTruck20,6)*VLOOKUP(ProjLoc,EmCost,6)+VLOOKUP(0,EmTruck20,7)*VLOOKUP(ProjLoc,EmCost,7)),0)</f>
        <v>0</v>
      </c>
      <c r="T44" s="802">
        <f>IF(INDEX(HwyTransitModelGroup,A18,1)=Hwy,P44*(1-N44)*0.00000110231131*(VLOOKUP(0,EmAuto20,2)*VLOOKUP(ProjLoc,EmCost,2)+VLOOKUP(0,EmAuto20,3)*VLOOKUP(ProjLoc,EmCost,3)*(1+CO2Uprater)^($B44-YearCurrent)+VLOOKUP(0,EmAuto20,4)*VLOOKUP(ProjLoc,EmCost,4)+VLOOKUP(0,EmAuto20,5)*VLOOKUP(ProjLoc,EmCost,5)+VLOOKUP(0,EmAuto20,6)*VLOOKUP(ProjLoc,EmCost,6)+VLOOKUP(0,EmAuto20,7)*VLOOKUP(ProjLoc,EmCost,7))+P44*N44*0.00000110231131*(VLOOKUP(0,EmTruck20,2)*VLOOKUP(ProjLoc,EmCost,2)+VLOOKUP(0,EmTruck20,3)*VLOOKUP(ProjLoc,EmCost,3)*(1+CO2Uprater)^($B44-YearCurrent)+VLOOKUP(0,EmTruck20,4)*VLOOKUP(ProjLoc,EmCost,4)+VLOOKUP(0,EmTruck20,5)*VLOOKUP(ProjLoc,EmCost,5)+VLOOKUP(0,EmTruck20,6)*VLOOKUP(ProjLoc,EmCost,6)+VLOOKUP(0,EmTruck20,7)*VLOOKUP(ProjLoc,EmCost,7)),0)</f>
        <v>0</v>
      </c>
      <c r="U44" s="729">
        <f>IF(INDEX(HwyTransitModelGroup,A18,1)=PARAMETERS!$J$9,C44*0.00000110231131*(VLOOKUP(K44,EmBus20,2)*VLOOKUP(ProjLoc,EmCost,2)+VLOOKUP(K44,EmBus20,3)*VLOOKUP(ProjLoc,EmCost,3)*(1+CO2Uprater)^($B44-YearCurrent)+VLOOKUP(K44,EmBus20,4)*VLOOKUP(ProjLoc,EmCost,4)+VLOOKUP(K44,EmBus20,5)*VLOOKUP(ProjLoc,EmCost,5)+VLOOKUP(K44,EmBus20,6)*VLOOKUP(ProjLoc,EmCost,6)+VLOOKUP(K44,EmBus20,7)*VLOOKUP(ProjLoc,EmCost,7)),0)</f>
        <v>0</v>
      </c>
      <c r="V44" s="802">
        <f>IF(INDEX(HwyTransitModelGroup,A18,1)=PARAMETERS!$J$9,D44*0.00000110231131*(VLOOKUP(L44,EmBus20,2)*VLOOKUP(ProjLoc,EmCost,2)+VLOOKUP(L44,EmBus20,3)*VLOOKUP(ProjLoc,EmCost,3)*(1+CO2Uprater)^($B44-YearCurrent)+VLOOKUP(L44,EmBus20,4)*VLOOKUP(ProjLoc,EmCost,4)+VLOOKUP(L44,EmBus20,5)*VLOOKUP(ProjLoc,EmCost,5)+VLOOKUP(L44,EmBus20,6)*VLOOKUP(ProjLoc,EmCost,6)+VLOOKUP(L44,EmBus20,7)*VLOOKUP(ProjLoc,EmCost,7)),0)</f>
        <v>0</v>
      </c>
      <c r="W44" s="808">
        <f>IF(INDEX(HwyTransitModelGroup,A18,1)=PARAMETERS!$J$10,C44*0.00000110231131*(PARAMETERS!$CQ$29*VLOOKUP(ProjLoc,EmCost,2)+PARAMETERS!$CR$29*VLOOKUP(ProjLoc,EmCost,3)*(1+CO2Uprater)^($B44-YearCurrent)+PARAMETERS!$CS$29*VLOOKUP(ProjLoc,EmCost,4)+PARAMETERS!$CT$29*VLOOKUP(ProjLoc,EmCost,5)+PARAMETERS!$CU$29*VLOOKUP(ProjLoc,EmCost,6)+PARAMETERS!$CV$29*VLOOKUP(ProjLoc,EmCost,7)),0)</f>
        <v>0</v>
      </c>
      <c r="X44" s="844">
        <f>IF(INDEX(HwyTransitModelGroup,A18,1)=PARAMETERS!$J$10,D44*0.00000110231131*(PARAMETERS!$CQ$29*VLOOKUP(ProjLoc,EmCost,2)+PARAMETERS!$CR$29*VLOOKUP(ProjLoc,EmCost,3)*(1+CO2Uprater)^($B44-YearCurrent)+PARAMETERS!$CS$29*VLOOKUP(ProjLoc,EmCost,4)+PARAMETERS!$CT$29*VLOOKUP(ProjLoc,EmCost,5)+PARAMETERS!$CU$29*VLOOKUP(ProjLoc,EmCost,6)+PARAMETERS!$CV$29*VLOOKUP(ProjLoc,EmCost,7)),0)</f>
        <v>0</v>
      </c>
      <c r="Y44" s="808">
        <f>IF(INDEX(HwyTransitModelGroup,A18,1)=PARAMETERS!$J$11,C44*0.00000110231131*(PARAMETERS!$CQ$37*VLOOKUP(ProjLoc,EmCost,2)+PARAMETERS!$CR$37*VLOOKUP(ProjLoc,EmCost,3)*(1+CO2Uprater)^($B44-YearCurrent)+PARAMETERS!$CS$37*VLOOKUP(ProjLoc,EmCost,4)+PARAMETERS!$CT$37*VLOOKUP(ProjLoc,EmCost,5)+PARAMETERS!$CU$37*VLOOKUP(ProjLoc,EmCost,6)+PARAMETERS!$CV$37*VLOOKUP(ProjLoc,EmCost,7)),0)</f>
        <v>0</v>
      </c>
      <c r="Z44" s="844">
        <f>IF(INDEX(HwyTransitModelGroup,A18,1)=PARAMETERS!$J$11,D44*0.00000110231131*(PARAMETERS!$CQ$37*VLOOKUP(ProjLoc,EmCost,2)+PARAMETERS!$CR$37*VLOOKUP(ProjLoc,EmCost,3)*(1+CO2Uprater)^($B44-YearCurrent)+PARAMETERS!$CS$37*VLOOKUP(ProjLoc,EmCost,4)+PARAMETERS!$CT$37*VLOOKUP(ProjLoc,EmCost,5)+PARAMETERS!$CU$37*VLOOKUP(ProjLoc,EmCost,6)+PARAMETERS!$CV$37*VLOOKUP(ProjLoc,EmCost,7)),0)</f>
        <v>0</v>
      </c>
      <c r="AA44" s="369">
        <f t="shared" si="4"/>
        <v>-2349.503127898166</v>
      </c>
      <c r="AB44" s="370">
        <f t="shared" si="5"/>
        <v>-1031.0409207998341</v>
      </c>
      <c r="AC44" s="371"/>
      <c r="AD44" s="401">
        <f>IF(INDEX(HwyTransitModelGroup,A18,1)=Hwy,0.00000110231131*(C44*(1-M44)*VLOOKUP(K44,EmAuto20,2)-D44*(1-N44)*VLOOKUP(L44,EmAuto20,2)+(O44*(1-M44)-P44*(1-N44))*VLOOKUP(0,EmAuto20,2))+0.00000110231131*(C44*M44*VLOOKUP(K44,EmTruck20,2)-D44*N44*VLOOKUP(L44,EmTruck20,2)+(O44*M44-P44*N44)*VLOOKUP(0,EmTruck20,2)),0)</f>
        <v>-3.282085259065462E-2</v>
      </c>
      <c r="AE44" s="863">
        <f>IF(INDEX(HwyTransitModelGroup,A18,1)=Hwy,0.00000110231131*(C44*(1-M44)*VLOOKUP(K44,EmAuto20,3)-D44*(1-N44)*VLOOKUP(L44,EmAuto20,3)+(O44*(1-M44)-P44*(1-N44))*VLOOKUP(0,EmAuto20,3))+0.00000110231131*(C44*M44*VLOOKUP(K44,EmTruck20,3)-D44*N44*VLOOKUP(L44,EmTruck20,3)+(O44*M44-P44*N44)*VLOOKUP(0,EmTruck20,3)),0)</f>
        <v>-30.188927868447813</v>
      </c>
      <c r="AF44" s="861">
        <f>IF(INDEX(HwyTransitModelGroup,A18,1)=Hwy,0.00000110231131*(C44*(1-M44)*VLOOKUP(K44,EmAuto20,4)-D44*(1-N44)*VLOOKUP(L44,EmAuto20,4)+(O44*(1-M44)-P44*(1-N44))*VLOOKUP(0,EmAuto20,4))+0.00000110231131*(C44*M44*VLOOKUP(K44,EmTruck20,4)-D44*N44*VLOOKUP(L44,EmTruck20,4)+(O44*M44-P44*N44)*VLOOKUP(0,EmTruck20,4)),0)</f>
        <v>-7.5235714847632874E-3</v>
      </c>
      <c r="AG44" s="863">
        <f>IF(INDEX(HwyTransitModelGroup,A18,1)=Hwy,0.00000110231131*(C44*(1-M44)*VLOOKUP(K44,EmAuto20,5)-D44*(1-N44)*VLOOKUP(L44,EmAuto20,5)+(O44*(1-M44)-P44*(1-N44))*VLOOKUP(0,EmAuto20,5))+0.00000110231131*(C44*M44*VLOOKUP(K44,EmTruck20,5)-D44*N44*VLOOKUP(L44,EmTruck20,5)+(O44*M44-P44*N44)*VLOOKUP(0,EmTruck20,5)),0)</f>
        <v>-1.7482249080490777E-4</v>
      </c>
      <c r="AH44" s="861">
        <f>IF(INDEX(HwyTransitModelGroup,A18,1)=Hwy,0.00000110231131*(C44*(1-M44)*VLOOKUP(K44,EmAuto20,6)-D44*(1-N44)*VLOOKUP(L44,EmAuto20,6)+(O44*(1-M44)-P44*(1-N44))*VLOOKUP(0,EmAuto20,6))+0.00000110231131*(C44*M44*VLOOKUP(K44,EmTruck20,6)-D44*N44*VLOOKUP(L44,EmTruck20,6)+(O44*M44-P44*N44)*VLOOKUP(0,EmTruck20,6)),0)</f>
        <v>-2.7281794862692686E-4</v>
      </c>
      <c r="AI44" s="863">
        <f>IF(INDEX(HwyTransitModelGroup,A18,1)=Hwy,0.00000110231131*(C44*(1-M44)*VLOOKUP(K44,EmAuto20,7)-D44*(1-N44)*VLOOKUP(L44,EmAuto20,7)+(O44*(1-M44)-P44*(1-N44))*VLOOKUP(0,EmAuto20,7))+0.00000110231131*(C44*M44*VLOOKUP(K44,EmTruck20,7)-D44*N44*VLOOKUP(L44,EmTruck20,7)+(O44*M44-P44*N44)*VLOOKUP(0,EmTruck20,7)),0)</f>
        <v>-4.2258923764360506E-4</v>
      </c>
      <c r="AJ44" s="861">
        <f>IF(INDEX(HwyTransitModelGroup,A18,1)=Hwy,0.00000110231131*(C44*(1-M44)*VLOOKUP(K44,EmAuto20,8)-D44*(1-N44)*VLOOKUP(L44,EmAuto20,8)+(O44*(1-M44)-P44*(1-N44))*VLOOKUP(0,EmAuto20,8))+0.00000110231131*(C44*M44*VLOOKUP(K44,EmTruck20,8)-D44*N44*VLOOKUP(L44,EmTruck20,8)+(O44*M44-P44*N44)*VLOOKUP(0,EmTruck20,8)),0)</f>
        <v>-1.7051483898448288E-4</v>
      </c>
      <c r="AK44" s="401">
        <f>IF(INDEX(HwyTransitModelGroup,A18,1)=PARAMETERS!$J$9,0.00000110231131*(C44*VLOOKUP(K44,EmBus20,2)-D44*VLOOKUP(L44,EmBus20,2)+(O44-P44)*VLOOKUP(0,EmBus20,2)),0)</f>
        <v>0</v>
      </c>
      <c r="AL44" s="863">
        <f>IF(INDEX(HwyTransitModelGroup,A18,1)=PARAMETERS!$J$9,0.00000110231131*(C44*VLOOKUP(K44,EmBus20,3)-D44*VLOOKUP(L44,EmBus20,3)+(O44-P44)*VLOOKUP(0,EmBus20,3)),0)</f>
        <v>0</v>
      </c>
      <c r="AM44" s="861">
        <f>IF(INDEX(HwyTransitModelGroup,A18,1)=PARAMETERS!$J$9,0.00000110231131*(C44*VLOOKUP(K44,EmBus20,4)-D44*VLOOKUP(L44,EmBus20,4)+(O44-P44)*VLOOKUP(0,EmBus20,4)),0)</f>
        <v>0</v>
      </c>
      <c r="AN44" s="863">
        <f>IF(INDEX(HwyTransitModelGroup,A18,1)=PARAMETERS!$J$9,0.00000110231131*(C44*VLOOKUP(K44,EmBus20,5)-D44*VLOOKUP(L44,EmBus20,5)+(O44-P44)*VLOOKUP(0,EmBus20,5)),0)</f>
        <v>0</v>
      </c>
      <c r="AO44" s="861">
        <f>IF(INDEX(HwyTransitModelGroup,A18,1)=PARAMETERS!$J$9,0.00000110231131*(C44*VLOOKUP(K44,EmBus20,6)-D44*VLOOKUP(L44,EmBus20,6)+(O44-P44)*VLOOKUP(0,EmBus20,6)),0)</f>
        <v>0</v>
      </c>
      <c r="AP44" s="863">
        <f>IF(INDEX(HwyTransitModelGroup,A18,1)=PARAMETERS!$J$9,0.00000110231131*(C44*VLOOKUP(K44,EmBus20,7)-D44*VLOOKUP(L44,EmBus20,7)+(O44-P44)*VLOOKUP(0,EmBus20,7)),0)</f>
        <v>0</v>
      </c>
      <c r="AQ44" s="861">
        <f>IF(INDEX(HwyTransitModelGroup,A18,1)=PARAMETERS!$J$9,0.00000110231131*(C44*VLOOKUP(K44,EmBus20,8)-D44*VLOOKUP(L44,EmBus20,8)+(O44-P44)*VLOOKUP(0,EmBus20,8)),0)</f>
        <v>0</v>
      </c>
      <c r="AR44" s="401">
        <f>IF(INDEX(HwyTransitModelGroup,A18,1)=PARAMETERS!$J$10,0.00000110231131*((C44-D44)*PARAMETERS!$CQ$29),0)</f>
        <v>0</v>
      </c>
      <c r="AS44" s="863">
        <f>IF(INDEX(HwyTransitModelGroup,A18,1)=PARAMETERS!$J$10,0.00000110231131*((C44-D44)*PARAMETERS!$CR$29),0)</f>
        <v>0</v>
      </c>
      <c r="AT44" s="861">
        <f>IF(INDEX(HwyTransitModelGroup,A18,1)=PARAMETERS!$J$10,0.00000110231131*((C44-D44)*PARAMETERS!$CS$29),0)</f>
        <v>0</v>
      </c>
      <c r="AU44" s="863">
        <f>IF(INDEX(HwyTransitModelGroup,A18,1)=PARAMETERS!$J$10,0.00000110231131*((C44-D44)*PARAMETERS!$CT$29),0)</f>
        <v>0</v>
      </c>
      <c r="AV44" s="861">
        <f>IF(INDEX(HwyTransitModelGroup,A18,1)=PARAMETERS!$J$10,0.00000110231131*((C44-D44)*PARAMETERS!$CU$29),0)</f>
        <v>0</v>
      </c>
      <c r="AW44" s="863">
        <f>IF(INDEX(HwyTransitModelGroup,A18,1)=PARAMETERS!$J$10,0.00000110231131*((C44-D44)*PARAMETERS!$CV$29),0)</f>
        <v>0</v>
      </c>
      <c r="AX44" s="861">
        <f>IF(INDEX(HwyTransitModelGroup,A18,1)=PARAMETERS!$J$10,0.00000110231131*((C44-D44)*PARAMETERS!$CW$29),0)</f>
        <v>0</v>
      </c>
      <c r="AY44" s="401">
        <f>IF(INDEX(HwyTransitModelGroup,A18,1)=PARAMETERS!$J$11,0.00000110231131*((C44-D44)*PARAMETERS!$CQ$37),0)</f>
        <v>0</v>
      </c>
      <c r="AZ44" s="863">
        <f>IF(INDEX(HwyTransitModelGroup,A18,1)=PARAMETERS!$J$11,0.00000110231131*((C44-D44)*PARAMETERS!$CR$37),0)</f>
        <v>0</v>
      </c>
      <c r="BA44" s="861">
        <f>IF(INDEX(HwyTransitModelGroup,A18,1)=PARAMETERS!$J$11,0.00000110231131*((C44-D44)*PARAMETERS!$CS$37),0)</f>
        <v>0</v>
      </c>
      <c r="BB44" s="863">
        <f>IF(INDEX(HwyTransitModelGroup,A18,1)=PARAMETERS!$J$11,0.00000110231131*((C44-D44)*PARAMETERS!$CT$37),0)</f>
        <v>0</v>
      </c>
      <c r="BC44" s="861">
        <f>IF(INDEX(HwyTransitModelGroup,A18,1)=PARAMETERS!$J$11,0.00000110231131*((C44-D44)*PARAMETERS!$CU$37),0)</f>
        <v>0</v>
      </c>
      <c r="BD44" s="863">
        <f>IF(INDEX(HwyTransitModelGroup,A18,1)=PARAMETERS!$J$11,0.00000110231131*((C44-D44)*PARAMETERS!$CV$37),0)</f>
        <v>0</v>
      </c>
      <c r="BE44" s="865">
        <f>IF(INDEX(HwyTransitModelGroup,A18,1)=PARAMETERS!$J$11,0.00000110231131*((C44-D44)*PARAMETERS!$CW$37),0)</f>
        <v>0</v>
      </c>
      <c r="BF44" s="729">
        <f t="shared" si="6"/>
        <v>-1.1522314373516633</v>
      </c>
      <c r="BG44" s="867">
        <f t="shared" si="7"/>
        <v>-963.81217671329762</v>
      </c>
      <c r="BH44" s="867">
        <f t="shared" si="8"/>
        <v>-49.854099229153242</v>
      </c>
      <c r="BI44" s="867">
        <f t="shared" si="9"/>
        <v>-8.9529886593861967</v>
      </c>
      <c r="BJ44" s="867">
        <f t="shared" si="10"/>
        <v>-7.0635793039633672</v>
      </c>
      <c r="BK44" s="869">
        <f t="shared" si="11"/>
        <v>-0.20584545668165732</v>
      </c>
      <c r="BL44" s="392"/>
      <c r="BN44" s="385"/>
      <c r="BO44" s="389"/>
      <c r="BP44" s="389"/>
      <c r="BQ44" s="389"/>
      <c r="BR44" s="389"/>
      <c r="BS44" s="389"/>
      <c r="BT44" s="389"/>
      <c r="BV44" s="389"/>
      <c r="BW44" s="390"/>
      <c r="BX44" s="389"/>
      <c r="BZ44" s="389"/>
      <c r="CA44" s="389"/>
      <c r="CB44" s="389"/>
      <c r="CC44" s="389"/>
      <c r="CD44" s="389"/>
      <c r="CE44" s="389"/>
      <c r="CF44" s="389"/>
      <c r="CG44" s="389"/>
      <c r="CH44" s="389"/>
      <c r="CI44" s="389"/>
      <c r="CJ44" s="389"/>
      <c r="CK44" s="389"/>
      <c r="CL44" s="389"/>
    </row>
    <row r="45" spans="2:90" x14ac:dyDescent="0.25">
      <c r="B45" s="375">
        <f t="shared" si="12"/>
        <v>2044</v>
      </c>
      <c r="C45" s="401">
        <f>MAX(TREND(C24:C25,B24:B25,B45),0)</f>
        <v>925640</v>
      </c>
      <c r="D45" s="402">
        <f>MAX(TREND(D24:D25,B24:B25,B45),0)</f>
        <v>1013495.5</v>
      </c>
      <c r="E45" s="401">
        <f>MAX(TREND(E24:E25,B24:B25,B45),0)</f>
        <v>22119</v>
      </c>
      <c r="F45" s="402">
        <f>MAX(TREND(F24:F25,B24:B25,B45),0)</f>
        <v>24053.5</v>
      </c>
      <c r="G45" s="401">
        <f>MAX(TREND(G24:G25,B24:B25,B45),0)</f>
        <v>0</v>
      </c>
      <c r="H45" s="402">
        <f>MAX(TREND(H24:H25,B24:B25,B45),0)</f>
        <v>0</v>
      </c>
      <c r="I45" s="401">
        <f>MAX(TREND(I24:I25,B24:B25,B45),0)</f>
        <v>0</v>
      </c>
      <c r="J45" s="402">
        <f>MAX(TREND(J24:J25,B24:B25,B45),0)</f>
        <v>0</v>
      </c>
      <c r="K45" s="435">
        <f>IFERROR(IF(INDEX(HwyTransitModelGroup,A18,1)=Hwy,MAX(5,ROUND(C45/E45,1)),MAX(5,ROUND(G45/I45,1))),55)</f>
        <v>41.8</v>
      </c>
      <c r="L45" s="436">
        <f>IFERROR(IF(INDEX(HwyTransitModelGroup,A18,1)=Hwy,MAX(5,ROUND(D45/F45,1)),MAX(5,ROUND(H45/J45,1))),55)</f>
        <v>42.1</v>
      </c>
      <c r="M45" s="405">
        <f>MIN(MAX(TREND(M24:M25,B24:B25,B45),0),1)</f>
        <v>0.24</v>
      </c>
      <c r="N45" s="406">
        <f>MIN(MAX(TREND(N24:N25,B24:B25,B45),0),1)</f>
        <v>0.24</v>
      </c>
      <c r="O45" s="401">
        <f>MAX(TREND(O24:O25,B24:B25,B45),0)</f>
        <v>0</v>
      </c>
      <c r="P45" s="402">
        <f>MAX(TREND(P24:P25,B24:B25,B45),0)</f>
        <v>0</v>
      </c>
      <c r="Q45" s="729">
        <f>IF(INDEX(HwyTransitModelGroup,A18,1)=Hwy,C45*(1-M45)*0.00000110231131*(VLOOKUP(K45,EmAuto20,2)*VLOOKUP(ProjLoc,EmCost,2)+VLOOKUP(K45,EmAuto20,3)*VLOOKUP(ProjLoc,EmCost,3)*(1+CO2Uprater)^($B45-YearCurrent)+VLOOKUP(K45,EmAuto20,4)*VLOOKUP(ProjLoc,EmCost,4)+VLOOKUP(K45,EmAuto20,5)*VLOOKUP(ProjLoc,EmCost,5)+VLOOKUP(K45,EmAuto20,6)*VLOOKUP(ProjLoc,EmCost,6)+VLOOKUP(K45,EmAuto20,7)*VLOOKUP(ProjLoc,EmCost,7))+C45*M45*0.00000110231131*(VLOOKUP(K45,EmTruck20,2)*VLOOKUP(ProjLoc,EmCost,2)+VLOOKUP(K45,EmTruck20,3)*VLOOKUP(ProjLoc,EmCost,3)*(1+CO2Uprater)^($B45-YearCurrent)+VLOOKUP(K45,EmTruck20,4)*VLOOKUP(ProjLoc,EmCost,4)+VLOOKUP(K45,EmTruck20,5)*VLOOKUP(ProjLoc,EmCost,5)+VLOOKUP(K45,EmTruck20,6)*VLOOKUP(ProjLoc,EmCost,6)+VLOOKUP(K45,EmTruck20,7)*VLOOKUP(ProjLoc,EmCost,7)),0)</f>
        <v>25905.586875809844</v>
      </c>
      <c r="R45" s="802">
        <f>IF(INDEX(HwyTransitModelGroup,A18,1)=Hwy,D45*(1-N45)*0.00000110231131*(VLOOKUP(L45,EmAuto20,2)*VLOOKUP(ProjLoc,EmCost,2)+VLOOKUP(L45,EmAuto20,3)*VLOOKUP(ProjLoc,EmCost,3)*(1+CO2Uprater)^($B45-YearCurrent)+VLOOKUP(L45,EmAuto20,4)*VLOOKUP(ProjLoc,EmCost,4)+VLOOKUP(L45,EmAuto20,5)*VLOOKUP(ProjLoc,EmCost,5)+VLOOKUP(L45,EmAuto20,6)*VLOOKUP(ProjLoc,EmCost,6)+VLOOKUP(L45,EmAuto20,7)*VLOOKUP(ProjLoc,EmCost,7))+D45*N45*0.00000110231131*(VLOOKUP(L45,EmTruck20,2)*VLOOKUP(ProjLoc,EmCost,2)+VLOOKUP(L45,EmTruck20,3)*VLOOKUP(ProjLoc,EmCost,3)*(1+CO2Uprater)^($B45-YearCurrent)+VLOOKUP(L45,EmTruck20,4)*VLOOKUP(ProjLoc,EmCost,4)+VLOOKUP(L45,EmTruck20,5)*VLOOKUP(ProjLoc,EmCost,5)+VLOOKUP(L45,EmTruck20,6)*VLOOKUP(ProjLoc,EmCost,6)+VLOOKUP(L45,EmTruck20,7)*VLOOKUP(ProjLoc,EmCost,7)),0)</f>
        <v>28481.170397475747</v>
      </c>
      <c r="S45" s="729">
        <f>IF(INDEX(HwyTransitModelGroup,A18,1)=Hwy,O45*(1-M45)*0.00000110231131*(VLOOKUP(0,EmAuto20,2)*VLOOKUP(ProjLoc,EmCost,2)+VLOOKUP(0,EmAuto20,3)*VLOOKUP(ProjLoc,EmCost,3)*(1+CO2Uprater)^($B45-YearCurrent)+VLOOKUP(0,EmAuto20,4)*VLOOKUP(ProjLoc,EmCost,4)+VLOOKUP(0,EmAuto20,5)*VLOOKUP(ProjLoc,EmCost,5)+VLOOKUP(0,EmAuto20,6)*VLOOKUP(ProjLoc,EmCost,6)+VLOOKUP(0,EmAuto20,7)*VLOOKUP(ProjLoc,EmCost,7))+O45*M45*0.00000110231131*(VLOOKUP(0,EmTruck20,2)*VLOOKUP(ProjLoc,EmCost,2)+VLOOKUP(0,EmTruck20,3)*VLOOKUP(ProjLoc,EmCost,3)*(1+CO2Uprater)^($B45-YearCurrent)+VLOOKUP(0,EmTruck20,4)*VLOOKUP(ProjLoc,EmCost,4)+VLOOKUP(0,EmTruck20,5)*VLOOKUP(ProjLoc,EmCost,5)+VLOOKUP(0,EmTruck20,6)*VLOOKUP(ProjLoc,EmCost,6)+VLOOKUP(0,EmTruck20,7)*VLOOKUP(ProjLoc,EmCost,7)),0)</f>
        <v>0</v>
      </c>
      <c r="T45" s="802">
        <f>IF(INDEX(HwyTransitModelGroup,A18,1)=Hwy,P45*(1-N45)*0.00000110231131*(VLOOKUP(0,EmAuto20,2)*VLOOKUP(ProjLoc,EmCost,2)+VLOOKUP(0,EmAuto20,3)*VLOOKUP(ProjLoc,EmCost,3)*(1+CO2Uprater)^($B45-YearCurrent)+VLOOKUP(0,EmAuto20,4)*VLOOKUP(ProjLoc,EmCost,4)+VLOOKUP(0,EmAuto20,5)*VLOOKUP(ProjLoc,EmCost,5)+VLOOKUP(0,EmAuto20,6)*VLOOKUP(ProjLoc,EmCost,6)+VLOOKUP(0,EmAuto20,7)*VLOOKUP(ProjLoc,EmCost,7))+P45*N45*0.00000110231131*(VLOOKUP(0,EmTruck20,2)*VLOOKUP(ProjLoc,EmCost,2)+VLOOKUP(0,EmTruck20,3)*VLOOKUP(ProjLoc,EmCost,3)*(1+CO2Uprater)^($B45-YearCurrent)+VLOOKUP(0,EmTruck20,4)*VLOOKUP(ProjLoc,EmCost,4)+VLOOKUP(0,EmTruck20,5)*VLOOKUP(ProjLoc,EmCost,5)+VLOOKUP(0,EmTruck20,6)*VLOOKUP(ProjLoc,EmCost,6)+VLOOKUP(0,EmTruck20,7)*VLOOKUP(ProjLoc,EmCost,7)),0)</f>
        <v>0</v>
      </c>
      <c r="U45" s="729">
        <f>IF(INDEX(HwyTransitModelGroup,A18,1)=PARAMETERS!$J$9,C45*0.00000110231131*(VLOOKUP(K45,EmBus20,2)*VLOOKUP(ProjLoc,EmCost,2)+VLOOKUP(K45,EmBus20,3)*VLOOKUP(ProjLoc,EmCost,3)*(1+CO2Uprater)^($B45-YearCurrent)+VLOOKUP(K45,EmBus20,4)*VLOOKUP(ProjLoc,EmCost,4)+VLOOKUP(K45,EmBus20,5)*VLOOKUP(ProjLoc,EmCost,5)+VLOOKUP(K45,EmBus20,6)*VLOOKUP(ProjLoc,EmCost,6)+VLOOKUP(K45,EmBus20,7)*VLOOKUP(ProjLoc,EmCost,7)),0)</f>
        <v>0</v>
      </c>
      <c r="V45" s="802">
        <f>IF(INDEX(HwyTransitModelGroup,A18,1)=PARAMETERS!$J$9,D45*0.00000110231131*(VLOOKUP(L45,EmBus20,2)*VLOOKUP(ProjLoc,EmCost,2)+VLOOKUP(L45,EmBus20,3)*VLOOKUP(ProjLoc,EmCost,3)*(1+CO2Uprater)^($B45-YearCurrent)+VLOOKUP(L45,EmBus20,4)*VLOOKUP(ProjLoc,EmCost,4)+VLOOKUP(L45,EmBus20,5)*VLOOKUP(ProjLoc,EmCost,5)+VLOOKUP(L45,EmBus20,6)*VLOOKUP(ProjLoc,EmCost,6)+VLOOKUP(L45,EmBus20,7)*VLOOKUP(ProjLoc,EmCost,7)),0)</f>
        <v>0</v>
      </c>
      <c r="W45" s="808">
        <f>IF(INDEX(HwyTransitModelGroup,A18,1)=PARAMETERS!$J$10,C45*0.00000110231131*(PARAMETERS!$CQ$29*VLOOKUP(ProjLoc,EmCost,2)+PARAMETERS!$CR$29*VLOOKUP(ProjLoc,EmCost,3)*(1+CO2Uprater)^($B45-YearCurrent)+PARAMETERS!$CS$29*VLOOKUP(ProjLoc,EmCost,4)+PARAMETERS!$CT$29*VLOOKUP(ProjLoc,EmCost,5)+PARAMETERS!$CU$29*VLOOKUP(ProjLoc,EmCost,6)+PARAMETERS!$CV$29*VLOOKUP(ProjLoc,EmCost,7)),0)</f>
        <v>0</v>
      </c>
      <c r="X45" s="844">
        <f>IF(INDEX(HwyTransitModelGroup,A18,1)=PARAMETERS!$J$10,D45*0.00000110231131*(PARAMETERS!$CQ$29*VLOOKUP(ProjLoc,EmCost,2)+PARAMETERS!$CR$29*VLOOKUP(ProjLoc,EmCost,3)*(1+CO2Uprater)^($B45-YearCurrent)+PARAMETERS!$CS$29*VLOOKUP(ProjLoc,EmCost,4)+PARAMETERS!$CT$29*VLOOKUP(ProjLoc,EmCost,5)+PARAMETERS!$CU$29*VLOOKUP(ProjLoc,EmCost,6)+PARAMETERS!$CV$29*VLOOKUP(ProjLoc,EmCost,7)),0)</f>
        <v>0</v>
      </c>
      <c r="Y45" s="808">
        <f>IF(INDEX(HwyTransitModelGroup,A18,1)=PARAMETERS!$J$11,C45*0.00000110231131*(PARAMETERS!$CQ$37*VLOOKUP(ProjLoc,EmCost,2)+PARAMETERS!$CR$37*VLOOKUP(ProjLoc,EmCost,3)*(1+CO2Uprater)^($B45-YearCurrent)+PARAMETERS!$CS$37*VLOOKUP(ProjLoc,EmCost,4)+PARAMETERS!$CT$37*VLOOKUP(ProjLoc,EmCost,5)+PARAMETERS!$CU$37*VLOOKUP(ProjLoc,EmCost,6)+PARAMETERS!$CV$37*VLOOKUP(ProjLoc,EmCost,7)),0)</f>
        <v>0</v>
      </c>
      <c r="Z45" s="844">
        <f>IF(INDEX(HwyTransitModelGroup,A18,1)=PARAMETERS!$J$11,D45*0.00000110231131*(PARAMETERS!$CQ$37*VLOOKUP(ProjLoc,EmCost,2)+PARAMETERS!$CR$37*VLOOKUP(ProjLoc,EmCost,3)*(1+CO2Uprater)^($B45-YearCurrent)+PARAMETERS!$CS$37*VLOOKUP(ProjLoc,EmCost,4)+PARAMETERS!$CT$37*VLOOKUP(ProjLoc,EmCost,5)+PARAMETERS!$CU$37*VLOOKUP(ProjLoc,EmCost,6)+PARAMETERS!$CV$37*VLOOKUP(ProjLoc,EmCost,7)),0)</f>
        <v>0</v>
      </c>
      <c r="AA45" s="369">
        <f t="shared" si="4"/>
        <v>-2575.5835216659034</v>
      </c>
      <c r="AB45" s="370">
        <f t="shared" si="5"/>
        <v>-1086.7813407354574</v>
      </c>
      <c r="AC45" s="371"/>
      <c r="AD45" s="401">
        <f>IF(INDEX(HwyTransitModelGroup,A18,1)=Hwy,0.00000110231131*(C45*(1-M45)*VLOOKUP(K45,EmAuto20,2)-D45*(1-N45)*VLOOKUP(L45,EmAuto20,2)+(O45*(1-M45)-P45*(1-N45))*VLOOKUP(0,EmAuto20,2))+0.00000110231131*(C45*M45*VLOOKUP(K45,EmTruck20,2)-D45*N45*VLOOKUP(L45,EmTruck20,2)+(O45*M45-P45*N45)*VLOOKUP(0,EmTruck20,2)),0)</f>
        <v>-3.5870212453872931E-2</v>
      </c>
      <c r="AE45" s="863">
        <f>IF(INDEX(HwyTransitModelGroup,A18,1)=Hwy,0.00000110231131*(C45*(1-M45)*VLOOKUP(K45,EmAuto20,3)-D45*(1-N45)*VLOOKUP(L45,EmAuto20,3)+(O45*(1-M45)-P45*(1-N45))*VLOOKUP(0,EmAuto20,3))+0.00000110231131*(C45*M45*VLOOKUP(K45,EmTruck20,3)-D45*N45*VLOOKUP(L45,EmTruck20,3)+(O45*M45-P45*N45)*VLOOKUP(0,EmTruck20,3)),0)</f>
        <v>-32.465918534413738</v>
      </c>
      <c r="AF45" s="861">
        <f>IF(INDEX(HwyTransitModelGroup,A18,1)=Hwy,0.00000110231131*(C45*(1-M45)*VLOOKUP(K45,EmAuto20,4)-D45*(1-N45)*VLOOKUP(L45,EmAuto20,4)+(O45*(1-M45)-P45*(1-N45))*VLOOKUP(0,EmAuto20,4))+0.00000110231131*(C45*M45*VLOOKUP(K45,EmTruck20,4)-D45*N45*VLOOKUP(L45,EmTruck20,4)+(O45*M45-P45*N45)*VLOOKUP(0,EmTruck20,4)),0)</f>
        <v>-8.2119642926893697E-3</v>
      </c>
      <c r="AG45" s="863">
        <f>IF(INDEX(HwyTransitModelGroup,A18,1)=Hwy,0.00000110231131*(C45*(1-M45)*VLOOKUP(K45,EmAuto20,5)-D45*(1-N45)*VLOOKUP(L45,EmAuto20,5)+(O45*(1-M45)-P45*(1-N45))*VLOOKUP(0,EmAuto20,5))+0.00000110231131*(C45*M45*VLOOKUP(K45,EmTruck20,5)-D45*N45*VLOOKUP(L45,EmTruck20,5)+(O45*M45-P45*N45)*VLOOKUP(0,EmTruck20,5)),0)</f>
        <v>-1.8533299387179551E-4</v>
      </c>
      <c r="AH45" s="861">
        <f>IF(INDEX(HwyTransitModelGroup,A18,1)=Hwy,0.00000110231131*(C45*(1-M45)*VLOOKUP(K45,EmAuto20,6)-D45*(1-N45)*VLOOKUP(L45,EmAuto20,6)+(O45*(1-M45)-P45*(1-N45))*VLOOKUP(0,EmAuto20,6))+0.00000110231131*(C45*M45*VLOOKUP(K45,EmTruck20,6)-D45*N45*VLOOKUP(L45,EmTruck20,6)+(O45*M45-P45*N45)*VLOOKUP(0,EmTruck20,6)),0)</f>
        <v>-2.9440609833894288E-4</v>
      </c>
      <c r="AI45" s="863">
        <f>IF(INDEX(HwyTransitModelGroup,A18,1)=Hwy,0.00000110231131*(C45*(1-M45)*VLOOKUP(K45,EmAuto20,7)-D45*(1-N45)*VLOOKUP(L45,EmAuto20,7)+(O45*(1-M45)-P45*(1-N45))*VLOOKUP(0,EmAuto20,7))+0.00000110231131*(C45*M45*VLOOKUP(K45,EmTruck20,7)-D45*N45*VLOOKUP(L45,EmTruck20,7)+(O45*M45-P45*N45)*VLOOKUP(0,EmTruck20,7)),0)</f>
        <v>-4.6461386866642081E-4</v>
      </c>
      <c r="AJ45" s="861">
        <f>IF(INDEX(HwyTransitModelGroup,A18,1)=Hwy,0.00000110231131*(C45*(1-M45)*VLOOKUP(K45,EmAuto20,8)-D45*(1-N45)*VLOOKUP(L45,EmAuto20,8)+(O45*(1-M45)-P45*(1-N45))*VLOOKUP(0,EmAuto20,8))+0.00000110231131*(C45*M45*VLOOKUP(K45,EmTruck20,8)-D45*N45*VLOOKUP(L45,EmTruck20,8)+(O45*M45-P45*N45)*VLOOKUP(0,EmTruck20,8)),0)</f>
        <v>-1.8068447652960199E-4</v>
      </c>
      <c r="AK45" s="401">
        <f>IF(INDEX(HwyTransitModelGroup,A18,1)=PARAMETERS!$J$9,0.00000110231131*(C45*VLOOKUP(K45,EmBus20,2)-D45*VLOOKUP(L45,EmBus20,2)+(O45-P45)*VLOOKUP(0,EmBus20,2)),0)</f>
        <v>0</v>
      </c>
      <c r="AL45" s="863">
        <f>IF(INDEX(HwyTransitModelGroup,A18,1)=PARAMETERS!$J$9,0.00000110231131*(C45*VLOOKUP(K45,EmBus20,3)-D45*VLOOKUP(L45,EmBus20,3)+(O45-P45)*VLOOKUP(0,EmBus20,3)),0)</f>
        <v>0</v>
      </c>
      <c r="AM45" s="861">
        <f>IF(INDEX(HwyTransitModelGroup,A18,1)=PARAMETERS!$J$9,0.00000110231131*(C45*VLOOKUP(K45,EmBus20,4)-D45*VLOOKUP(L45,EmBus20,4)+(O45-P45)*VLOOKUP(0,EmBus20,4)),0)</f>
        <v>0</v>
      </c>
      <c r="AN45" s="863">
        <f>IF(INDEX(HwyTransitModelGroup,A18,1)=PARAMETERS!$J$9,0.00000110231131*(C45*VLOOKUP(K45,EmBus20,5)-D45*VLOOKUP(L45,EmBus20,5)+(O45-P45)*VLOOKUP(0,EmBus20,5)),0)</f>
        <v>0</v>
      </c>
      <c r="AO45" s="861">
        <f>IF(INDEX(HwyTransitModelGroup,A18,1)=PARAMETERS!$J$9,0.00000110231131*(C45*VLOOKUP(K45,EmBus20,6)-D45*VLOOKUP(L45,EmBus20,6)+(O45-P45)*VLOOKUP(0,EmBus20,6)),0)</f>
        <v>0</v>
      </c>
      <c r="AP45" s="863">
        <f>IF(INDEX(HwyTransitModelGroup,A18,1)=PARAMETERS!$J$9,0.00000110231131*(C45*VLOOKUP(K45,EmBus20,7)-D45*VLOOKUP(L45,EmBus20,7)+(O45-P45)*VLOOKUP(0,EmBus20,7)),0)</f>
        <v>0</v>
      </c>
      <c r="AQ45" s="861">
        <f>IF(INDEX(HwyTransitModelGroup,A18,1)=PARAMETERS!$J$9,0.00000110231131*(C45*VLOOKUP(K45,EmBus20,8)-D45*VLOOKUP(L45,EmBus20,8)+(O45-P45)*VLOOKUP(0,EmBus20,8)),0)</f>
        <v>0</v>
      </c>
      <c r="AR45" s="401">
        <f>IF(INDEX(HwyTransitModelGroup,A18,1)=PARAMETERS!$J$10,0.00000110231131*((C45-D45)*PARAMETERS!$CQ$29),0)</f>
        <v>0</v>
      </c>
      <c r="AS45" s="863">
        <f>IF(INDEX(HwyTransitModelGroup,A18,1)=PARAMETERS!$J$10,0.00000110231131*((C45-D45)*PARAMETERS!$CR$29),0)</f>
        <v>0</v>
      </c>
      <c r="AT45" s="861">
        <f>IF(INDEX(HwyTransitModelGroup,A18,1)=PARAMETERS!$J$10,0.00000110231131*((C45-D45)*PARAMETERS!$CS$29),0)</f>
        <v>0</v>
      </c>
      <c r="AU45" s="863">
        <f>IF(INDEX(HwyTransitModelGroup,A18,1)=PARAMETERS!$J$10,0.00000110231131*((C45-D45)*PARAMETERS!$CT$29),0)</f>
        <v>0</v>
      </c>
      <c r="AV45" s="861">
        <f>IF(INDEX(HwyTransitModelGroup,A18,1)=PARAMETERS!$J$10,0.00000110231131*((C45-D45)*PARAMETERS!$CU$29),0)</f>
        <v>0</v>
      </c>
      <c r="AW45" s="863">
        <f>IF(INDEX(HwyTransitModelGroup,A18,1)=PARAMETERS!$J$10,0.00000110231131*((C45-D45)*PARAMETERS!$CV$29),0)</f>
        <v>0</v>
      </c>
      <c r="AX45" s="861">
        <f>IF(INDEX(HwyTransitModelGroup,A18,1)=PARAMETERS!$J$10,0.00000110231131*((C45-D45)*PARAMETERS!$CW$29),0)</f>
        <v>0</v>
      </c>
      <c r="AY45" s="401">
        <f>IF(INDEX(HwyTransitModelGroup,A18,1)=PARAMETERS!$J$11,0.00000110231131*((C45-D45)*PARAMETERS!$CQ$37),0)</f>
        <v>0</v>
      </c>
      <c r="AZ45" s="863">
        <f>IF(INDEX(HwyTransitModelGroup,A18,1)=PARAMETERS!$J$11,0.00000110231131*((C45-D45)*PARAMETERS!$CR$37),0)</f>
        <v>0</v>
      </c>
      <c r="BA45" s="861">
        <f>IF(INDEX(HwyTransitModelGroup,A18,1)=PARAMETERS!$J$11,0.00000110231131*((C45-D45)*PARAMETERS!$CS$37),0)</f>
        <v>0</v>
      </c>
      <c r="BB45" s="863">
        <f>IF(INDEX(HwyTransitModelGroup,A18,1)=PARAMETERS!$J$11,0.00000110231131*((C45-D45)*PARAMETERS!$CT$37),0)</f>
        <v>0</v>
      </c>
      <c r="BC45" s="861">
        <f>IF(INDEX(HwyTransitModelGroup,A18,1)=PARAMETERS!$J$11,0.00000110231131*((C45-D45)*PARAMETERS!$CU$37),0)</f>
        <v>0</v>
      </c>
      <c r="BD45" s="863">
        <f>IF(INDEX(HwyTransitModelGroup,A18,1)=PARAMETERS!$J$11,0.00000110231131*((C45-D45)*PARAMETERS!$CV$37),0)</f>
        <v>0</v>
      </c>
      <c r="BE45" s="865">
        <f>IF(INDEX(HwyTransitModelGroup,A18,1)=PARAMETERS!$J$11,0.00000110231131*((C45-D45)*PARAMETERS!$CW$37),0)</f>
        <v>0</v>
      </c>
      <c r="BF45" s="729">
        <f t="shared" si="6"/>
        <v>-1.2108503492170575</v>
      </c>
      <c r="BG45" s="867">
        <f t="shared" si="7"/>
        <v>-1016.5745809117125</v>
      </c>
      <c r="BH45" s="867">
        <f t="shared" si="8"/>
        <v>-52.322746781068567</v>
      </c>
      <c r="BI45" s="867">
        <f t="shared" si="9"/>
        <v>-9.1262031688031247</v>
      </c>
      <c r="BJ45" s="867">
        <f t="shared" si="10"/>
        <v>-7.3293481043573383</v>
      </c>
      <c r="BK45" s="869">
        <f t="shared" si="11"/>
        <v>-0.21761142030197289</v>
      </c>
      <c r="BL45" s="392"/>
      <c r="BN45" s="407" t="s">
        <v>56</v>
      </c>
      <c r="BO45" s="408">
        <f t="shared" ref="BO45:BT45" ca="1" si="13">SUM(BO24:BO43)</f>
        <v>-7747.6711016988647</v>
      </c>
      <c r="BP45" s="408">
        <f t="shared" ca="1" si="13"/>
        <v>-15979.545572485353</v>
      </c>
      <c r="BQ45" s="408">
        <f t="shared" ca="1" si="13"/>
        <v>7726.9230370960377</v>
      </c>
      <c r="BR45" s="408">
        <f t="shared" ca="1" si="13"/>
        <v>-46495.078361311163</v>
      </c>
      <c r="BS45" s="408">
        <f t="shared" ca="1" si="13"/>
        <v>886751.33138721297</v>
      </c>
      <c r="BT45" s="408">
        <f t="shared" ca="1" si="13"/>
        <v>1133183.415577644</v>
      </c>
      <c r="BV45" s="409">
        <f ca="1">SUM(BV24:BV43)</f>
        <v>1957439.3749664575</v>
      </c>
      <c r="BW45" s="410"/>
      <c r="BX45" s="409">
        <f ca="1">SUM(BX24:BX43)</f>
        <v>3340374.1782113011</v>
      </c>
      <c r="BZ45" s="438">
        <f t="shared" ref="BZ45:CL45" ca="1" si="14">SUM(BZ24:BZ43)</f>
        <v>46.590454867252291</v>
      </c>
      <c r="CA45" s="699">
        <f t="shared" ca="1" si="14"/>
        <v>45204.121804010741</v>
      </c>
      <c r="CB45" s="699">
        <f t="shared" ca="1" si="14"/>
        <v>24.794665459648602</v>
      </c>
      <c r="CC45" s="699">
        <f t="shared" ca="1" si="14"/>
        <v>0.54341898804712097</v>
      </c>
      <c r="CD45" s="699">
        <f t="shared" ca="1" si="14"/>
        <v>0.43419524475762583</v>
      </c>
      <c r="CE45" s="699">
        <f t="shared" ca="1" si="14"/>
        <v>1.1009981652495699</v>
      </c>
      <c r="CF45" s="700">
        <f t="shared" ca="1" si="14"/>
        <v>0.51963750968373035</v>
      </c>
      <c r="CG45" s="704">
        <f t="shared" ca="1" si="14"/>
        <v>2305.7164485011544</v>
      </c>
      <c r="CH45" s="705">
        <f t="shared" ca="1" si="14"/>
        <v>1669746.2067125381</v>
      </c>
      <c r="CI45" s="705">
        <f t="shared" ca="1" si="14"/>
        <v>231300.59351210677</v>
      </c>
      <c r="CJ45" s="705">
        <f t="shared" ca="1" si="14"/>
        <v>38003.704728858953</v>
      </c>
      <c r="CK45" s="705">
        <f t="shared" ca="1" si="14"/>
        <v>15301.040600915934</v>
      </c>
      <c r="CL45" s="439">
        <f t="shared" ca="1" si="14"/>
        <v>782.11296353719206</v>
      </c>
    </row>
    <row r="46" spans="2:90" x14ac:dyDescent="0.25">
      <c r="B46" s="375">
        <f t="shared" si="12"/>
        <v>2045</v>
      </c>
      <c r="C46" s="401">
        <f>MAX(TREND(C24:C25,B24:B25,B46),0)</f>
        <v>935312.5</v>
      </c>
      <c r="D46" s="402">
        <f>MAX(TREND(D24:D25,B24:B25,B46),0)</f>
        <v>1029610.25</v>
      </c>
      <c r="E46" s="401">
        <f>MAX(TREND(E24:E25,B24:B25,B46),0)</f>
        <v>22374.5</v>
      </c>
      <c r="F46" s="402">
        <f>MAX(TREND(F24:F25,B24:B25,B46),0)</f>
        <v>24436.75</v>
      </c>
      <c r="G46" s="401">
        <f>MAX(TREND(G24:G25,B24:B25,B46),0)</f>
        <v>0</v>
      </c>
      <c r="H46" s="402">
        <f>MAX(TREND(H24:H25,B24:B25,B46),0)</f>
        <v>0</v>
      </c>
      <c r="I46" s="401">
        <f>MAX(TREND(I24:I25,B24:B25,B46),0)</f>
        <v>0</v>
      </c>
      <c r="J46" s="402">
        <f>MAX(TREND(J24:J25,B24:B25,B46),0)</f>
        <v>0</v>
      </c>
      <c r="K46" s="435">
        <f>IFERROR(IF(INDEX(HwyTransitModelGroup,A18,1)=Hwy,MAX(5,ROUND(C46/E46,1)),MAX(5,ROUND(G46/I46,1))),55)</f>
        <v>41.8</v>
      </c>
      <c r="L46" s="436">
        <f>IFERROR(IF(INDEX(HwyTransitModelGroup,A18,1)=Hwy,MAX(5,ROUND(D46/F46,1)),MAX(5,ROUND(H46/J46,1))),55)</f>
        <v>42.1</v>
      </c>
      <c r="M46" s="405">
        <f>MIN(MAX(TREND(M24:M25,B24:B25,B46),0),1)</f>
        <v>0.24</v>
      </c>
      <c r="N46" s="406">
        <f>MIN(MAX(TREND(N24:N25,B24:B25,B46),0),1)</f>
        <v>0.24</v>
      </c>
      <c r="O46" s="401">
        <f>MAX(TREND(O24:O25,B24:B25,B46),0)</f>
        <v>0</v>
      </c>
      <c r="P46" s="402">
        <f>MAX(TREND(P24:P25,B24:B25,B46),0)</f>
        <v>0</v>
      </c>
      <c r="Q46" s="729">
        <f>IF(INDEX(HwyTransitModelGroup,A18,1)=Hwy,C46*(1-M46)*0.00000110231131*(VLOOKUP(K46,EmAuto20,2)*VLOOKUP(ProjLoc,EmCost,2)+VLOOKUP(K46,EmAuto20,3)*VLOOKUP(ProjLoc,EmCost,3)*(1+CO2Uprater)^($B46-YearCurrent)+VLOOKUP(K46,EmAuto20,4)*VLOOKUP(ProjLoc,EmCost,4)+VLOOKUP(K46,EmAuto20,5)*VLOOKUP(ProjLoc,EmCost,5)+VLOOKUP(K46,EmAuto20,6)*VLOOKUP(ProjLoc,EmCost,6)+VLOOKUP(K46,EmAuto20,7)*VLOOKUP(ProjLoc,EmCost,7))+C46*M46*0.00000110231131*(VLOOKUP(K46,EmTruck20,2)*VLOOKUP(ProjLoc,EmCost,2)+VLOOKUP(K46,EmTruck20,3)*VLOOKUP(ProjLoc,EmCost,3)*(1+CO2Uprater)^($B46-YearCurrent)+VLOOKUP(K46,EmTruck20,4)*VLOOKUP(ProjLoc,EmCost,4)+VLOOKUP(K46,EmTruck20,5)*VLOOKUP(ProjLoc,EmCost,5)+VLOOKUP(K46,EmTruck20,6)*VLOOKUP(ProjLoc,EmCost,6)+VLOOKUP(K46,EmTruck20,7)*VLOOKUP(ProjLoc,EmCost,7)),0)</f>
        <v>26660.735050000105</v>
      </c>
      <c r="R46" s="802">
        <f>IF(INDEX(HwyTransitModelGroup,A18,1)=Hwy,D46*(1-N46)*0.00000110231131*(VLOOKUP(L46,EmAuto20,2)*VLOOKUP(ProjLoc,EmCost,2)+VLOOKUP(L46,EmAuto20,3)*VLOOKUP(ProjLoc,EmCost,3)*(1+CO2Uprater)^($B46-YearCurrent)+VLOOKUP(L46,EmAuto20,4)*VLOOKUP(ProjLoc,EmCost,4)+VLOOKUP(L46,EmAuto20,5)*VLOOKUP(ProjLoc,EmCost,5)+VLOOKUP(L46,EmAuto20,6)*VLOOKUP(ProjLoc,EmCost,6)+VLOOKUP(L46,EmAuto20,7)*VLOOKUP(ProjLoc,EmCost,7))+D46*N46*0.00000110231131*(VLOOKUP(L46,EmTruck20,2)*VLOOKUP(ProjLoc,EmCost,2)+VLOOKUP(L46,EmTruck20,3)*VLOOKUP(ProjLoc,EmCost,3)*(1+CO2Uprater)^($B46-YearCurrent)+VLOOKUP(L46,EmTruck20,4)*VLOOKUP(ProjLoc,EmCost,4)+VLOOKUP(L46,EmTruck20,5)*VLOOKUP(ProjLoc,EmCost,5)+VLOOKUP(L46,EmTruck20,6)*VLOOKUP(ProjLoc,EmCost,6)+VLOOKUP(L46,EmTruck20,7)*VLOOKUP(ProjLoc,EmCost,7)),0)</f>
        <v>29470.036235256644</v>
      </c>
      <c r="S46" s="729">
        <f>IF(INDEX(HwyTransitModelGroup,A18,1)=Hwy,O46*(1-M46)*0.00000110231131*(VLOOKUP(0,EmAuto20,2)*VLOOKUP(ProjLoc,EmCost,2)+VLOOKUP(0,EmAuto20,3)*VLOOKUP(ProjLoc,EmCost,3)*(1+CO2Uprater)^($B46-YearCurrent)+VLOOKUP(0,EmAuto20,4)*VLOOKUP(ProjLoc,EmCost,4)+VLOOKUP(0,EmAuto20,5)*VLOOKUP(ProjLoc,EmCost,5)+VLOOKUP(0,EmAuto20,6)*VLOOKUP(ProjLoc,EmCost,6)+VLOOKUP(0,EmAuto20,7)*VLOOKUP(ProjLoc,EmCost,7))+O46*M46*0.00000110231131*(VLOOKUP(0,EmTruck20,2)*VLOOKUP(ProjLoc,EmCost,2)+VLOOKUP(0,EmTruck20,3)*VLOOKUP(ProjLoc,EmCost,3)*(1+CO2Uprater)^($B46-YearCurrent)+VLOOKUP(0,EmTruck20,4)*VLOOKUP(ProjLoc,EmCost,4)+VLOOKUP(0,EmTruck20,5)*VLOOKUP(ProjLoc,EmCost,5)+VLOOKUP(0,EmTruck20,6)*VLOOKUP(ProjLoc,EmCost,6)+VLOOKUP(0,EmTruck20,7)*VLOOKUP(ProjLoc,EmCost,7)),0)</f>
        <v>0</v>
      </c>
      <c r="T46" s="802">
        <f>IF(INDEX(HwyTransitModelGroup,A18,1)=Hwy,P46*(1-N46)*0.00000110231131*(VLOOKUP(0,EmAuto20,2)*VLOOKUP(ProjLoc,EmCost,2)+VLOOKUP(0,EmAuto20,3)*VLOOKUP(ProjLoc,EmCost,3)*(1+CO2Uprater)^($B46-YearCurrent)+VLOOKUP(0,EmAuto20,4)*VLOOKUP(ProjLoc,EmCost,4)+VLOOKUP(0,EmAuto20,5)*VLOOKUP(ProjLoc,EmCost,5)+VLOOKUP(0,EmAuto20,6)*VLOOKUP(ProjLoc,EmCost,6)+VLOOKUP(0,EmAuto20,7)*VLOOKUP(ProjLoc,EmCost,7))+P46*N46*0.00000110231131*(VLOOKUP(0,EmTruck20,2)*VLOOKUP(ProjLoc,EmCost,2)+VLOOKUP(0,EmTruck20,3)*VLOOKUP(ProjLoc,EmCost,3)*(1+CO2Uprater)^($B46-YearCurrent)+VLOOKUP(0,EmTruck20,4)*VLOOKUP(ProjLoc,EmCost,4)+VLOOKUP(0,EmTruck20,5)*VLOOKUP(ProjLoc,EmCost,5)+VLOOKUP(0,EmTruck20,6)*VLOOKUP(ProjLoc,EmCost,6)+VLOOKUP(0,EmTruck20,7)*VLOOKUP(ProjLoc,EmCost,7)),0)</f>
        <v>0</v>
      </c>
      <c r="U46" s="729">
        <f>IF(INDEX(HwyTransitModelGroup,A18,1)=PARAMETERS!$J$9,C46*0.00000110231131*(VLOOKUP(K46,EmBus20,2)*VLOOKUP(ProjLoc,EmCost,2)+VLOOKUP(K46,EmBus20,3)*VLOOKUP(ProjLoc,EmCost,3)*(1+CO2Uprater)^($B46-YearCurrent)+VLOOKUP(K46,EmBus20,4)*VLOOKUP(ProjLoc,EmCost,4)+VLOOKUP(K46,EmBus20,5)*VLOOKUP(ProjLoc,EmCost,5)+VLOOKUP(K46,EmBus20,6)*VLOOKUP(ProjLoc,EmCost,6)+VLOOKUP(K46,EmBus20,7)*VLOOKUP(ProjLoc,EmCost,7)),0)</f>
        <v>0</v>
      </c>
      <c r="V46" s="802">
        <f>IF(INDEX(HwyTransitModelGroup,A18,1)=PARAMETERS!$J$9,D46*0.00000110231131*(VLOOKUP(L46,EmBus20,2)*VLOOKUP(ProjLoc,EmCost,2)+VLOOKUP(L46,EmBus20,3)*VLOOKUP(ProjLoc,EmCost,3)*(1+CO2Uprater)^($B46-YearCurrent)+VLOOKUP(L46,EmBus20,4)*VLOOKUP(ProjLoc,EmCost,4)+VLOOKUP(L46,EmBus20,5)*VLOOKUP(ProjLoc,EmCost,5)+VLOOKUP(L46,EmBus20,6)*VLOOKUP(ProjLoc,EmCost,6)+VLOOKUP(L46,EmBus20,7)*VLOOKUP(ProjLoc,EmCost,7)),0)</f>
        <v>0</v>
      </c>
      <c r="W46" s="808">
        <f>IF(INDEX(HwyTransitModelGroup,A18,1)=PARAMETERS!$J$10,C46*0.00000110231131*(PARAMETERS!$CQ$29*VLOOKUP(ProjLoc,EmCost,2)+PARAMETERS!$CR$29*VLOOKUP(ProjLoc,EmCost,3)*(1+CO2Uprater)^($B46-YearCurrent)+PARAMETERS!$CS$29*VLOOKUP(ProjLoc,EmCost,4)+PARAMETERS!$CT$29*VLOOKUP(ProjLoc,EmCost,5)+PARAMETERS!$CU$29*VLOOKUP(ProjLoc,EmCost,6)+PARAMETERS!$CV$29*VLOOKUP(ProjLoc,EmCost,7)),0)</f>
        <v>0</v>
      </c>
      <c r="X46" s="844">
        <f>IF(INDEX(HwyTransitModelGroup,A18,1)=PARAMETERS!$J$10,D46*0.00000110231131*(PARAMETERS!$CQ$29*VLOOKUP(ProjLoc,EmCost,2)+PARAMETERS!$CR$29*VLOOKUP(ProjLoc,EmCost,3)*(1+CO2Uprater)^($B46-YearCurrent)+PARAMETERS!$CS$29*VLOOKUP(ProjLoc,EmCost,4)+PARAMETERS!$CT$29*VLOOKUP(ProjLoc,EmCost,5)+PARAMETERS!$CU$29*VLOOKUP(ProjLoc,EmCost,6)+PARAMETERS!$CV$29*VLOOKUP(ProjLoc,EmCost,7)),0)</f>
        <v>0</v>
      </c>
      <c r="Y46" s="808">
        <f>IF(INDEX(HwyTransitModelGroup,A18,1)=PARAMETERS!$J$11,C46*0.00000110231131*(PARAMETERS!$CQ$37*VLOOKUP(ProjLoc,EmCost,2)+PARAMETERS!$CR$37*VLOOKUP(ProjLoc,EmCost,3)*(1+CO2Uprater)^($B46-YearCurrent)+PARAMETERS!$CS$37*VLOOKUP(ProjLoc,EmCost,4)+PARAMETERS!$CT$37*VLOOKUP(ProjLoc,EmCost,5)+PARAMETERS!$CU$37*VLOOKUP(ProjLoc,EmCost,6)+PARAMETERS!$CV$37*VLOOKUP(ProjLoc,EmCost,7)),0)</f>
        <v>0</v>
      </c>
      <c r="Z46" s="844">
        <f>IF(INDEX(HwyTransitModelGroup,A18,1)=PARAMETERS!$J$11,D46*0.00000110231131*(PARAMETERS!$CQ$37*VLOOKUP(ProjLoc,EmCost,2)+PARAMETERS!$CR$37*VLOOKUP(ProjLoc,EmCost,3)*(1+CO2Uprater)^($B46-YearCurrent)+PARAMETERS!$CS$37*VLOOKUP(ProjLoc,EmCost,4)+PARAMETERS!$CT$37*VLOOKUP(ProjLoc,EmCost,5)+PARAMETERS!$CU$37*VLOOKUP(ProjLoc,EmCost,6)+PARAMETERS!$CV$37*VLOOKUP(ProjLoc,EmCost,7)),0)</f>
        <v>0</v>
      </c>
      <c r="AA46" s="369">
        <f t="shared" si="4"/>
        <v>-2809.3011852565396</v>
      </c>
      <c r="AB46" s="370">
        <f t="shared" si="5"/>
        <v>-1139.8074690797307</v>
      </c>
      <c r="AC46" s="371"/>
      <c r="AD46" s="401">
        <f>IF(INDEX(HwyTransitModelGroup,A18,1)=Hwy,0.00000110231131*(C46*(1-M46)*VLOOKUP(K46,EmAuto20,2)-D46*(1-N46)*VLOOKUP(L46,EmAuto20,2)+(O46*(1-M46)-P46*(1-N46))*VLOOKUP(0,EmAuto20,2))+0.00000110231131*(C46*M46*VLOOKUP(K46,EmTruck20,2)-D46*N46*VLOOKUP(L46,EmTruck20,2)+(O46*M46-P46*N46)*VLOOKUP(0,EmTruck20,2)),0)</f>
        <v>-3.8919572317091332E-2</v>
      </c>
      <c r="AE46" s="863">
        <f>IF(INDEX(HwyTransitModelGroup,A18,1)=Hwy,0.00000110231131*(C46*(1-M46)*VLOOKUP(K46,EmAuto20,3)-D46*(1-N46)*VLOOKUP(L46,EmAuto20,3)+(O46*(1-M46)-P46*(1-N46))*VLOOKUP(0,EmAuto20,3))+0.00000110231131*(C46*M46*VLOOKUP(K46,EmTruck20,3)-D46*N46*VLOOKUP(L46,EmTruck20,3)+(O46*M46-P46*N46)*VLOOKUP(0,EmTruck20,3)),0)</f>
        <v>-34.742909200379756</v>
      </c>
      <c r="AF46" s="861">
        <f>IF(INDEX(HwyTransitModelGroup,A18,1)=Hwy,0.00000110231131*(C46*(1-M46)*VLOOKUP(K46,EmAuto20,4)-D46*(1-N46)*VLOOKUP(L46,EmAuto20,4)+(O46*(1-M46)-P46*(1-N46))*VLOOKUP(0,EmAuto20,4))+0.00000110231131*(C46*M46*VLOOKUP(K46,EmTruck20,4)-D46*N46*VLOOKUP(L46,EmTruck20,4)+(O46*M46-P46*N46)*VLOOKUP(0,EmTruck20,4)),0)</f>
        <v>-8.9003571006154737E-3</v>
      </c>
      <c r="AG46" s="863">
        <f>IF(INDEX(HwyTransitModelGroup,A18,1)=Hwy,0.00000110231131*(C46*(1-M46)*VLOOKUP(K46,EmAuto20,5)-D46*(1-N46)*VLOOKUP(L46,EmAuto20,5)+(O46*(1-M46)-P46*(1-N46))*VLOOKUP(0,EmAuto20,5))+0.00000110231131*(C46*M46*VLOOKUP(K46,EmTruck20,5)-D46*N46*VLOOKUP(L46,EmTruck20,5)+(O46*M46-P46*N46)*VLOOKUP(0,EmTruck20,5)),0)</f>
        <v>-1.9584349693868371E-4</v>
      </c>
      <c r="AH46" s="861">
        <f>IF(INDEX(HwyTransitModelGroup,A18,1)=Hwy,0.00000110231131*(C46*(1-M46)*VLOOKUP(K46,EmAuto20,6)-D46*(1-N46)*VLOOKUP(L46,EmAuto20,6)+(O46*(1-M46)-P46*(1-N46))*VLOOKUP(0,EmAuto20,6))+0.00000110231131*(C46*M46*VLOOKUP(K46,EmTruck20,6)-D46*N46*VLOOKUP(L46,EmTruck20,6)+(O46*M46-P46*N46)*VLOOKUP(0,EmTruck20,6)),0)</f>
        <v>-3.159942480509596E-4</v>
      </c>
      <c r="AI46" s="863">
        <f>IF(INDEX(HwyTransitModelGroup,A18,1)=Hwy,0.00000110231131*(C46*(1-M46)*VLOOKUP(K46,EmAuto20,7)-D46*(1-N46)*VLOOKUP(L46,EmAuto20,7)+(O46*(1-M46)-P46*(1-N46))*VLOOKUP(0,EmAuto20,7))+0.00000110231131*(C46*M46*VLOOKUP(K46,EmTruck20,7)-D46*N46*VLOOKUP(L46,EmTruck20,7)+(O46*M46-P46*N46)*VLOOKUP(0,EmTruck20,7)),0)</f>
        <v>-5.0663849968923748E-4</v>
      </c>
      <c r="AJ46" s="861">
        <f>IF(INDEX(HwyTransitModelGroup,A18,1)=Hwy,0.00000110231131*(C46*(1-M46)*VLOOKUP(K46,EmAuto20,8)-D46*(1-N46)*VLOOKUP(L46,EmAuto20,8)+(O46*(1-M46)-P46*(1-N46))*VLOOKUP(0,EmAuto20,8))+0.00000110231131*(C46*M46*VLOOKUP(K46,EmTruck20,8)-D46*N46*VLOOKUP(L46,EmTruck20,8)+(O46*M46-P46*N46)*VLOOKUP(0,EmTruck20,8)),0)</f>
        <v>-1.9085411407472155E-4</v>
      </c>
      <c r="AK46" s="401">
        <f>IF(INDEX(HwyTransitModelGroup,A18,1)=PARAMETERS!$J$9,0.00000110231131*(C46*VLOOKUP(K46,EmBus20,2)-D46*VLOOKUP(L46,EmBus20,2)+(O46-P46)*VLOOKUP(0,EmBus20,2)),0)</f>
        <v>0</v>
      </c>
      <c r="AL46" s="863">
        <f>IF(INDEX(HwyTransitModelGroup,A18,1)=PARAMETERS!$J$9,0.00000110231131*(C46*VLOOKUP(K46,EmBus20,3)-D46*VLOOKUP(L46,EmBus20,3)+(O46-P46)*VLOOKUP(0,EmBus20,3)),0)</f>
        <v>0</v>
      </c>
      <c r="AM46" s="861">
        <f>IF(INDEX(HwyTransitModelGroup,A18,1)=PARAMETERS!$J$9,0.00000110231131*(C46*VLOOKUP(K46,EmBus20,4)-D46*VLOOKUP(L46,EmBus20,4)+(O46-P46)*VLOOKUP(0,EmBus20,4)),0)</f>
        <v>0</v>
      </c>
      <c r="AN46" s="863">
        <f>IF(INDEX(HwyTransitModelGroup,A18,1)=PARAMETERS!$J$9,0.00000110231131*(C46*VLOOKUP(K46,EmBus20,5)-D46*VLOOKUP(L46,EmBus20,5)+(O46-P46)*VLOOKUP(0,EmBus20,5)),0)</f>
        <v>0</v>
      </c>
      <c r="AO46" s="861">
        <f>IF(INDEX(HwyTransitModelGroup,A18,1)=PARAMETERS!$J$9,0.00000110231131*(C46*VLOOKUP(K46,EmBus20,6)-D46*VLOOKUP(L46,EmBus20,6)+(O46-P46)*VLOOKUP(0,EmBus20,6)),0)</f>
        <v>0</v>
      </c>
      <c r="AP46" s="863">
        <f>IF(INDEX(HwyTransitModelGroup,A18,1)=PARAMETERS!$J$9,0.00000110231131*(C46*VLOOKUP(K46,EmBus20,7)-D46*VLOOKUP(L46,EmBus20,7)+(O46-P46)*VLOOKUP(0,EmBus20,7)),0)</f>
        <v>0</v>
      </c>
      <c r="AQ46" s="861">
        <f>IF(INDEX(HwyTransitModelGroup,A18,1)=PARAMETERS!$J$9,0.00000110231131*(C46*VLOOKUP(K46,EmBus20,8)-D46*VLOOKUP(L46,EmBus20,8)+(O46-P46)*VLOOKUP(0,EmBus20,8)),0)</f>
        <v>0</v>
      </c>
      <c r="AR46" s="401">
        <f>IF(INDEX(HwyTransitModelGroup,A18,1)=PARAMETERS!$J$10,0.00000110231131*((C46-D46)*PARAMETERS!$CQ$29),0)</f>
        <v>0</v>
      </c>
      <c r="AS46" s="863">
        <f>IF(INDEX(HwyTransitModelGroup,A18,1)=PARAMETERS!$J$10,0.00000110231131*((C46-D46)*PARAMETERS!$CR$29),0)</f>
        <v>0</v>
      </c>
      <c r="AT46" s="861">
        <f>IF(INDEX(HwyTransitModelGroup,A18,1)=PARAMETERS!$J$10,0.00000110231131*((C46-D46)*PARAMETERS!$CS$29),0)</f>
        <v>0</v>
      </c>
      <c r="AU46" s="863">
        <f>IF(INDEX(HwyTransitModelGroup,A18,1)=PARAMETERS!$J$10,0.00000110231131*((C46-D46)*PARAMETERS!$CT$29),0)</f>
        <v>0</v>
      </c>
      <c r="AV46" s="861">
        <f>IF(INDEX(HwyTransitModelGroup,A18,1)=PARAMETERS!$J$10,0.00000110231131*((C46-D46)*PARAMETERS!$CU$29),0)</f>
        <v>0</v>
      </c>
      <c r="AW46" s="863">
        <f>IF(INDEX(HwyTransitModelGroup,A18,1)=PARAMETERS!$J$10,0.00000110231131*((C46-D46)*PARAMETERS!$CV$29),0)</f>
        <v>0</v>
      </c>
      <c r="AX46" s="861">
        <f>IF(INDEX(HwyTransitModelGroup,A18,1)=PARAMETERS!$J$10,0.00000110231131*((C46-D46)*PARAMETERS!$CW$29),0)</f>
        <v>0</v>
      </c>
      <c r="AY46" s="401">
        <f>IF(INDEX(HwyTransitModelGroup,A18,1)=PARAMETERS!$J$11,0.00000110231131*((C46-D46)*PARAMETERS!$CQ$37),0)</f>
        <v>0</v>
      </c>
      <c r="AZ46" s="863">
        <f>IF(INDEX(HwyTransitModelGroup,A18,1)=PARAMETERS!$J$11,0.00000110231131*((C46-D46)*PARAMETERS!$CR$37),0)</f>
        <v>0</v>
      </c>
      <c r="BA46" s="861">
        <f>IF(INDEX(HwyTransitModelGroup,A18,1)=PARAMETERS!$J$11,0.00000110231131*((C46-D46)*PARAMETERS!$CS$37),0)</f>
        <v>0</v>
      </c>
      <c r="BB46" s="863">
        <f>IF(INDEX(HwyTransitModelGroup,A18,1)=PARAMETERS!$J$11,0.00000110231131*((C46-D46)*PARAMETERS!$CT$37),0)</f>
        <v>0</v>
      </c>
      <c r="BC46" s="861">
        <f>IF(INDEX(HwyTransitModelGroup,A18,1)=PARAMETERS!$J$11,0.00000110231131*((C46-D46)*PARAMETERS!$CU$37),0)</f>
        <v>0</v>
      </c>
      <c r="BD46" s="863">
        <f>IF(INDEX(HwyTransitModelGroup,A18,1)=PARAMETERS!$J$11,0.00000110231131*((C46-D46)*PARAMETERS!$CV$37),0)</f>
        <v>0</v>
      </c>
      <c r="BE46" s="865">
        <f>IF(INDEX(HwyTransitModelGroup,A18,1)=PARAMETERS!$J$11,0.00000110231131*((C46-D46)*PARAMETERS!$CW$37),0)</f>
        <v>0</v>
      </c>
      <c r="BF46" s="729">
        <f t="shared" si="6"/>
        <v>-1.2632556296411055</v>
      </c>
      <c r="BG46" s="867">
        <f t="shared" si="7"/>
        <v>-1066.9512224572643</v>
      </c>
      <c r="BH46" s="867">
        <f t="shared" si="8"/>
        <v>-54.52774969995334</v>
      </c>
      <c r="BI46" s="867">
        <f t="shared" si="9"/>
        <v>-9.2728494191238227</v>
      </c>
      <c r="BJ46" s="867">
        <f t="shared" si="10"/>
        <v>-7.5642240690642693</v>
      </c>
      <c r="BK46" s="869">
        <f t="shared" si="11"/>
        <v>-0.2281678046842148</v>
      </c>
      <c r="BL46" s="392"/>
    </row>
    <row r="47" spans="2:90" ht="15.75" x14ac:dyDescent="0.25">
      <c r="B47" s="385"/>
      <c r="C47" s="386"/>
      <c r="D47" s="386"/>
      <c r="E47" s="386"/>
      <c r="F47" s="386"/>
      <c r="G47" s="386"/>
      <c r="H47" s="386"/>
      <c r="I47" s="386"/>
      <c r="J47" s="386"/>
      <c r="K47" s="388"/>
      <c r="L47" s="388"/>
      <c r="M47" s="386"/>
      <c r="N47" s="386"/>
      <c r="O47" s="388"/>
      <c r="P47" s="388"/>
      <c r="Q47" s="388"/>
      <c r="R47" s="388"/>
      <c r="S47" s="388"/>
      <c r="T47" s="388"/>
      <c r="U47" s="388"/>
      <c r="V47" s="388"/>
      <c r="W47" s="388"/>
      <c r="X47" s="388"/>
      <c r="Y47" s="388"/>
      <c r="Z47" s="388"/>
      <c r="AA47" s="388"/>
      <c r="AB47" s="389"/>
      <c r="AC47" s="390"/>
      <c r="AD47" s="847"/>
      <c r="AE47" s="389"/>
      <c r="AF47" s="389"/>
      <c r="AG47" s="389"/>
      <c r="AH47" s="389"/>
      <c r="AI47" s="389"/>
      <c r="AJ47" s="848"/>
      <c r="AK47" s="390"/>
      <c r="AL47" s="390"/>
      <c r="AM47" s="390"/>
      <c r="AN47" s="390"/>
      <c r="AO47" s="390"/>
      <c r="AP47" s="390"/>
      <c r="AQ47" s="390"/>
      <c r="AR47" s="390"/>
      <c r="AS47" s="390"/>
      <c r="AT47" s="390"/>
      <c r="AU47" s="390"/>
      <c r="AV47" s="390"/>
      <c r="AW47" s="390"/>
      <c r="AX47" s="390"/>
      <c r="AY47" s="390"/>
      <c r="AZ47" s="390"/>
      <c r="BA47" s="390"/>
      <c r="BB47" s="390"/>
      <c r="BC47" s="390"/>
      <c r="BD47" s="390"/>
      <c r="BE47" s="390"/>
      <c r="BF47" s="390"/>
      <c r="BG47" s="390"/>
      <c r="BH47" s="390"/>
      <c r="BI47" s="390"/>
      <c r="BJ47" s="390"/>
      <c r="BK47" s="390"/>
      <c r="BL47" s="392"/>
      <c r="BN47" s="412" t="str">
        <f>IF(Emissions&lt;&gt;"N","","* Emissions Benefits Not Counted")</f>
        <v/>
      </c>
      <c r="BX47" s="437"/>
    </row>
    <row r="48" spans="2:90" x14ac:dyDescent="0.25">
      <c r="B48" s="407" t="s">
        <v>56</v>
      </c>
      <c r="C48" s="413"/>
      <c r="D48" s="414"/>
      <c r="E48" s="414"/>
      <c r="F48" s="414"/>
      <c r="G48" s="414"/>
      <c r="H48" s="414"/>
      <c r="I48" s="414"/>
      <c r="J48" s="414"/>
      <c r="K48" s="414"/>
      <c r="L48" s="414"/>
      <c r="M48" s="414"/>
      <c r="N48" s="414"/>
      <c r="O48" s="414"/>
      <c r="P48" s="414"/>
      <c r="Q48" s="414"/>
      <c r="R48" s="415"/>
      <c r="S48" s="414"/>
      <c r="T48" s="415"/>
      <c r="U48" s="415"/>
      <c r="V48" s="415"/>
      <c r="W48" s="415"/>
      <c r="X48" s="415"/>
      <c r="Y48" s="415"/>
      <c r="Z48" s="415"/>
      <c r="AA48" s="414"/>
      <c r="AB48" s="409">
        <f>SUM(AB27:AB46)</f>
        <v>-7747.6711016988647</v>
      </c>
      <c r="AC48" s="416"/>
      <c r="AD48" s="438">
        <f t="shared" ref="AD48:BK48" si="15">SUM(AD27:AD46)</f>
        <v>-0.2674197853609826</v>
      </c>
      <c r="AE48" s="699">
        <f t="shared" si="15"/>
        <v>-229.80883459130339</v>
      </c>
      <c r="AF48" s="699">
        <f t="shared" si="15"/>
        <v>-5.2474073133196686E-2</v>
      </c>
      <c r="AG48" s="699">
        <f t="shared" si="15"/>
        <v>-1.0805291391673762E-3</v>
      </c>
      <c r="AH48" s="699">
        <f t="shared" si="15"/>
        <v>-2.1319781683916822E-3</v>
      </c>
      <c r="AI48" s="699">
        <f t="shared" si="15"/>
        <v>-3.0145179511139996E-3</v>
      </c>
      <c r="AJ48" s="700">
        <f t="shared" si="15"/>
        <v>-1.0555306443944363E-3</v>
      </c>
      <c r="AK48" s="438">
        <f t="shared" si="15"/>
        <v>0</v>
      </c>
      <c r="AL48" s="699">
        <f t="shared" si="15"/>
        <v>0</v>
      </c>
      <c r="AM48" s="699">
        <f t="shared" si="15"/>
        <v>0</v>
      </c>
      <c r="AN48" s="699">
        <f t="shared" si="15"/>
        <v>0</v>
      </c>
      <c r="AO48" s="699">
        <f t="shared" si="15"/>
        <v>0</v>
      </c>
      <c r="AP48" s="699">
        <f t="shared" si="15"/>
        <v>0</v>
      </c>
      <c r="AQ48" s="700">
        <f t="shared" si="15"/>
        <v>0</v>
      </c>
      <c r="AR48" s="438">
        <f t="shared" si="15"/>
        <v>0</v>
      </c>
      <c r="AS48" s="699">
        <f t="shared" si="15"/>
        <v>0</v>
      </c>
      <c r="AT48" s="699">
        <f t="shared" si="15"/>
        <v>0</v>
      </c>
      <c r="AU48" s="699">
        <f t="shared" si="15"/>
        <v>0</v>
      </c>
      <c r="AV48" s="699">
        <f t="shared" si="15"/>
        <v>0</v>
      </c>
      <c r="AW48" s="699">
        <f t="shared" si="15"/>
        <v>0</v>
      </c>
      <c r="AX48" s="700">
        <f t="shared" si="15"/>
        <v>0</v>
      </c>
      <c r="AY48" s="438">
        <f t="shared" si="15"/>
        <v>0</v>
      </c>
      <c r="AZ48" s="699">
        <f t="shared" si="15"/>
        <v>0</v>
      </c>
      <c r="BA48" s="699">
        <f t="shared" si="15"/>
        <v>0</v>
      </c>
      <c r="BB48" s="699">
        <f t="shared" si="15"/>
        <v>0</v>
      </c>
      <c r="BC48" s="699">
        <f t="shared" si="15"/>
        <v>0</v>
      </c>
      <c r="BD48" s="699">
        <f t="shared" si="15"/>
        <v>0</v>
      </c>
      <c r="BE48" s="700">
        <f t="shared" si="15"/>
        <v>0</v>
      </c>
      <c r="BF48" s="704">
        <f t="shared" si="15"/>
        <v>-8.8785975825031294</v>
      </c>
      <c r="BG48" s="705">
        <f t="shared" si="15"/>
        <v>-7358.3574170639176</v>
      </c>
      <c r="BH48" s="705">
        <f t="shared" si="15"/>
        <v>-274.48750422486745</v>
      </c>
      <c r="BI48" s="705">
        <f t="shared" si="15"/>
        <v>-49.963065040047383</v>
      </c>
      <c r="BJ48" s="705">
        <f t="shared" si="15"/>
        <v>-54.871917896738694</v>
      </c>
      <c r="BK48" s="439">
        <f t="shared" si="15"/>
        <v>-1.1125998907982764</v>
      </c>
      <c r="BL48" s="392"/>
      <c r="BX48" s="3"/>
    </row>
    <row r="49" spans="1:72" ht="18" x14ac:dyDescent="0.25">
      <c r="B49" s="2"/>
      <c r="C49" s="418"/>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I49" s="2"/>
      <c r="BJ49" s="418"/>
      <c r="BK49" s="418"/>
      <c r="BL49" s="392"/>
      <c r="BN49" s="316" t="s">
        <v>351</v>
      </c>
    </row>
    <row r="50" spans="1:72" x14ac:dyDescent="0.25">
      <c r="A50" s="1">
        <f>MAX($A$1:A49)+1</f>
        <v>2</v>
      </c>
      <c r="B50" s="319" t="str">
        <f>IF(ISBLANK(INDEX(ModelGroup,A50,1)),"Not Used",INDEX(ModelGroup,A50,1))</f>
        <v>SB On-ramp from Ave 280</v>
      </c>
      <c r="C50" s="2"/>
      <c r="D50" s="2"/>
      <c r="E50" s="2"/>
      <c r="F50" s="2"/>
      <c r="G50" s="2"/>
      <c r="H50" s="2"/>
      <c r="I50" s="2"/>
      <c r="J50" s="2"/>
      <c r="K50" s="2"/>
      <c r="L50" s="2"/>
      <c r="M50" s="2"/>
      <c r="N50" s="2"/>
      <c r="O50" s="2"/>
      <c r="P50" s="320"/>
      <c r="Q50" s="320"/>
      <c r="R50" s="2"/>
      <c r="S50" s="320"/>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I50" s="319"/>
      <c r="BJ50" s="2"/>
      <c r="BK50" s="2"/>
      <c r="BL50" s="392"/>
      <c r="BN50" s="2"/>
      <c r="BO50" s="310"/>
      <c r="BP50" s="310"/>
      <c r="BQ50" s="310"/>
      <c r="BR50" s="310"/>
      <c r="BS50" s="310"/>
      <c r="BT50" s="310"/>
    </row>
    <row r="51" spans="1:72" ht="15.75" x14ac:dyDescent="0.25">
      <c r="B51" s="2"/>
      <c r="C51" s="2"/>
      <c r="D51" s="321"/>
      <c r="E51" s="321"/>
      <c r="F51" s="321"/>
      <c r="G51" s="321"/>
      <c r="H51" s="321"/>
      <c r="I51" s="321"/>
      <c r="J51" s="321"/>
      <c r="K51" s="321"/>
      <c r="L51" s="321"/>
      <c r="M51" s="321"/>
      <c r="N51" s="321"/>
      <c r="O51" s="2"/>
      <c r="P51" s="320"/>
      <c r="Q51" s="1788" t="s">
        <v>327</v>
      </c>
      <c r="R51" s="1789"/>
      <c r="S51" s="1789"/>
      <c r="T51" s="1790"/>
      <c r="U51" s="1788" t="s">
        <v>328</v>
      </c>
      <c r="V51" s="1789"/>
      <c r="W51" s="1788" t="s">
        <v>329</v>
      </c>
      <c r="X51" s="1790"/>
      <c r="Y51" s="1788" t="s">
        <v>330</v>
      </c>
      <c r="Z51" s="1790"/>
      <c r="AA51" s="2"/>
      <c r="AB51" s="149"/>
      <c r="AC51" s="149"/>
      <c r="AD51" s="1791" t="s">
        <v>327</v>
      </c>
      <c r="AE51" s="1792"/>
      <c r="AF51" s="1792"/>
      <c r="AG51" s="1792"/>
      <c r="AH51" s="1792"/>
      <c r="AI51" s="1792"/>
      <c r="AJ51" s="1793"/>
      <c r="AK51" s="1791" t="s">
        <v>328</v>
      </c>
      <c r="AL51" s="1792"/>
      <c r="AM51" s="1792"/>
      <c r="AN51" s="1792"/>
      <c r="AO51" s="1792"/>
      <c r="AP51" s="1792"/>
      <c r="AQ51" s="1793"/>
      <c r="AR51" s="1791" t="s">
        <v>329</v>
      </c>
      <c r="AS51" s="1792"/>
      <c r="AT51" s="1792"/>
      <c r="AU51" s="1792"/>
      <c r="AV51" s="1792"/>
      <c r="AW51" s="1792"/>
      <c r="AX51" s="1793"/>
      <c r="AY51" s="1791" t="s">
        <v>330</v>
      </c>
      <c r="AZ51" s="1792"/>
      <c r="BA51" s="1792"/>
      <c r="BB51" s="1792"/>
      <c r="BC51" s="1792"/>
      <c r="BD51" s="1792"/>
      <c r="BE51" s="1793"/>
      <c r="BF51" s="149"/>
      <c r="BG51" s="149"/>
      <c r="BI51" s="2"/>
      <c r="BJ51" s="2"/>
      <c r="BK51" s="321"/>
      <c r="BL51" s="392"/>
    </row>
    <row r="52" spans="1:72" ht="15.75" x14ac:dyDescent="0.25">
      <c r="B52" s="322"/>
      <c r="C52" s="325" t="s">
        <v>271</v>
      </c>
      <c r="D52" s="326"/>
      <c r="E52" s="325" t="s">
        <v>190</v>
      </c>
      <c r="F52" s="326"/>
      <c r="G52" s="325" t="s">
        <v>331</v>
      </c>
      <c r="H52" s="326"/>
      <c r="I52" s="325" t="s">
        <v>193</v>
      </c>
      <c r="J52" s="326"/>
      <c r="K52" s="323" t="s">
        <v>272</v>
      </c>
      <c r="L52" s="427"/>
      <c r="M52" s="325" t="s">
        <v>192</v>
      </c>
      <c r="N52" s="326"/>
      <c r="O52" s="323" t="s">
        <v>332</v>
      </c>
      <c r="P52" s="324"/>
      <c r="Q52" s="327" t="s">
        <v>333</v>
      </c>
      <c r="R52" s="328"/>
      <c r="S52" s="327" t="s">
        <v>334</v>
      </c>
      <c r="T52" s="328"/>
      <c r="U52" s="327" t="s">
        <v>333</v>
      </c>
      <c r="V52" s="328"/>
      <c r="W52" s="327" t="s">
        <v>335</v>
      </c>
      <c r="X52" s="328"/>
      <c r="Y52" s="323" t="s">
        <v>335</v>
      </c>
      <c r="Z52" s="323"/>
      <c r="AA52" s="329"/>
      <c r="AB52" s="330"/>
      <c r="AC52" s="2"/>
      <c r="AD52" s="680" t="s">
        <v>336</v>
      </c>
      <c r="AE52" s="680"/>
      <c r="AF52" s="681"/>
      <c r="AG52" s="681"/>
      <c r="AH52" s="681"/>
      <c r="AI52" s="681"/>
      <c r="AJ52" s="683"/>
      <c r="AK52" s="852" t="s">
        <v>336</v>
      </c>
      <c r="AL52" s="681"/>
      <c r="AM52" s="681"/>
      <c r="AN52" s="681"/>
      <c r="AO52" s="681"/>
      <c r="AP52" s="681"/>
      <c r="AQ52" s="683"/>
      <c r="AR52" s="852" t="s">
        <v>336</v>
      </c>
      <c r="AS52" s="681"/>
      <c r="AT52" s="681"/>
      <c r="AU52" s="681"/>
      <c r="AV52" s="681"/>
      <c r="AW52" s="681"/>
      <c r="AX52" s="683"/>
      <c r="AY52" s="852" t="s">
        <v>336</v>
      </c>
      <c r="AZ52" s="681"/>
      <c r="BA52" s="681"/>
      <c r="BB52" s="681"/>
      <c r="BC52" s="681"/>
      <c r="BD52" s="681"/>
      <c r="BE52" s="683"/>
      <c r="BF52" s="849" t="s">
        <v>337</v>
      </c>
      <c r="BG52" s="682"/>
      <c r="BH52" s="681"/>
      <c r="BI52" s="681"/>
      <c r="BJ52" s="681"/>
      <c r="BK52" s="683"/>
      <c r="BL52" s="392"/>
    </row>
    <row r="53" spans="1:72" x14ac:dyDescent="0.25">
      <c r="B53" s="335"/>
      <c r="C53" s="338" t="s">
        <v>274</v>
      </c>
      <c r="D53" s="339"/>
      <c r="E53" s="338" t="s">
        <v>275</v>
      </c>
      <c r="F53" s="339"/>
      <c r="G53" s="338" t="s">
        <v>338</v>
      </c>
      <c r="H53" s="339"/>
      <c r="I53" s="338" t="s">
        <v>339</v>
      </c>
      <c r="J53" s="339"/>
      <c r="K53" s="336" t="s">
        <v>276</v>
      </c>
      <c r="L53" s="428"/>
      <c r="M53" s="338" t="s">
        <v>277</v>
      </c>
      <c r="N53" s="339"/>
      <c r="O53" s="336" t="s">
        <v>340</v>
      </c>
      <c r="P53" s="337"/>
      <c r="Q53" s="340" t="s">
        <v>203</v>
      </c>
      <c r="R53" s="341"/>
      <c r="S53" s="340" t="s">
        <v>203</v>
      </c>
      <c r="T53" s="341"/>
      <c r="U53" s="340" t="s">
        <v>203</v>
      </c>
      <c r="V53" s="341"/>
      <c r="W53" s="340" t="s">
        <v>203</v>
      </c>
      <c r="X53" s="341"/>
      <c r="Y53" s="336" t="s">
        <v>203</v>
      </c>
      <c r="Z53" s="336"/>
      <c r="AA53" s="342"/>
      <c r="AB53" s="343"/>
      <c r="AC53" s="2"/>
      <c r="AD53" s="684" t="s">
        <v>341</v>
      </c>
      <c r="AE53" s="684"/>
      <c r="AF53" s="685"/>
      <c r="AG53" s="685"/>
      <c r="AH53" s="685"/>
      <c r="AI53" s="685"/>
      <c r="AJ53" s="686"/>
      <c r="AK53" s="684" t="s">
        <v>341</v>
      </c>
      <c r="AL53" s="685"/>
      <c r="AM53" s="685"/>
      <c r="AN53" s="685"/>
      <c r="AO53" s="685"/>
      <c r="AP53" s="685"/>
      <c r="AQ53" s="686"/>
      <c r="AR53" s="684" t="s">
        <v>341</v>
      </c>
      <c r="AS53" s="685"/>
      <c r="AT53" s="685"/>
      <c r="AU53" s="685"/>
      <c r="AV53" s="685"/>
      <c r="AW53" s="685"/>
      <c r="AX53" s="686"/>
      <c r="AY53" s="684" t="s">
        <v>341</v>
      </c>
      <c r="AZ53" s="685"/>
      <c r="BA53" s="685"/>
      <c r="BB53" s="685"/>
      <c r="BC53" s="685"/>
      <c r="BD53" s="685"/>
      <c r="BE53" s="686"/>
      <c r="BF53" s="685" t="s">
        <v>342</v>
      </c>
      <c r="BG53" s="687"/>
      <c r="BH53" s="688"/>
      <c r="BI53" s="688"/>
      <c r="BJ53" s="688"/>
      <c r="BK53" s="687"/>
      <c r="BL53" s="392"/>
    </row>
    <row r="54" spans="1:72" x14ac:dyDescent="0.25">
      <c r="B54" s="77" t="s">
        <v>34</v>
      </c>
      <c r="C54" s="348"/>
      <c r="D54" s="349"/>
      <c r="E54" s="348"/>
      <c r="F54" s="349"/>
      <c r="G54" s="348"/>
      <c r="H54" s="349"/>
      <c r="I54" s="348"/>
      <c r="J54" s="349"/>
      <c r="K54" s="348"/>
      <c r="L54" s="349"/>
      <c r="M54" s="348"/>
      <c r="N54" s="349"/>
      <c r="O54" s="348"/>
      <c r="P54" s="349"/>
      <c r="Q54" s="348"/>
      <c r="R54" s="349"/>
      <c r="S54" s="348"/>
      <c r="T54" s="349"/>
      <c r="U54" s="348"/>
      <c r="V54" s="349"/>
      <c r="W54" s="723"/>
      <c r="X54" s="349"/>
      <c r="Y54" s="723"/>
      <c r="Z54" s="349"/>
      <c r="AA54" s="351" t="s">
        <v>208</v>
      </c>
      <c r="AB54" s="347" t="s">
        <v>39</v>
      </c>
      <c r="AC54" s="352"/>
      <c r="AD54" s="689"/>
      <c r="AE54" s="690"/>
      <c r="AF54" s="690"/>
      <c r="AG54" s="690"/>
      <c r="AH54" s="690"/>
      <c r="AI54" s="690"/>
      <c r="AJ54" s="692"/>
      <c r="AK54" s="689"/>
      <c r="AL54" s="690"/>
      <c r="AM54" s="690"/>
      <c r="AN54" s="690"/>
      <c r="AO54" s="690"/>
      <c r="AP54" s="690"/>
      <c r="AQ54" s="692"/>
      <c r="AR54" s="689"/>
      <c r="AS54" s="690"/>
      <c r="AT54" s="690"/>
      <c r="AU54" s="690"/>
      <c r="AV54" s="690"/>
      <c r="AW54" s="690"/>
      <c r="AX54" s="692"/>
      <c r="AY54" s="689"/>
      <c r="AZ54" s="690"/>
      <c r="BA54" s="690"/>
      <c r="BB54" s="690"/>
      <c r="BC54" s="690"/>
      <c r="BD54" s="690"/>
      <c r="BE54" s="692"/>
      <c r="BF54" s="850"/>
      <c r="BG54" s="690"/>
      <c r="BH54" s="690"/>
      <c r="BI54" s="690"/>
      <c r="BJ54" s="690"/>
      <c r="BK54" s="692"/>
      <c r="BL54" s="392"/>
      <c r="BN54" s="322"/>
      <c r="BO54" s="52">
        <v>1</v>
      </c>
      <c r="BP54" s="52">
        <v>2</v>
      </c>
      <c r="BQ54" s="52">
        <v>3</v>
      </c>
      <c r="BR54" s="52">
        <v>4</v>
      </c>
      <c r="BS54" s="52">
        <v>5</v>
      </c>
      <c r="BT54" s="52">
        <v>6</v>
      </c>
    </row>
    <row r="55" spans="1:72" ht="16.5" x14ac:dyDescent="0.25">
      <c r="B55" s="355"/>
      <c r="C55" s="356" t="s">
        <v>74</v>
      </c>
      <c r="D55" s="357" t="s">
        <v>125</v>
      </c>
      <c r="E55" s="356" t="s">
        <v>74</v>
      </c>
      <c r="F55" s="357" t="s">
        <v>125</v>
      </c>
      <c r="G55" s="356" t="s">
        <v>74</v>
      </c>
      <c r="H55" s="357" t="s">
        <v>125</v>
      </c>
      <c r="I55" s="356" t="s">
        <v>74</v>
      </c>
      <c r="J55" s="357" t="s">
        <v>125</v>
      </c>
      <c r="K55" s="356" t="s">
        <v>74</v>
      </c>
      <c r="L55" s="357" t="s">
        <v>125</v>
      </c>
      <c r="M55" s="356" t="s">
        <v>74</v>
      </c>
      <c r="N55" s="357" t="s">
        <v>125</v>
      </c>
      <c r="O55" s="356" t="s">
        <v>74</v>
      </c>
      <c r="P55" s="357" t="s">
        <v>125</v>
      </c>
      <c r="Q55" s="356" t="s">
        <v>74</v>
      </c>
      <c r="R55" s="357" t="s">
        <v>125</v>
      </c>
      <c r="S55" s="356" t="s">
        <v>74</v>
      </c>
      <c r="T55" s="357" t="s">
        <v>125</v>
      </c>
      <c r="U55" s="356" t="s">
        <v>74</v>
      </c>
      <c r="V55" s="357" t="s">
        <v>125</v>
      </c>
      <c r="W55" s="724" t="s">
        <v>74</v>
      </c>
      <c r="X55" s="357" t="s">
        <v>125</v>
      </c>
      <c r="Y55" s="724" t="s">
        <v>74</v>
      </c>
      <c r="Z55" s="357" t="s">
        <v>125</v>
      </c>
      <c r="AA55" s="359" t="s">
        <v>48</v>
      </c>
      <c r="AB55" s="360" t="s">
        <v>49</v>
      </c>
      <c r="AC55" s="352"/>
      <c r="AD55" s="693" t="s">
        <v>344</v>
      </c>
      <c r="AE55" s="694" t="s">
        <v>345</v>
      </c>
      <c r="AF55" s="694" t="s">
        <v>346</v>
      </c>
      <c r="AG55" s="694" t="s">
        <v>347</v>
      </c>
      <c r="AH55" s="694" t="s">
        <v>348</v>
      </c>
      <c r="AI55" s="694" t="s">
        <v>349</v>
      </c>
      <c r="AJ55" s="696" t="s">
        <v>350</v>
      </c>
      <c r="AK55" s="693" t="s">
        <v>344</v>
      </c>
      <c r="AL55" s="694" t="s">
        <v>345</v>
      </c>
      <c r="AM55" s="694" t="s">
        <v>346</v>
      </c>
      <c r="AN55" s="694" t="s">
        <v>347</v>
      </c>
      <c r="AO55" s="694" t="s">
        <v>348</v>
      </c>
      <c r="AP55" s="694" t="s">
        <v>349</v>
      </c>
      <c r="AQ55" s="696" t="s">
        <v>350</v>
      </c>
      <c r="AR55" s="693" t="s">
        <v>344</v>
      </c>
      <c r="AS55" s="694" t="s">
        <v>345</v>
      </c>
      <c r="AT55" s="694" t="s">
        <v>346</v>
      </c>
      <c r="AU55" s="694" t="s">
        <v>347</v>
      </c>
      <c r="AV55" s="694" t="s">
        <v>348</v>
      </c>
      <c r="AW55" s="694" t="s">
        <v>349</v>
      </c>
      <c r="AX55" s="696" t="s">
        <v>350</v>
      </c>
      <c r="AY55" s="693" t="s">
        <v>344</v>
      </c>
      <c r="AZ55" s="694" t="s">
        <v>345</v>
      </c>
      <c r="BA55" s="694" t="s">
        <v>346</v>
      </c>
      <c r="BB55" s="694" t="s">
        <v>347</v>
      </c>
      <c r="BC55" s="694" t="s">
        <v>348</v>
      </c>
      <c r="BD55" s="694" t="s">
        <v>349</v>
      </c>
      <c r="BE55" s="696" t="s">
        <v>350</v>
      </c>
      <c r="BF55" s="851" t="s">
        <v>344</v>
      </c>
      <c r="BG55" s="694" t="s">
        <v>345</v>
      </c>
      <c r="BH55" s="694" t="s">
        <v>346</v>
      </c>
      <c r="BI55" s="694" t="s">
        <v>347</v>
      </c>
      <c r="BJ55" s="694" t="s">
        <v>348</v>
      </c>
      <c r="BK55" s="696" t="s">
        <v>349</v>
      </c>
      <c r="BL55" s="392"/>
      <c r="BN55" s="335"/>
      <c r="BO55" s="1777" t="str">
        <f t="shared" ref="BO55:BT55" si="16">IF(ISBLANK(INDEX(ModelGroup,BO54,1)),"Not Used",INDEX(ModelGroup,BO54,1))</f>
        <v>SB Off-ramp to Ave 280</v>
      </c>
      <c r="BP55" s="1777" t="str">
        <f t="shared" si="16"/>
        <v>SB On-ramp from Ave 280</v>
      </c>
      <c r="BQ55" s="1777" t="str">
        <f t="shared" si="16"/>
        <v>NB Off-ramp to Ave 280</v>
      </c>
      <c r="BR55" s="1777" t="str">
        <f t="shared" si="16"/>
        <v>NB On-ramp from Ave 280</v>
      </c>
      <c r="BS55" s="1777" t="str">
        <f t="shared" si="16"/>
        <v>NB Mainline</v>
      </c>
      <c r="BT55" s="1777" t="str">
        <f t="shared" si="16"/>
        <v>SB Mainline</v>
      </c>
    </row>
    <row r="56" spans="1:72" x14ac:dyDescent="0.25">
      <c r="B56" s="363">
        <f>YearFirst</f>
        <v>2026</v>
      </c>
      <c r="C56" s="364">
        <f>INDEX(ModelData1NB,A50,2)*AnnualFactor</f>
        <v>542390</v>
      </c>
      <c r="D56" s="365">
        <f>INDEX(ModelData1B,A50,2)*AnnualFactor</f>
        <v>552975</v>
      </c>
      <c r="E56" s="364">
        <f>IF(INDEX(HwyTransitModelGroup,A50,1)=Hwy,INDEX(ModelData1NB,A50,3),0)*AnnualFactor</f>
        <v>10220</v>
      </c>
      <c r="F56" s="365">
        <f>IF(INDEX(HwyTransitModelGroup,A50,1)=Hwy,INDEX(ModelData1B,A50,3),0)*AnnualFactor</f>
        <v>10220</v>
      </c>
      <c r="G56" s="364">
        <f>IF(INDEX(HwyTransitModelGroup,A50,1)&lt;&gt;Hwy,INDEX(ModelData1NB,A50,4),0)*AnnualFactor</f>
        <v>0</v>
      </c>
      <c r="H56" s="365">
        <f>IF(INDEX(HwyTransitModelGroup,A50,1)&lt;&gt;Hwy,INDEX(ModelData1B,A50,4),0)*AnnualFactor</f>
        <v>0</v>
      </c>
      <c r="I56" s="364">
        <f>IF(INDEX(HwyTransitModelGroup,A50,1)&lt;&gt;Hwy,INDEX(ModelData1NB,A50,5),0)*AnnualFactor</f>
        <v>0</v>
      </c>
      <c r="J56" s="365">
        <f>IF(INDEX(HwyTransitModelGroup,A50,1)&lt;&gt;Hwy,INDEX(ModelData1B,A50,5),0)*AnnualFactor</f>
        <v>0</v>
      </c>
      <c r="K56" s="429">
        <f>IFERROR(IF(INDEX(HwyTransitModelGroup,A50,1)=Hwy,MAX(5,ROUND(C56/E56,1)),MAX(5,ROUND(G56/I56,1))),55)</f>
        <v>53.1</v>
      </c>
      <c r="L56" s="430">
        <f>IFERROR(IF(INDEX(HwyTransitModelGroup,A50,1)=Hwy,MAX(5,ROUND(D56/F56,1)),MAX(5,ROUND(H56/J56,1))),55)</f>
        <v>54.1</v>
      </c>
      <c r="M56" s="803">
        <f>IF(INDEX(HwyTransitModelGroup,A50,1)=Hwy,INDEX(ModelData1NB,A50,9),0)</f>
        <v>0.24</v>
      </c>
      <c r="N56" s="804">
        <f>IF(INDEX(HwyTransitModelGroup,A50,1)=Hwy,INDEX(ModelData1B,A50,9),0)</f>
        <v>0.24</v>
      </c>
      <c r="O56" s="364">
        <f>IF(OR(INDEX(ModelData1NB,A50,8)=0,INDEX(HwyTransitModelGroup,A50,1)&lt;&gt;Hwy),0,INDEX(ModelData1NB,A50,1)*AnnualFactor/INDEX(ModelData1NB,A50,8))</f>
        <v>0</v>
      </c>
      <c r="P56" s="365">
        <f>IF(OR(INDEX(ModelData1B,A50,8)=0,INDEX(HwyTransitModelGroup,A50,1)&lt;&gt;Hwy),0,INDEX(ModelData1B,A50,1)*AnnualFactor/INDEX(ModelData1B,A50,8))</f>
        <v>0</v>
      </c>
      <c r="Q56" s="808">
        <f>IF(INDEX(HwyTransitModelGroup,A50,1)=Hwy,C56*(1-M56)*0.00000110231131*(VLOOKUP(K56,EmAuto1,2)*VLOOKUP(ProjLoc,EmCost,2)+VLOOKUP(K56,EmAuto1,3)*VLOOKUP(ProjLoc,EmCost,3)*(1+CO2Uprater)^($B56-YearCurrent)+VLOOKUP(K56,EmAuto1,4)*VLOOKUP(ProjLoc,EmCost,4)+VLOOKUP(K56,EmAuto1,5)*VLOOKUP(ProjLoc,EmCost,5)+VLOOKUP(K56,EmAuto1,6)*VLOOKUP(ProjLoc,EmCost,6)+VLOOKUP(K56,EmAuto1,7)*VLOOKUP(ProjLoc,EmCost,7))+C56*M56*0.00000110231131*(VLOOKUP(K56,EmTruck1,2)*VLOOKUP(ProjLoc,EmCost,2)+VLOOKUP(K56,EmTruck1,3)*VLOOKUP(ProjLoc,EmCost,3)*(1+CO2Uprater)^($B56-YearCurrent)+VLOOKUP(K56,EmTruck1,4)*VLOOKUP(ProjLoc,EmCost,4)+VLOOKUP(K56,EmTruck1,5)*VLOOKUP(ProjLoc,EmCost,5)+VLOOKUP(K56,EmTruck1,6)*VLOOKUP(ProjLoc,EmCost,6)+VLOOKUP(K56,EmTruck1,7)*VLOOKUP(ProjLoc,EmCost,7)),0)</f>
        <v>17231.547504565966</v>
      </c>
      <c r="R56" s="844">
        <f>IF(INDEX(HwyTransitModelGroup,A50,1)=Hwy,D56*(1-N56)*0.00000110231131*(VLOOKUP(L56,EmAuto1,2)*VLOOKUP(ProjLoc,EmCost,2)+VLOOKUP(L56,EmAuto1,3)*VLOOKUP(ProjLoc,EmCost,3)*(1+CO2Uprater)^($B56-YearCurrent)+VLOOKUP(L56,EmAuto1,4)*VLOOKUP(ProjLoc,EmCost,4)+VLOOKUP(L56,EmAuto1,5)*VLOOKUP(ProjLoc,EmCost,5)+VLOOKUP(L56,EmAuto1,6)*VLOOKUP(ProjLoc,EmCost,6)+VLOOKUP(L56,EmAuto1,7)*VLOOKUP(ProjLoc,EmCost,7))+D56*N56*0.00000110231131*(VLOOKUP(L56,EmTruck1,2)*VLOOKUP(ProjLoc,EmCost,2)+VLOOKUP(L56,EmTruck1,3)*VLOOKUP(ProjLoc,EmCost,3)*(1+CO2Uprater)^($B56-YearCurrent)+VLOOKUP(L56,EmTruck1,4)*VLOOKUP(ProjLoc,EmCost,4)+VLOOKUP(L56,EmTruck1,5)*VLOOKUP(ProjLoc,EmCost,5)+VLOOKUP(L56,EmTruck1,6)*VLOOKUP(ProjLoc,EmCost,6)+VLOOKUP(L56,EmTruck1,7)*VLOOKUP(ProjLoc,EmCost,7)),0)</f>
        <v>17978.713367247427</v>
      </c>
      <c r="S56" s="808">
        <f>IF(INDEX(HwyTransitModelGroup,A50,1)=Hwy,O56*(1-M56)*0.00000110231131*(VLOOKUP(0,EmAuto1,2)*VLOOKUP(ProjLoc,EmCost,2)+VLOOKUP(0,EmAuto1,3)*VLOOKUP(ProjLoc,EmCost,3)*(1+CO2Uprater)^($B56-YearCurrent)+VLOOKUP(0,EmAuto1,4)*VLOOKUP(ProjLoc,EmCost,4)+VLOOKUP(0,EmAuto1,5)*VLOOKUP(ProjLoc,EmCost,5)+VLOOKUP(0,EmAuto1,6)*VLOOKUP(ProjLoc,EmCost,6)+VLOOKUP(0,EmAuto1,7)*VLOOKUP(ProjLoc,EmCost,7))+O56*M56*0.00000110231131*(VLOOKUP(0,EmTruck1,2)*VLOOKUP(ProjLoc,EmCost,2)+VLOOKUP(0,EmTruck1,3)*VLOOKUP(ProjLoc,EmCost,3)*(1+CO2Uprater)^($B56-YearCurrent)+VLOOKUP(0,EmTruck1,4)*VLOOKUP(ProjLoc,EmCost,4)+VLOOKUP(0,EmTruck1,5)*VLOOKUP(ProjLoc,EmCost,5)+VLOOKUP(0,EmTruck1,6)*VLOOKUP(ProjLoc,EmCost,6)+VLOOKUP(0,EmTruck1,7)*VLOOKUP(ProjLoc,EmCost,7)),0)</f>
        <v>0</v>
      </c>
      <c r="T56" s="844">
        <f>IF(INDEX(HwyTransitModelGroup,A50,1)=Hwy,P56*(1-N56)*0.00000110231131*(VLOOKUP(0,EmAuto1,2)*VLOOKUP(ProjLoc,EmCost,2)+VLOOKUP(0,EmAuto1,3)*VLOOKUP(ProjLoc,EmCost,3)*(1+CO2Uprater)^($B56-YearCurrent)+VLOOKUP(0,EmAuto1,4)*VLOOKUP(ProjLoc,EmCost,4)+VLOOKUP(0,EmAuto1,5)*VLOOKUP(ProjLoc,EmCost,5)+VLOOKUP(0,EmAuto1,6)*VLOOKUP(ProjLoc,EmCost,6)+VLOOKUP(0,EmAuto1,7)*VLOOKUP(ProjLoc,EmCost,7))+P56*N56*0.00000110231131*(VLOOKUP(0,EmTruck1,2)*VLOOKUP(ProjLoc,EmCost,2)+VLOOKUP(0,EmTruck1,3)*VLOOKUP(ProjLoc,EmCost,3)*(1+CO2Uprater)^($B56-YearCurrent)+VLOOKUP(0,EmTruck1,4)*VLOOKUP(ProjLoc,EmCost,4)+VLOOKUP(0,EmTruck1,5)*VLOOKUP(ProjLoc,EmCost,5)+VLOOKUP(0,EmTruck1,6)*VLOOKUP(ProjLoc,EmCost,6)+VLOOKUP(0,EmTruck1,7)*VLOOKUP(ProjLoc,EmCost,7)),0)</f>
        <v>0</v>
      </c>
      <c r="U56" s="808">
        <f>IF(INDEX(HwyTransitModelGroup,A50,1)=PARAMETERS!$J$9,C56*0.00000110231131*(VLOOKUP(K56,EmBus1,2)*VLOOKUP(ProjLoc,EmCost,2)+VLOOKUP(K56,EmBus1,3)*VLOOKUP(ProjLoc,EmCost,3)*(1+CO2Uprater)^($B56-YearCurrent)+VLOOKUP(K56,EmBus1,4)*VLOOKUP(ProjLoc,EmCost,4)+VLOOKUP(K56,EmBus1,5)*VLOOKUP(ProjLoc,EmCost,5)+VLOOKUP(K56,EmBus1,6)*VLOOKUP(ProjLoc,EmCost,6)+VLOOKUP(K56,EmBus1,7)*VLOOKUP(ProjLoc,EmCost,7)),0)</f>
        <v>0</v>
      </c>
      <c r="V56" s="844">
        <f>IF(INDEX(HwyTransitModelGroup,A50,1)=PARAMETERS!$J$9,D56*0.00000110231131*(VLOOKUP(L56,EmBus1,2)*VLOOKUP(ProjLoc,EmCost,2)+VLOOKUP(L56,EmBus1,3)*VLOOKUP(ProjLoc,EmCost,3)*(1+CO2Uprater)^($B56-YearCurrent)+VLOOKUP(L56,EmBus1,4)*VLOOKUP(ProjLoc,EmCost,4)+VLOOKUP(L56,EmBus1,5)*VLOOKUP(ProjLoc,EmCost,5)+VLOOKUP(L56,EmBus1,6)*VLOOKUP(ProjLoc,EmCost,6)+VLOOKUP(L56,EmBus1,7)*VLOOKUP(ProjLoc,EmCost,7)),0)</f>
        <v>0</v>
      </c>
      <c r="W56" s="808">
        <f>IF(INDEX(HwyTransitModelGroup,A50,1)=PARAMETERS!$J$10,C56*0.00000110231131*(PARAMETERS!$CQ$28*VLOOKUP(ProjLoc,EmCost,2)+PARAMETERS!$CR$28*VLOOKUP(ProjLoc,EmCost,3)*(1+CO2Uprater)^($B56-YearCurrent)+PARAMETERS!$CS$28*VLOOKUP(ProjLoc,EmCost,4)+PARAMETERS!$CT$28*VLOOKUP(ProjLoc,EmCost,5)+PARAMETERS!$CU$28*VLOOKUP(ProjLoc,EmCost,6)+PARAMETERS!$CV$28*VLOOKUP(ProjLoc,EmCost,7)),0)</f>
        <v>0</v>
      </c>
      <c r="X56" s="844">
        <f>IF(INDEX(HwyTransitModelGroup,A50,1)=PARAMETERS!$J$10,D56*0.00000110231131*(PARAMETERS!$CQ$28*VLOOKUP(ProjLoc,EmCost,2)+PARAMETERS!$CR$28*VLOOKUP(ProjLoc,EmCost,3)*(1+CO2Uprater)^($B56-YearCurrent)+PARAMETERS!$CS$28*VLOOKUP(ProjLoc,EmCost,4)+PARAMETERS!$CT$28*VLOOKUP(ProjLoc,EmCost,5)+PARAMETERS!$CU$28*VLOOKUP(ProjLoc,EmCost,6)+PARAMETERS!$CV$28*VLOOKUP(ProjLoc,EmCost,7)),0)</f>
        <v>0</v>
      </c>
      <c r="Y56" s="808">
        <f>IF(INDEX(HwyTransitModelGroup,A50,1)=PARAMETERS!$J$11,C56*0.00000110231131*(PARAMETERS!$CQ$36*VLOOKUP(ProjLoc,EmCost,2)+PARAMETERS!$CR$36*VLOOKUP(ProjLoc,EmCost,3)*(1+CO2Uprater)^($B56-YearCurrent)+PARAMETERS!$CS$36*VLOOKUP(ProjLoc,EmCost,4)+PARAMETERS!$CT$36*VLOOKUP(ProjLoc,EmCost,5)+PARAMETERS!$CU$36*VLOOKUP(ProjLoc,EmCost,6)+PARAMETERS!$CV$36*VLOOKUP(ProjLoc,EmCost,7)),0)</f>
        <v>0</v>
      </c>
      <c r="Z56" s="844">
        <f>IF(INDEX(HwyTransitModelGroup,A50,1)=PARAMETERS!$J$11,D56*0.00000110231131*(PARAMETERS!$CQ$36*VLOOKUP(ProjLoc,EmCost,2)+PARAMETERS!$CR$36*VLOOKUP(ProjLoc,EmCost,3)*(1+CO2Uprater)^($B56-YearCurrent)+PARAMETERS!$CS$36*VLOOKUP(ProjLoc,EmCost,4)+PARAMETERS!$CT$36*VLOOKUP(ProjLoc,EmCost,5)+PARAMETERS!$CU$36*VLOOKUP(ProjLoc,EmCost,6)+PARAMETERS!$CV$36*VLOOKUP(ProjLoc,EmCost,7)),0)</f>
        <v>0</v>
      </c>
      <c r="AA56" s="369">
        <f>(Q56+S56+U56+W56+Y56)-(R56+T56+V56+X56+Z56)</f>
        <v>-747.16586268146057</v>
      </c>
      <c r="AB56" s="370">
        <f>AA56/(1+DiscRate)^(B56-YearCurrent)</f>
        <v>-638.68051081445299</v>
      </c>
      <c r="AC56" s="371"/>
      <c r="AD56" s="853">
        <f>IF(INDEX(HwyTransitModelGroup,A50,1)=Hwy,0.00000110231131*(C56*(1-M56)*VLOOKUP(K56,EmAuto1,2)-D56*(1-N56)*VLOOKUP(L56,EmAuto1,2)+(O56*(1-M56)-P56*(1-N56))*VLOOKUP(0,EmAuto1,2))+0.00000110231131*(C56*M56*VLOOKUP(K56,EmTruck1,2)-D56*N56*VLOOKUP(L56,EmTruck1,2)+(O56*M56-P56*N56)*VLOOKUP(0,EmTruck1,2)),0)</f>
        <v>-3.5412387087838258E-3</v>
      </c>
      <c r="AE56" s="854">
        <f>IF(INDEX(HwyTransitModelGroup,A50,1)=Hwy,0.00000110231131*(C56*(1-M56)*VLOOKUP(K56,EmAuto1,3)-D56*(1-N56)*VLOOKUP(L56,EmAuto1,3)+(O56*(1-M56)-P56*(1-N56))*VLOOKUP(0,EmAuto1,3))+0.00000110231131*(C56*M56*VLOOKUP(K56,EmTruck1,3)-D56*N56*VLOOKUP(L56,EmTruck1,3)+(O56*M56-P56*N56)*VLOOKUP(0,EmTruck1,3)),0)</f>
        <v>-12.324434415116068</v>
      </c>
      <c r="AF56" s="854">
        <f>IF(INDEX(HwyTransitModelGroup,A50,1)=Hwy,0.00000110231131*(C56*(1-M56)*VLOOKUP(K56,EmAuto1,4)-D56*(1-N56)*VLOOKUP(L56,EmAuto1,4)+(O56*(1-M56)-P56*(1-N56))*VLOOKUP(0,EmAuto1,4))+0.00000110231131*(C56*M56*VLOOKUP(K56,EmTruck1,4)-D56*N56*VLOOKUP(L56,EmTruck1,4)+(O56*M56-P56*N56)*VLOOKUP(0,EmTruck1,4)),0)</f>
        <v>-5.3301952763723272E-3</v>
      </c>
      <c r="AG56" s="854">
        <f>IF(INDEX(HwyTransitModelGroup,A50,1)=Hwy,0.00000110231131*(C56*(1-M56)*VLOOKUP(K56,EmAuto1,5)-D56*(1-N56)*VLOOKUP(L56,EmAuto1,5)+(O56*(1-M56)-P56*(1-N56))*VLOOKUP(0,EmAuto1,5))+0.00000110231131*(C56*M56*VLOOKUP(K56,EmTruck1,5)-D56*N56*VLOOKUP(L56,EmTruck1,5)+(O56*M56-P56*N56)*VLOOKUP(0,EmTruck1,5)),0)</f>
        <v>-1.5192334461492721E-4</v>
      </c>
      <c r="AH56" s="854">
        <f>IF(INDEX(HwyTransitModelGroup,A50,1)=Hwy,0.00000110231131*(C56*(1-M56)*VLOOKUP(K56,EmAuto1,6)-D56*(1-N56)*VLOOKUP(L56,EmAuto1,6)+(O56*(1-M56)-P56*(1-N56))*VLOOKUP(0,EmAuto1,6))+0.00000110231131*(C56*M56*VLOOKUP(K56,EmTruck1,6)-D56*N56*VLOOKUP(L56,EmTruck1,6)+(O56*M56-P56*N56)*VLOOKUP(0,EmTruck1,6)),0)</f>
        <v>-1.4061909803842488E-4</v>
      </c>
      <c r="AI56" s="854">
        <f>IF(INDEX(HwyTransitModelGroup,A50,1)=Hwy,0.00000110231131*(C56*(1-M56)*VLOOKUP(K56,EmAuto1,7)-D56*(1-N56)*VLOOKUP(L56,EmAuto1,7)+(O56*(1-M56)-P56*(1-N56))*VLOOKUP(0,EmAuto1,7))+0.00000110231131*(C56*M56*VLOOKUP(K56,EmTruck1,7)-D56*N56*VLOOKUP(L56,EmTruck1,7)+(O56*M56-P56*N56)*VLOOKUP(0,EmTruck1,7)),0)</f>
        <v>-2.9868381579341996E-5</v>
      </c>
      <c r="AJ56" s="855">
        <f>IF(INDEX(HwyTransitModelGroup,A50,1)=Hwy,0.00000110231131*(C56*(1-M56)*VLOOKUP(K56,EmAuto1,8)-D56*(1-N56)*VLOOKUP(L56,EmAuto1,8)+(O56*(1-M56)-P56*(1-N56))*VLOOKUP(0,EmAuto1,8))+0.00000110231131*(C56*M56*VLOOKUP(K56,EmTruck1,8)-D56*N56*VLOOKUP(L56,EmTruck1,8)+(O56*M56-P56*N56)*VLOOKUP(0,EmTruck1,8)),0)</f>
        <v>-1.347271779477967E-4</v>
      </c>
      <c r="AK56" s="853">
        <f>IF(INDEX(HwyTransitModelGroup,A50,1)=PARAMETERS!$J$9,0.00000110231131*(C56*VLOOKUP(K56,EmBus1,2)-D56*VLOOKUP(L56,EmBus1,2)+(O56-P56)*VLOOKUP(0,EmBus1,2)),0)</f>
        <v>0</v>
      </c>
      <c r="AL56" s="854">
        <f>IF(INDEX(HwyTransitModelGroup,A50,1)=PARAMETERS!$J$9,0.00000110231131*(C56*VLOOKUP(K56,EmBus1,3)-D56*VLOOKUP(L56,EmBus1,3)+(O56-P56)*VLOOKUP(0,EmBus1,3)),0)</f>
        <v>0</v>
      </c>
      <c r="AM56" s="854">
        <f>IF(INDEX(HwyTransitModelGroup,A50,1)=PARAMETERS!$J$9,0.00000110231131*(C56*VLOOKUP(K56,EmBus1,4)-D56*VLOOKUP(L56,EmBus1,4)+(O56-P56)*VLOOKUP(0,EmBus1,4)),0)</f>
        <v>0</v>
      </c>
      <c r="AN56" s="854">
        <f>IF(INDEX(HwyTransitModelGroup,A50,1)=PARAMETERS!$J$9,0.00000110231131*(C56*VLOOKUP(K56,EmBus1,5)-D56*VLOOKUP(L56,EmBus1,5)+(O56-P56)*VLOOKUP(0,EmBus1,5)),0)</f>
        <v>0</v>
      </c>
      <c r="AO56" s="854">
        <f>IF(INDEX(HwyTransitModelGroup,A50,1)=PARAMETERS!$J$9,0.00000110231131*(C56*VLOOKUP(K56,EmBus1,6)-D56*VLOOKUP(L56,EmBus1,6)+(O56-P56)*VLOOKUP(0,EmBus1,6)),0)</f>
        <v>0</v>
      </c>
      <c r="AP56" s="854">
        <f>IF(INDEX(HwyTransitModelGroup,A50,1)=PARAMETERS!$J$9,0.00000110231131*(C56*VLOOKUP(K56,EmBus1,7)-D56*VLOOKUP(L56,EmBus1,7)+(O56-P56)*VLOOKUP(0,EmBus1,7)),0)</f>
        <v>0</v>
      </c>
      <c r="AQ56" s="855">
        <f>IF(INDEX(HwyTransitModelGroup,A50,1)=PARAMETERS!$J$9,0.00000110231131*(C56*VLOOKUP(K56,EmBus1,8)-D56*VLOOKUP(L56,EmBus1,8)+(O56-P56)*VLOOKUP(0,EmBus1,8)),0)</f>
        <v>0</v>
      </c>
      <c r="AR56" s="853">
        <f>IF(INDEX(HwyTransitModelGroup,A50,1)=PARAMETERS!$J$10,0.00000110231131*((C56-D56)*PARAMETERS!$CQ$28),0)</f>
        <v>0</v>
      </c>
      <c r="AS56" s="854">
        <f>IF(INDEX(HwyTransitModelGroup,A50,1)=PARAMETERS!$J$10,0.00000110231131*((C56-D56)*PARAMETERS!$CR$28),0)</f>
        <v>0</v>
      </c>
      <c r="AT56" s="854">
        <f>IF(INDEX(HwyTransitModelGroup,A50,1)=PARAMETERS!$J$10,0.00000110231131*((C56-D56)*PARAMETERS!$CS$28),0)</f>
        <v>0</v>
      </c>
      <c r="AU56" s="854">
        <f>IF(INDEX(HwyTransitModelGroup,A50,1)=PARAMETERS!$J$10,0.00000110231131*((C56-D56)*PARAMETERS!$CT$28),0)</f>
        <v>0</v>
      </c>
      <c r="AV56" s="854">
        <f>IF(INDEX(HwyTransitModelGroup,A50,1)=PARAMETERS!$J$10,0.00000110231131*((C56-D56)*PARAMETERS!$CU$28),0)</f>
        <v>0</v>
      </c>
      <c r="AW56" s="854">
        <f>IF(INDEX(HwyTransitModelGroup,A50,1)=PARAMETERS!$J$10,0.00000110231131*((C56-D56)*PARAMETERS!$CV$28),0)</f>
        <v>0</v>
      </c>
      <c r="AX56" s="855">
        <f>IF(INDEX(HwyTransitModelGroup,A50,1)=PARAMETERS!$J$10,0.00000110231131*((C56-D56)*PARAMETERS!$CW$28),0)</f>
        <v>0</v>
      </c>
      <c r="AY56" s="853">
        <f>IF(INDEX(HwyTransitModelGroup,A50,1)=PARAMETERS!$J$11,0.00000110231131*((C56-D56)*PARAMETERS!$CQ$36),0)</f>
        <v>0</v>
      </c>
      <c r="AZ56" s="854">
        <f>IF(INDEX(HwyTransitModelGroup,A50,1)=PARAMETERS!$J$11,0.00000110231131*((C56-D56)*PARAMETERS!$CR$36),0)</f>
        <v>0</v>
      </c>
      <c r="BA56" s="854">
        <f>IF(INDEX(HwyTransitModelGroup,A50,1)=PARAMETERS!$J$11,0.00000110231131*((C56-D56)*PARAMETERS!$CS$36),0)</f>
        <v>0</v>
      </c>
      <c r="BB56" s="854">
        <f>IF(INDEX(HwyTransitModelGroup,A50,1)=PARAMETERS!$J$11,0.00000110231131*((C56-D56)*PARAMETERS!$CT$36),0)</f>
        <v>0</v>
      </c>
      <c r="BC56" s="854">
        <f>IF(INDEX(HwyTransitModelGroup,A50,1)=PARAMETERS!$J$11,0.00000110231131*((C56-D56)*PARAMETERS!$CU$36),0)</f>
        <v>0</v>
      </c>
      <c r="BD56" s="854">
        <f>IF(INDEX(HwyTransitModelGroup,A50,1)=PARAMETERS!$J$11,0.00000110231131*((C56-D56)*PARAMETERS!$CV$36),0)</f>
        <v>0</v>
      </c>
      <c r="BE56" s="855">
        <f>IF(INDEX(HwyTransitModelGroup,A50,1)=PARAMETERS!$J$11,0.00000110231131*((C56-D56)*PARAMETERS!$CW$36),0)</f>
        <v>0</v>
      </c>
      <c r="BF56" s="832">
        <f>(AD56+AK56+AR56+AY56)*VLOOKUP(ProjLoc,EmCost,2)/(1+DiscRate)^($B56-YearCurrent)</f>
        <v>-0.24216525517640872</v>
      </c>
      <c r="BG56" s="701">
        <f>(AE56+AL56+AS56+AZ56)*VLOOKUP(ProjLoc,EmCost,3)*(1+CO2Uprater)^($B56-YearCurrent)/(1+DiscRate)^($B56-YearCurrent)</f>
        <v>-547.36316149804998</v>
      </c>
      <c r="BH56" s="701">
        <f>(AF56+AM56+AT56+BA56)*VLOOKUP(ProjLoc,EmCost,4)/(1+DiscRate)^($B56-YearCurrent)</f>
        <v>-68.799726244873682</v>
      </c>
      <c r="BI56" s="701">
        <f>(AG56+AN56+AU56+BB56)*VLOOKUP(ProjLoc,EmCost,5)/(1+DiscRate)^($B56-YearCurrent)</f>
        <v>-15.155211854467263</v>
      </c>
      <c r="BJ56" s="701">
        <f>(AH56+AO56+AV56+BC56)*VLOOKUP(ProjLoc,EmCost,6)/(1+DiscRate)^($B56-YearCurrent)</f>
        <v>-7.0919058661818619</v>
      </c>
      <c r="BK56" s="368">
        <f>(AI56+AP56+AW56+BD56)*VLOOKUP(ProjLoc,EmCost,7)/(1+DiscRate)^($B56-YearCurrent)</f>
        <v>-2.8340095706159221E-2</v>
      </c>
      <c r="BL56" s="392"/>
      <c r="BN56" s="77" t="s">
        <v>34</v>
      </c>
      <c r="BO56" s="1778"/>
      <c r="BP56" s="1778"/>
      <c r="BQ56" s="1778"/>
      <c r="BR56" s="1778"/>
      <c r="BS56" s="1778"/>
      <c r="BT56" s="1778"/>
    </row>
    <row r="57" spans="1:72" x14ac:dyDescent="0.25">
      <c r="B57" s="379">
        <f>YearLast</f>
        <v>2046</v>
      </c>
      <c r="C57" s="380">
        <f>INDEX(ModelData20NB,A50,2)*AnnualFactor</f>
        <v>750440</v>
      </c>
      <c r="D57" s="381">
        <f>INDEX(ModelData20B,A50,2)*AnnualFactor</f>
        <v>765040</v>
      </c>
      <c r="E57" s="380">
        <f>IF(INDEX(HwyTransitModelGroup,A50,1)=Hwy,INDEX(ModelData20NB,A50,3),0)*AnnualFactor</f>
        <v>14235</v>
      </c>
      <c r="F57" s="381">
        <f>IF(INDEX(HwyTransitModelGroup,A50,1)=Hwy,INDEX(ModelData20B,A50,3),0)*AnnualFactor</f>
        <v>13870</v>
      </c>
      <c r="G57" s="380">
        <f>IF(INDEX(HwyTransitModelGroup,A50,1)&lt;&gt;Hwy,INDEX(ModelData20NB,A50,4),0)*AnnualFactor</f>
        <v>0</v>
      </c>
      <c r="H57" s="381">
        <f>IF(INDEX(HwyTransitModelGroup,A50,1)&lt;&gt;Hwy,INDEX(ModelData20B,A50,4),0)*AnnualFactor</f>
        <v>0</v>
      </c>
      <c r="I57" s="380">
        <f>IF(INDEX(HwyTransitModelGroup,A50,1)&lt;&gt;Hwy,INDEX(ModelData20NB,A50,5),0)*AnnualFactor</f>
        <v>0</v>
      </c>
      <c r="J57" s="381">
        <f>IF(INDEX(HwyTransitModelGroup,A50,1)&lt;&gt;Hwy,INDEX(ModelData20B,A50,5),0)*AnnualFactor</f>
        <v>0</v>
      </c>
      <c r="K57" s="432">
        <f>IFERROR(IF(INDEX(HwyTransitModelGroup,A50,1)=Hwy,MAX(5,ROUND(C57/E57,1)),MAX(5,ROUND(G57/I57,1))),55)</f>
        <v>52.7</v>
      </c>
      <c r="L57" s="433">
        <f>IFERROR(IF(INDEX(HwyTransitModelGroup,A50,1)=Hwy,MAX(5,ROUND(D57/F57,1)),MAX(5,ROUND(H57/J57,1))),55)</f>
        <v>55.2</v>
      </c>
      <c r="M57" s="805">
        <f>IF(INDEX(HwyTransitModelGroup,A50,1)=Hwy,INDEX(ModelData20NB,A50,9),0)</f>
        <v>0.24</v>
      </c>
      <c r="N57" s="806">
        <f>IF(INDEX(HwyTransitModelGroup,A50,1)=Hwy,INDEX(ModelData20B,A50,9),0)</f>
        <v>0.24</v>
      </c>
      <c r="O57" s="380">
        <f>IF(OR(INDEX(ModelData20NB,A50,8)=0,INDEX(HwyTransitModelGroup,A50,1)&lt;&gt;Hwy),0,INDEX(ModelData20NB,A50,1)*AnnualFactor/INDEX(ModelData20NB,A50,8))</f>
        <v>0</v>
      </c>
      <c r="P57" s="381">
        <f>IF(OR(INDEX(ModelData20B,A50,8)=0,INDEX(HwyTransitModelGroup,A50,1)&lt;&gt;Hwy),0,INDEX(ModelData20B,A50,1)*AnnualFactor/INDEX(ModelData20B,A50,8))</f>
        <v>0</v>
      </c>
      <c r="Q57" s="845">
        <f>IF(INDEX(HwyTransitModelGroup,A50,1)=Hwy,C57*(1-M57)*0.00000110231131*(VLOOKUP(K57,EmAuto20,2)*VLOOKUP(ProjLoc,EmCost,2)+VLOOKUP(K57,EmAuto20,3)*VLOOKUP(ProjLoc,EmCost,3)*(1+CO2Uprater)^($B57-YearCurrent)+VLOOKUP(K57,EmAuto20,4)*VLOOKUP(ProjLoc,EmCost,4)+VLOOKUP(K57,EmAuto20,5)*VLOOKUP(ProjLoc,EmCost,5)+VLOOKUP(K57,EmAuto20,6)*VLOOKUP(ProjLoc,EmCost,6)+VLOOKUP(K57,EmAuto20,7)*VLOOKUP(ProjLoc,EmCost,7))+C57*M57*0.00000110231131*(VLOOKUP(K57,EmTruck20,2)*VLOOKUP(ProjLoc,EmCost,2)+VLOOKUP(K57,EmTruck20,3)*VLOOKUP(ProjLoc,EmCost,3)*(1+CO2Uprater)^($B57-YearCurrent)+VLOOKUP(K57,EmTruck20,4)*VLOOKUP(ProjLoc,EmCost,4)+VLOOKUP(K57,EmTruck20,5)*VLOOKUP(ProjLoc,EmCost,5)+VLOOKUP(K57,EmTruck20,6)*VLOOKUP(ProjLoc,EmCost,6)+VLOOKUP(K57,EmTruck20,7)*VLOOKUP(ProjLoc,EmCost,7)),0)</f>
        <v>22178.929574824841</v>
      </c>
      <c r="R57" s="846">
        <f>IF(INDEX(HwyTransitModelGroup,A50,1)=Hwy,D57*(1-N57)*0.00000110231131*(VLOOKUP(L57,EmAuto20,2)*VLOOKUP(ProjLoc,EmCost,2)+VLOOKUP(L57,EmAuto20,3)*VLOOKUP(ProjLoc,EmCost,3)*(1+CO2Uprater)^($B57-YearCurrent)+VLOOKUP(L57,EmAuto20,4)*VLOOKUP(ProjLoc,EmCost,4)+VLOOKUP(L57,EmAuto20,5)*VLOOKUP(ProjLoc,EmCost,5)+VLOOKUP(L57,EmAuto20,6)*VLOOKUP(ProjLoc,EmCost,6)+VLOOKUP(L57,EmAuto20,7)*VLOOKUP(ProjLoc,EmCost,7))+D57*N57*0.00000110231131*(VLOOKUP(L57,EmTruck20,2)*VLOOKUP(ProjLoc,EmCost,2)+VLOOKUP(L57,EmTruck20,3)*VLOOKUP(ProjLoc,EmCost,3)*(1+CO2Uprater)^($B57-YearCurrent)+VLOOKUP(L57,EmTruck20,4)*VLOOKUP(ProjLoc,EmCost,4)+VLOOKUP(L57,EmTruck20,5)*VLOOKUP(ProjLoc,EmCost,5)+VLOOKUP(L57,EmTruck20,6)*VLOOKUP(ProjLoc,EmCost,6)+VLOOKUP(L57,EmTruck20,7)*VLOOKUP(ProjLoc,EmCost,7)),0)</f>
        <v>24755.208528174542</v>
      </c>
      <c r="S57" s="845">
        <f>IF(INDEX(HwyTransitModelGroup,A50,1)=Hwy,O57*(1-M57)*0.00000110231131*(VLOOKUP(0,EmAuto20,2)*VLOOKUP(ProjLoc,EmCost,2)+VLOOKUP(0,EmAuto20,3)*VLOOKUP(ProjLoc,EmCost,3)*(1+CO2Uprater)^($B57-YearCurrent)+VLOOKUP(0,EmAuto20,4)*VLOOKUP(ProjLoc,EmCost,4)+VLOOKUP(0,EmAuto20,5)*VLOOKUP(ProjLoc,EmCost,5)+VLOOKUP(0,EmAuto20,6)*VLOOKUP(ProjLoc,EmCost,6)+VLOOKUP(0,EmAuto20,7)*VLOOKUP(ProjLoc,EmCost,7))+O57*M57*0.00000110231131*(VLOOKUP(0,EmTruck20,2)*VLOOKUP(ProjLoc,EmCost,2)+VLOOKUP(0,EmTruck20,3)*VLOOKUP(ProjLoc,EmCost,3)*(1+CO2Uprater)^($B57-YearCurrent)+VLOOKUP(0,EmTruck20,4)*VLOOKUP(ProjLoc,EmCost,4)+VLOOKUP(0,EmTruck20,5)*VLOOKUP(ProjLoc,EmCost,5)+VLOOKUP(0,EmTruck20,6)*VLOOKUP(ProjLoc,EmCost,6)+VLOOKUP(0,EmTruck20,7)*VLOOKUP(ProjLoc,EmCost,7)),0)</f>
        <v>0</v>
      </c>
      <c r="T57" s="846">
        <f>IF(INDEX(HwyTransitModelGroup,A50,1)=Hwy,P57*(1-N57)*0.00000110231131*(VLOOKUP(0,EmAuto20,2)*VLOOKUP(ProjLoc,EmCost,2)+VLOOKUP(0,EmAuto20,3)*VLOOKUP(ProjLoc,EmCost,3)*(1+CO2Uprater)^($B57-YearCurrent)+VLOOKUP(0,EmAuto20,4)*VLOOKUP(ProjLoc,EmCost,4)+VLOOKUP(0,EmAuto20,5)*VLOOKUP(ProjLoc,EmCost,5)+VLOOKUP(0,EmAuto20,6)*VLOOKUP(ProjLoc,EmCost,6)+VLOOKUP(0,EmAuto20,7)*VLOOKUP(ProjLoc,EmCost,7))+P57*N57*0.00000110231131*(VLOOKUP(0,EmTruck20,2)*VLOOKUP(ProjLoc,EmCost,2)+VLOOKUP(0,EmTruck20,3)*VLOOKUP(ProjLoc,EmCost,3)*(1+CO2Uprater)^($B57-YearCurrent)+VLOOKUP(0,EmTruck20,4)*VLOOKUP(ProjLoc,EmCost,4)+VLOOKUP(0,EmTruck20,5)*VLOOKUP(ProjLoc,EmCost,5)+VLOOKUP(0,EmTruck20,6)*VLOOKUP(ProjLoc,EmCost,6)+VLOOKUP(0,EmTruck20,7)*VLOOKUP(ProjLoc,EmCost,7)),0)</f>
        <v>0</v>
      </c>
      <c r="U57" s="845">
        <f>IF(INDEX(HwyTransitModelGroup,A50,1)=PARAMETERS!$J$9,C57*0.00000110231131*(VLOOKUP(K57,EmBus20,2)*VLOOKUP(ProjLoc,EmCost,2)+VLOOKUP(K57,EmBus20,3)*VLOOKUP(ProjLoc,EmCost,3)*(1+CO2Uprater)^($B57-YearCurrent)+VLOOKUP(K57,EmBus20,4)*VLOOKUP(ProjLoc,EmCost,4)+VLOOKUP(K57,EmBus20,5)*VLOOKUP(ProjLoc,EmCost,5)+VLOOKUP(K57,EmBus20,6)*VLOOKUP(ProjLoc,EmCost,6)+VLOOKUP(K57,EmBus20,7)*VLOOKUP(ProjLoc,EmCost,7)),0)</f>
        <v>0</v>
      </c>
      <c r="V57" s="846">
        <f>IF(INDEX(HwyTransitModelGroup,A50,1)=PARAMETERS!$J$9,D57*0.00000110231131*(VLOOKUP(L57,EmBus20,2)*VLOOKUP(ProjLoc,EmCost,2)+VLOOKUP(L57,EmBus20,3)*VLOOKUP(ProjLoc,EmCost,3)*(1+CO2Uprater)^($B57-YearCurrent)+VLOOKUP(L57,EmBus20,4)*VLOOKUP(ProjLoc,EmCost,4)+VLOOKUP(L57,EmBus20,5)*VLOOKUP(ProjLoc,EmCost,5)+VLOOKUP(L57,EmBus20,6)*VLOOKUP(ProjLoc,EmCost,6)+VLOOKUP(L57,EmBus20,7)*VLOOKUP(ProjLoc,EmCost,7)),0)</f>
        <v>0</v>
      </c>
      <c r="W57" s="845">
        <f>IF(INDEX(HwyTransitModelGroup,A50,1)=PARAMETERS!$J$10,C57*0.00000110231131*(PARAMETERS!$CQ$29*VLOOKUP(ProjLoc,EmCost,2)+PARAMETERS!$CR$29*VLOOKUP(ProjLoc,EmCost,3)*(1+CO2Uprater)^($B57-YearCurrent)+PARAMETERS!$CS$29*VLOOKUP(ProjLoc,EmCost,4)+PARAMETERS!$CT$29*VLOOKUP(ProjLoc,EmCost,5)+PARAMETERS!$CU$29*VLOOKUP(ProjLoc,EmCost,6)+PARAMETERS!$CV$29*VLOOKUP(ProjLoc,EmCost,7)),0)</f>
        <v>0</v>
      </c>
      <c r="X57" s="846">
        <f>IF(INDEX(HwyTransitModelGroup,A50,1)=PARAMETERS!$J$10,D57*0.00000110231131*(PARAMETERS!$CQ$29*VLOOKUP(ProjLoc,EmCost,2)+PARAMETERS!$CR$29*VLOOKUP(ProjLoc,EmCost,3)*(1+CO2Uprater)^($B57-YearCurrent)+PARAMETERS!$CS$29*VLOOKUP(ProjLoc,EmCost,4)+PARAMETERS!$CT$29*VLOOKUP(ProjLoc,EmCost,5)+PARAMETERS!$CU$29*VLOOKUP(ProjLoc,EmCost,6)+PARAMETERS!$CV$29*VLOOKUP(ProjLoc,EmCost,7)),0)</f>
        <v>0</v>
      </c>
      <c r="Y57" s="845">
        <f>IF(INDEX(HwyTransitModelGroup,A50,1)=PARAMETERS!$J$11,C57*0.00000110231131*(PARAMETERS!$CQ$37*VLOOKUP(ProjLoc,EmCost,2)+PARAMETERS!$CR$37*VLOOKUP(ProjLoc,EmCost,3)*(1+CO2Uprater)^($B57-YearCurrent)+PARAMETERS!$CS$37*VLOOKUP(ProjLoc,EmCost,4)+PARAMETERS!$CT$37*VLOOKUP(ProjLoc,EmCost,5)+PARAMETERS!$CU$37*VLOOKUP(ProjLoc,EmCost,6)+PARAMETERS!$CV$37*VLOOKUP(ProjLoc,EmCost,7)),0)</f>
        <v>0</v>
      </c>
      <c r="Z57" s="846">
        <f>IF(INDEX(HwyTransitModelGroup,A50,1)=PARAMETERS!$J$11,D57*0.00000110231131*(PARAMETERS!$CQ$37*VLOOKUP(ProjLoc,EmCost,2)+PARAMETERS!$CR$37*VLOOKUP(ProjLoc,EmCost,3)*(1+CO2Uprater)^($B57-YearCurrent)+PARAMETERS!$CS$37*VLOOKUP(ProjLoc,EmCost,4)+PARAMETERS!$CT$37*VLOOKUP(ProjLoc,EmCost,5)+PARAMETERS!$CU$37*VLOOKUP(ProjLoc,EmCost,6)+PARAMETERS!$CV$37*VLOOKUP(ProjLoc,EmCost,7)),0)</f>
        <v>0</v>
      </c>
      <c r="AA57" s="369">
        <f>(Q57+S57+U57+W57+Y57)-(R57+T57+V57+X57+Z57)</f>
        <v>-2576.2789533497016</v>
      </c>
      <c r="AB57" s="370">
        <f>AA57/(1+DiscRate)^(B57-YearCurrent)</f>
        <v>-1005.0617436025182</v>
      </c>
      <c r="AC57" s="371"/>
      <c r="AD57" s="856">
        <f>IF(INDEX(HwyTransitModelGroup,A50,1)=Hwy,0.00000110231131*(C57*(1-M57)*VLOOKUP(K57,EmAuto20,2)-D57*(1-N57)*VLOOKUP(L57,EmAuto20,2)+(O57*(1-M57)-P57*(1-N57))*VLOOKUP(0,EmAuto20,2))+0.00000110231131*(C57*M57*VLOOKUP(K57,EmTruck20,2)-D57*N57*VLOOKUP(L57,EmTruck20,2)+(O57*M57-P57*N57)*VLOOKUP(0,EmTruck20,2)),0)</f>
        <v>-2.8604378837146852E-4</v>
      </c>
      <c r="AE57" s="857">
        <f>IF(INDEX(HwyTransitModelGroup,A50,1)=Hwy,0.00000110231131*(C57*(1-M57)*VLOOKUP(K57,EmAuto20,3)-D57*(1-N57)*VLOOKUP(L57,EmAuto20,3)+(O57*(1-M57)-P57*(1-N57))*VLOOKUP(0,EmAuto20,3))+0.00000110231131*(C57*M57*VLOOKUP(K57,EmTruck20,3)-D57*N57*VLOOKUP(L57,EmTruck20,3)+(O57*M57-P57*N57)*VLOOKUP(0,EmTruck20,3)),0)</f>
        <v>-29.731125983911333</v>
      </c>
      <c r="AF57" s="857">
        <f>IF(INDEX(HwyTransitModelGroup,A50,1)=Hwy,0.00000110231131*(C57*(1-M57)*VLOOKUP(K57,EmAuto20,4)-D57*(1-N57)*VLOOKUP(L57,EmAuto20,4)+(O57*(1-M57)-P57*(1-N57))*VLOOKUP(0,EmAuto20,4))+0.00000110231131*(C57*M57*VLOOKUP(K57,EmTruck20,4)-D57*N57*VLOOKUP(L57,EmTruck20,4)+(O57*M57-P57*N57)*VLOOKUP(0,EmTruck20,4)),0)</f>
        <v>-1.3573426014280101E-2</v>
      </c>
      <c r="AG57" s="857">
        <f>IF(INDEX(HwyTransitModelGroup,A50,1)=Hwy,0.00000110231131*(C57*(1-M57)*VLOOKUP(K57,EmAuto20,5)-D57*(1-N57)*VLOOKUP(L57,EmAuto20,5)+(O57*(1-M57)-P57*(1-N57))*VLOOKUP(0,EmAuto20,5))+0.00000110231131*(C57*M57*VLOOKUP(K57,EmTruck20,5)-D57*N57*VLOOKUP(L57,EmTruck20,5)+(O57*M57-P57*N57)*VLOOKUP(0,EmTruck20,5)),0)</f>
        <v>-4.783576051291233E-4</v>
      </c>
      <c r="AH57" s="857">
        <f>IF(INDEX(HwyTransitModelGroup,A50,1)=Hwy,0.00000110231131*(C57*(1-M57)*VLOOKUP(K57,EmAuto20,6)-D57*(1-N57)*VLOOKUP(L57,EmAuto20,6)+(O57*(1-M57)-P57*(1-N57))*VLOOKUP(0,EmAuto20,6))+0.00000110231131*(C57*M57*VLOOKUP(K57,EmTruck20,6)-D57*N57*VLOOKUP(L57,EmTruck20,6)+(O57*M57-P57*N57)*VLOOKUP(0,EmTruck20,6)),0)</f>
        <v>-3.3992564705332187E-4</v>
      </c>
      <c r="AI57" s="857">
        <f>IF(INDEX(HwyTransitModelGroup,A50,1)=Hwy,0.00000110231131*(C57*(1-M57)*VLOOKUP(K57,EmAuto20,7)-D57*(1-N57)*VLOOKUP(L57,EmAuto20,7)+(O57*(1-M57)-P57*(1-N57))*VLOOKUP(0,EmAuto20,7))+0.00000110231131*(C57*M57*VLOOKUP(K57,EmTruck20,7)-D57*N57*VLOOKUP(L57,EmTruck20,7)+(O57*M57-P57*N57)*VLOOKUP(0,EmTruck20,7)),0)</f>
        <v>-2.357411786056552E-5</v>
      </c>
      <c r="AJ57" s="858">
        <f>IF(INDEX(HwyTransitModelGroup,A50,1)=Hwy,0.00000110231131*(C57*(1-M57)*VLOOKUP(K57,EmAuto20,8)-D57*(1-N57)*VLOOKUP(L57,EmAuto20,8)+(O57*(1-M57)-P57*(1-N57))*VLOOKUP(0,EmAuto20,8))+0.00000110231131*(C57*M57*VLOOKUP(K57,EmTruck20,8)-D57*N57*VLOOKUP(L57,EmTruck20,8)+(O57*M57-P57*N57)*VLOOKUP(0,EmTruck20,8)),0)</f>
        <v>-4.5695936160959383E-4</v>
      </c>
      <c r="AK57" s="856">
        <f>IF(INDEX(HwyTransitModelGroup,A50,1)=PARAMETERS!$J$9,0.00000110231131*(C57*VLOOKUP(K57,EmBus20,2)-D57*VLOOKUP(L57,EmBus20,2)+(O57-P57)*VLOOKUP(0,EmBus20,2)),0)</f>
        <v>0</v>
      </c>
      <c r="AL57" s="857">
        <f>IF(INDEX(HwyTransitModelGroup,A50,1)=PARAMETERS!$J$9,0.00000110231131*(C57*VLOOKUP(K57,EmBus20,3)-D57*VLOOKUP(L57,EmBus20,3)+(O57-P57)*VLOOKUP(0,EmBus20,3)),0)</f>
        <v>0</v>
      </c>
      <c r="AM57" s="857">
        <f>IF(INDEX(HwyTransitModelGroup,A50,1)=PARAMETERS!$J$9,0.00000110231131*(C57*VLOOKUP(K57,EmBus20,4)-D57*VLOOKUP(L57,EmBus20,4)+(O57-P57)*VLOOKUP(0,EmBus20,4)),0)</f>
        <v>0</v>
      </c>
      <c r="AN57" s="857">
        <f>IF(INDEX(HwyTransitModelGroup,A50,1)=PARAMETERS!$J$9,0.00000110231131*(C57*VLOOKUP(K57,EmBus20,5)-D57*VLOOKUP(L57,EmBus20,5)+(O57-P57)*VLOOKUP(0,EmBus20,5)),0)</f>
        <v>0</v>
      </c>
      <c r="AO57" s="857">
        <f>IF(INDEX(HwyTransitModelGroup,A50,1)=PARAMETERS!$J$9,0.00000110231131*(C57*VLOOKUP(K57,EmBus20,6)-D57*VLOOKUP(L57,EmBus20,6)+(O57-P57)*VLOOKUP(0,EmBus20,6)),0)</f>
        <v>0</v>
      </c>
      <c r="AP57" s="857">
        <f>IF(INDEX(HwyTransitModelGroup,A50,1)=PARAMETERS!$J$9,0.00000110231131*(C57*VLOOKUP(K57,EmBus20,7)-D57*VLOOKUP(L57,EmBus20,7)+(O57-P57)*VLOOKUP(0,EmBus20,7)),0)</f>
        <v>0</v>
      </c>
      <c r="AQ57" s="858">
        <f>IF(INDEX(HwyTransitModelGroup,A50,1)=PARAMETERS!$J$9,0.00000110231131*(C57*VLOOKUP(K57,EmBus20,8)-D57*VLOOKUP(L57,EmBus20,8)+(O57-P57)*VLOOKUP(0,EmBus20,8)),0)</f>
        <v>0</v>
      </c>
      <c r="AR57" s="856">
        <f>IF(INDEX(HwyTransitModelGroup,A50,1)=PARAMETERS!$J$10,0.00000110231131*((C57-D57)*PARAMETERS!$CQ$29),0)</f>
        <v>0</v>
      </c>
      <c r="AS57" s="857">
        <f>IF(INDEX(HwyTransitModelGroup,A50,1)=PARAMETERS!$J$10,0.00000110231131*((C57-D57)*PARAMETERS!$CR$29),0)</f>
        <v>0</v>
      </c>
      <c r="AT57" s="857">
        <f>IF(INDEX(HwyTransitModelGroup,A50,1)=PARAMETERS!$J$10,0.00000110231131*((C57-D57)*PARAMETERS!$CS$29),0)</f>
        <v>0</v>
      </c>
      <c r="AU57" s="857">
        <f>IF(INDEX(HwyTransitModelGroup,A50,1)=PARAMETERS!$J$10,0.00000110231131*((C57-D57)*PARAMETERS!$CT$29),0)</f>
        <v>0</v>
      </c>
      <c r="AV57" s="857">
        <f>IF(INDEX(HwyTransitModelGroup,A50,1)=PARAMETERS!$J$10,0.00000110231131*((C57-D57)*PARAMETERS!$CU$29),0)</f>
        <v>0</v>
      </c>
      <c r="AW57" s="857">
        <f>IF(INDEX(HwyTransitModelGroup,A50,1)=PARAMETERS!$J$10,0.00000110231131*((C57-D57)*PARAMETERS!$CV$29),0)</f>
        <v>0</v>
      </c>
      <c r="AX57" s="858">
        <f>IF(INDEX(HwyTransitModelGroup,A50,1)=PARAMETERS!$J$10,0.00000110231131*((C57-D57)*PARAMETERS!$CW$29),0)</f>
        <v>0</v>
      </c>
      <c r="AY57" s="856">
        <f>IF(INDEX(HwyTransitModelGroup,A50,1)=PARAMETERS!$J$11,0.00000110231131*((C57-D57)*PARAMETERS!$CQ$37),0)</f>
        <v>0</v>
      </c>
      <c r="AZ57" s="857">
        <f>IF(INDEX(HwyTransitModelGroup,A50,1)=PARAMETERS!$J$11,0.00000110231131*((C57-D57)*PARAMETERS!$CR$37),0)</f>
        <v>0</v>
      </c>
      <c r="BA57" s="857">
        <f>IF(INDEX(HwyTransitModelGroup,A50,1)=PARAMETERS!$J$11,0.00000110231131*((C57-D57)*PARAMETERS!$CS$37),0)</f>
        <v>0</v>
      </c>
      <c r="BB57" s="857">
        <f>IF(INDEX(HwyTransitModelGroup,A50,1)=PARAMETERS!$J$11,0.00000110231131*((C57-D57)*PARAMETERS!$CT$37),0)</f>
        <v>0</v>
      </c>
      <c r="BC57" s="857">
        <f>IF(INDEX(HwyTransitModelGroup,A50,1)=PARAMETERS!$J$11,0.00000110231131*((C57-D57)*PARAMETERS!$CU$37),0)</f>
        <v>0</v>
      </c>
      <c r="BD57" s="857">
        <f>IF(INDEX(HwyTransitModelGroup,A50,1)=PARAMETERS!$J$11,0.00000110231131*((C57-D57)*PARAMETERS!$CV$37),0)</f>
        <v>0</v>
      </c>
      <c r="BE57" s="858">
        <f>IF(INDEX(HwyTransitModelGroup,A50,1)=PARAMETERS!$J$11,0.00000110231131*((C57-D57)*PARAMETERS!$CW$37),0)</f>
        <v>0</v>
      </c>
      <c r="BF57" s="859">
        <f>(AD57+AK57+AR57+AY57)*VLOOKUP(ProjLoc,EmCost,2)/(1+DiscRate)^($B57-YearCurrent)</f>
        <v>-8.9273459557164345E-3</v>
      </c>
      <c r="BG57" s="702">
        <f>(AE57+AL57+AS57+AZ57)*VLOOKUP(ProjLoc,EmCost,3)*(1+CO2Uprater)^($B57-YearCurrent)/(1+DiscRate)^($B57-YearCurrent)</f>
        <v>-895.48140852897689</v>
      </c>
      <c r="BH57" s="702">
        <f>(AF57+AM57+AT57+BA57)*VLOOKUP(ProjLoc,EmCost,4)/(1+DiscRate)^($B57-YearCurrent)</f>
        <v>-79.958803025736458</v>
      </c>
      <c r="BI57" s="702">
        <f>(AG57+AN57+AU57+BB57)*VLOOKUP(ProjLoc,EmCost,5)/(1+DiscRate)^($B57-YearCurrent)</f>
        <v>-21.778270906420552</v>
      </c>
      <c r="BJ57" s="702">
        <f>(AH57+AO57+AV57+BC57)*VLOOKUP(ProjLoc,EmCost,6)/(1+DiscRate)^($B57-YearCurrent)</f>
        <v>-7.8241253811534808</v>
      </c>
      <c r="BK57" s="384">
        <f>(AI57+AP57+AW57+BD57)*VLOOKUP(ProjLoc,EmCost,7)/(1+DiscRate)^($B57-YearCurrent)</f>
        <v>-1.020841427389978E-2</v>
      </c>
      <c r="BL57" s="392"/>
      <c r="BN57" s="355"/>
      <c r="BO57" s="1779"/>
      <c r="BP57" s="1779"/>
      <c r="BQ57" s="1779"/>
      <c r="BR57" s="1779"/>
      <c r="BS57" s="1779"/>
      <c r="BT57" s="1779"/>
    </row>
    <row r="58" spans="1:72" x14ac:dyDescent="0.25">
      <c r="B58" s="385"/>
      <c r="C58" s="388"/>
      <c r="D58" s="388"/>
      <c r="E58" s="388"/>
      <c r="F58" s="388"/>
      <c r="G58" s="388"/>
      <c r="H58" s="388"/>
      <c r="I58" s="388"/>
      <c r="J58" s="388"/>
      <c r="K58" s="434"/>
      <c r="L58" s="434"/>
      <c r="M58" s="434"/>
      <c r="N58" s="434"/>
      <c r="O58" s="386"/>
      <c r="P58" s="386"/>
      <c r="Q58" s="386"/>
      <c r="R58" s="386"/>
      <c r="S58" s="386"/>
      <c r="T58" s="386"/>
      <c r="U58" s="386"/>
      <c r="V58" s="386"/>
      <c r="W58" s="842"/>
      <c r="X58" s="843"/>
      <c r="Y58" s="388"/>
      <c r="Z58" s="388"/>
      <c r="AA58" s="388"/>
      <c r="AB58" s="389"/>
      <c r="AC58" s="390"/>
      <c r="AD58" s="847"/>
      <c r="AE58" s="389"/>
      <c r="AF58" s="389"/>
      <c r="AG58" s="389"/>
      <c r="AH58" s="389"/>
      <c r="AI58" s="389"/>
      <c r="AJ58" s="848"/>
      <c r="AK58" s="847"/>
      <c r="AL58" s="389"/>
      <c r="AM58" s="389"/>
      <c r="AN58" s="389"/>
      <c r="AO58" s="389"/>
      <c r="AP58" s="389"/>
      <c r="AQ58" s="848"/>
      <c r="AR58" s="847"/>
      <c r="AS58" s="389"/>
      <c r="AT58" s="389"/>
      <c r="AU58" s="389"/>
      <c r="AV58" s="389"/>
      <c r="AW58" s="389"/>
      <c r="AX58" s="848"/>
      <c r="AY58" s="847"/>
      <c r="AZ58" s="389"/>
      <c r="BA58" s="389"/>
      <c r="BB58" s="389"/>
      <c r="BC58" s="389"/>
      <c r="BD58" s="389"/>
      <c r="BE58" s="848"/>
      <c r="BF58" s="388"/>
      <c r="BG58" s="388"/>
      <c r="BH58" s="388"/>
      <c r="BI58" s="388"/>
      <c r="BJ58" s="388"/>
      <c r="BK58" s="388"/>
      <c r="BL58" s="392"/>
      <c r="BN58" s="375">
        <f>YearOpen</f>
        <v>2026</v>
      </c>
      <c r="BO58" s="870">
        <f t="shared" ref="BO58:BO77" ca="1" si="17">OFFSET($AD9,MATCH(BO$54,$A:$A),0)+OFFSET($AK9,MATCH(BO$54,$A:$A),0)+OFFSET($AR9,MATCH(BO$54,$A:$A),0)+OFFSET($AY9,MATCH(BO$54,$A:$A),0)</f>
        <v>2.5741787610334639E-2</v>
      </c>
      <c r="BP58" s="870">
        <f t="shared" ref="BP58:BT67" ca="1" si="18">OFFSET($AD9,MATCH(BP$54,$A:$A),0)+OFFSET($AK9,MATCH(BP$54,$A:$A),0)+OFFSET($AR9,MATCH(BP$54,$A:$A),0)+OFFSET($AY9,MATCH(BP$54,$A:$A),0)</f>
        <v>-3.5412387087838258E-3</v>
      </c>
      <c r="BQ58" s="870">
        <f t="shared" ca="1" si="18"/>
        <v>6.5178983776132154E-2</v>
      </c>
      <c r="BR58" s="870">
        <f t="shared" ca="1" si="18"/>
        <v>0.30446341602745353</v>
      </c>
      <c r="BS58" s="870">
        <f t="shared" ca="1" si="18"/>
        <v>0.89092857977551554</v>
      </c>
      <c r="BT58" s="870">
        <f t="shared" ca="1" si="18"/>
        <v>1.3243327079250757</v>
      </c>
    </row>
    <row r="59" spans="1:72" x14ac:dyDescent="0.25">
      <c r="B59" s="375">
        <f>YearOpen</f>
        <v>2026</v>
      </c>
      <c r="C59" s="393">
        <f>MAX(TREND(C56:C57,B56:B57,B59),0)</f>
        <v>542390</v>
      </c>
      <c r="D59" s="394">
        <f>MAX(TREND(D56:D57,B56:B57,B59),0)</f>
        <v>552975</v>
      </c>
      <c r="E59" s="393">
        <f>MAX(TREND(E56:E57,B56:B57,B59),0)</f>
        <v>10220</v>
      </c>
      <c r="F59" s="394">
        <f>MAX(TREND(F56:F57,B56:B57,B59),0)</f>
        <v>10220</v>
      </c>
      <c r="G59" s="393">
        <f>MAX(TREND(G56:G57,B56:B57,B59),0)</f>
        <v>0</v>
      </c>
      <c r="H59" s="394">
        <f>MAX(TREND(H56:H57,B56:B57,B59),0)</f>
        <v>0</v>
      </c>
      <c r="I59" s="393">
        <f>MAX(TREND(I56:I57,B56:B57,B59),0)</f>
        <v>0</v>
      </c>
      <c r="J59" s="394">
        <f>MAX(TREND(J56:J57,B56:B57,B59),0)</f>
        <v>0</v>
      </c>
      <c r="K59" s="435">
        <f>IFERROR(IF(INDEX(HwyTransitModelGroup,A50,1)=Hwy,MAX(5,ROUND(C59/E59,1)),MAX(5,ROUND(G59/I59,1))),55)</f>
        <v>53.1</v>
      </c>
      <c r="L59" s="436">
        <f>IFERROR(IF(INDEX(HwyTransitModelGroup,A50,1)=Hwy,MAX(5,ROUND(D59/F59,1)),MAX(5,ROUND(H59/J59,1))),55)</f>
        <v>54.1</v>
      </c>
      <c r="M59" s="397">
        <f>MIN(MAX(TREND(M56:M57,B56:B57,B59),0),1)</f>
        <v>0.24</v>
      </c>
      <c r="N59" s="398">
        <f>MIN(MAX(TREND(N56:N57,B56:B57,B59),0),1)</f>
        <v>0.24</v>
      </c>
      <c r="O59" s="393">
        <f>MAX(TREND(O56:O57,B56:B57,B59),0)</f>
        <v>0</v>
      </c>
      <c r="P59" s="394">
        <f>MAX(TREND(P56:P57,B56:B57,B59),0)</f>
        <v>0</v>
      </c>
      <c r="Q59" s="727">
        <f>IF(INDEX(HwyTransitModelGroup,A50,1)=Hwy,C59*(1-M59)*0.00000110231131*(VLOOKUP(K59,EmAuto1,2)*VLOOKUP(ProjLoc,EmCost,2)+VLOOKUP(K59,EmAuto1,3)*VLOOKUP(ProjLoc,EmCost,3)*(1+CO2Uprater)^($B59-YearCurrent)+VLOOKUP(K59,EmAuto1,4)*VLOOKUP(ProjLoc,EmCost,4)+VLOOKUP(K59,EmAuto1,5)*VLOOKUP(ProjLoc,EmCost,5)+VLOOKUP(K59,EmAuto1,6)*VLOOKUP(ProjLoc,EmCost,6)+VLOOKUP(K59,EmAuto1,7)*VLOOKUP(ProjLoc,EmCost,7))+C59*M59*0.00000110231131*(VLOOKUP(K59,EmTruck1,2)*VLOOKUP(ProjLoc,EmCost,2)+VLOOKUP(K59,EmTruck1,3)*VLOOKUP(ProjLoc,EmCost,3)*(1+CO2Uprater)^($B59-YearCurrent)+VLOOKUP(K59,EmTruck1,4)*VLOOKUP(ProjLoc,EmCost,4)+VLOOKUP(K59,EmTruck1,5)*VLOOKUP(ProjLoc,EmCost,5)+VLOOKUP(K59,EmTruck1,6)*VLOOKUP(ProjLoc,EmCost,6)+VLOOKUP(K59,EmTruck1,7)*VLOOKUP(ProjLoc,EmCost,7)),0)</f>
        <v>17231.547504565966</v>
      </c>
      <c r="R59" s="801">
        <f>IF(INDEX(HwyTransitModelGroup,A50,1)=Hwy,D59*(1-N59)*0.00000110231131*(VLOOKUP(L59,EmAuto1,2)*VLOOKUP(ProjLoc,EmCost,2)+VLOOKUP(L59,EmAuto1,3)*VLOOKUP(ProjLoc,EmCost,3)*(1+CO2Uprater)^($B59-YearCurrent)+VLOOKUP(L59,EmAuto1,4)*VLOOKUP(ProjLoc,EmCost,4)+VLOOKUP(L59,EmAuto1,5)*VLOOKUP(ProjLoc,EmCost,5)+VLOOKUP(L59,EmAuto1,6)*VLOOKUP(ProjLoc,EmCost,6)+VLOOKUP(L59,EmAuto1,7)*VLOOKUP(ProjLoc,EmCost,7))+D59*N59*0.00000110231131*(VLOOKUP(L59,EmTruck1,2)*VLOOKUP(ProjLoc,EmCost,2)+VLOOKUP(L59,EmTruck1,3)*VLOOKUP(ProjLoc,EmCost,3)*(1+CO2Uprater)^($B59-YearCurrent)+VLOOKUP(L59,EmTruck1,4)*VLOOKUP(ProjLoc,EmCost,4)+VLOOKUP(L59,EmTruck1,5)*VLOOKUP(ProjLoc,EmCost,5)+VLOOKUP(L59,EmTruck1,6)*VLOOKUP(ProjLoc,EmCost,6)+VLOOKUP(L59,EmTruck1,7)*VLOOKUP(ProjLoc,EmCost,7)),0)</f>
        <v>17978.713367247427</v>
      </c>
      <c r="S59" s="727">
        <f>IF(INDEX(HwyTransitModelGroup,A50,1)=Hwy,O59*(1-M59)*0.00000110231131*(VLOOKUP(0,EmAuto1,2)*VLOOKUP(ProjLoc,EmCost,2)+VLOOKUP(0,EmAuto1,3)*VLOOKUP(ProjLoc,EmCost,3)*(1+CO2Uprater)^($B59-YearCurrent)+VLOOKUP(0,EmAuto1,4)*VLOOKUP(ProjLoc,EmCost,4)+VLOOKUP(0,EmAuto1,5)*VLOOKUP(ProjLoc,EmCost,5)+VLOOKUP(0,EmAuto1,6)*VLOOKUP(ProjLoc,EmCost,6)+VLOOKUP(0,EmAuto1,7)*VLOOKUP(ProjLoc,EmCost,7))+O59*M59*0.00000110231131*(VLOOKUP(0,EmTruck1,2)*VLOOKUP(ProjLoc,EmCost,2)+VLOOKUP(0,EmTruck1,3)*VLOOKUP(ProjLoc,EmCost,3)*(1+CO2Uprater)^($B59-YearCurrent)+VLOOKUP(0,EmTruck1,4)*VLOOKUP(ProjLoc,EmCost,4)+VLOOKUP(0,EmTruck1,5)*VLOOKUP(ProjLoc,EmCost,5)+VLOOKUP(0,EmTruck1,6)*VLOOKUP(ProjLoc,EmCost,6)+VLOOKUP(0,EmTruck1,7)*VLOOKUP(ProjLoc,EmCost,7)),0)</f>
        <v>0</v>
      </c>
      <c r="T59" s="801">
        <f>IF(INDEX(HwyTransitModelGroup,A50,1)=Hwy,P59*(1-N59)*0.00000110231131*(VLOOKUP(0,EmAuto1,2)*VLOOKUP(ProjLoc,EmCost,2)+VLOOKUP(0,EmAuto1,3)*VLOOKUP(ProjLoc,EmCost,3)*(1+CO2Uprater)^($B59-YearCurrent)+VLOOKUP(0,EmAuto1,4)*VLOOKUP(ProjLoc,EmCost,4)+VLOOKUP(0,EmAuto1,5)*VLOOKUP(ProjLoc,EmCost,5)+VLOOKUP(0,EmAuto1,6)*VLOOKUP(ProjLoc,EmCost,6)+VLOOKUP(0,EmAuto1,7)*VLOOKUP(ProjLoc,EmCost,7))+P59*N59*0.00000110231131*(VLOOKUP(0,EmTruck1,2)*VLOOKUP(ProjLoc,EmCost,2)+VLOOKUP(0,EmTruck1,3)*VLOOKUP(ProjLoc,EmCost,3)*(1+CO2Uprater)^($B59-YearCurrent)+VLOOKUP(0,EmTruck1,4)*VLOOKUP(ProjLoc,EmCost,4)+VLOOKUP(0,EmTruck1,5)*VLOOKUP(ProjLoc,EmCost,5)+VLOOKUP(0,EmTruck1,6)*VLOOKUP(ProjLoc,EmCost,6)+VLOOKUP(0,EmTruck1,7)*VLOOKUP(ProjLoc,EmCost,7)),0)</f>
        <v>0</v>
      </c>
      <c r="U59" s="727">
        <f>IF(INDEX(HwyTransitModelGroup,A50,1)=PARAMETERS!$J$9,C59*0.00000110231131*(VLOOKUP(K59,EmBus1,2)*VLOOKUP(ProjLoc,EmCost,2)+VLOOKUP(K59,EmBus1,3)*VLOOKUP(ProjLoc,EmCost,3)*(1+CO2Uprater)^($B59-YearCurrent)+VLOOKUP(K59,EmBus1,4)*VLOOKUP(ProjLoc,EmCost,4)+VLOOKUP(K59,EmBus1,5)*VLOOKUP(ProjLoc,EmCost,5)+VLOOKUP(K59,EmBus1,6)*VLOOKUP(ProjLoc,EmCost,6)+VLOOKUP(K59,EmBus1,7)*VLOOKUP(ProjLoc,EmCost,7)),0)</f>
        <v>0</v>
      </c>
      <c r="V59" s="801">
        <f>IF(INDEX(HwyTransitModelGroup,A50,1)=PARAMETERS!$J$9,D59*0.00000110231131*(VLOOKUP(L59,EmBus1,2)*VLOOKUP(ProjLoc,EmCost,2)+VLOOKUP(L59,EmBus1,3)*VLOOKUP(ProjLoc,EmCost,3)*(1+CO2Uprater)^($B59-YearCurrent)+VLOOKUP(L59,EmBus1,4)*VLOOKUP(ProjLoc,EmCost,4)+VLOOKUP(L59,EmBus1,5)*VLOOKUP(ProjLoc,EmCost,5)+VLOOKUP(L59,EmBus1,6)*VLOOKUP(ProjLoc,EmCost,6)+VLOOKUP(L59,EmBus1,7)*VLOOKUP(ProjLoc,EmCost,7)),0)</f>
        <v>0</v>
      </c>
      <c r="W59" s="808">
        <f>IF(INDEX(HwyTransitModelGroup,A50,1)=PARAMETERS!$J$10,C59*0.00000110231131*(PARAMETERS!$CQ$28*VLOOKUP(ProjLoc,EmCost,2)+PARAMETERS!$CR$28*VLOOKUP(ProjLoc,EmCost,3)*(1+CO2Uprater)^($B59-YearCurrent)+PARAMETERS!$CS$28*VLOOKUP(ProjLoc,EmCost,4)+PARAMETERS!$CT$28*VLOOKUP(ProjLoc,EmCost,5)+PARAMETERS!$CU$28*VLOOKUP(ProjLoc,EmCost,6)+PARAMETERS!$CV$28*VLOOKUP(ProjLoc,EmCost,7)),0)</f>
        <v>0</v>
      </c>
      <c r="X59" s="844">
        <f>IF(INDEX(HwyTransitModelGroup,A50,1)=PARAMETERS!$J$10,D59*0.00000110231131*(PARAMETERS!$CQ$28*VLOOKUP(ProjLoc,EmCost,2)+PARAMETERS!$CR$28*VLOOKUP(ProjLoc,EmCost,3)*(1+CO2Uprater)^($B59-YearCurrent)+PARAMETERS!$CS$28*VLOOKUP(ProjLoc,EmCost,4)+PARAMETERS!$CT$28*VLOOKUP(ProjLoc,EmCost,5)+PARAMETERS!$CU$28*VLOOKUP(ProjLoc,EmCost,6)+PARAMETERS!$CV$28*VLOOKUP(ProjLoc,EmCost,7)),0)</f>
        <v>0</v>
      </c>
      <c r="Y59" s="808">
        <f>IF(INDEX(HwyTransitModelGroup,A50,1)=PARAMETERS!$J$11,C59*0.00000110231131*(PARAMETERS!$CQ$36*VLOOKUP(ProjLoc,EmCost,2)+PARAMETERS!$CR$36*VLOOKUP(ProjLoc,EmCost,3)*(1+CO2Uprater)^($B59-YearCurrent)+PARAMETERS!$CS$36*VLOOKUP(ProjLoc,EmCost,4)+PARAMETERS!$CT$36*VLOOKUP(ProjLoc,EmCost,5)+PARAMETERS!$CU$36*VLOOKUP(ProjLoc,EmCost,6)+PARAMETERS!$CV$36*VLOOKUP(ProjLoc,EmCost,7)),0)</f>
        <v>0</v>
      </c>
      <c r="Z59" s="844">
        <f>IF(INDEX(HwyTransitModelGroup,A50,1)=PARAMETERS!$J$11,D59*0.00000110231131*(PARAMETERS!$CQ$36*VLOOKUP(ProjLoc,EmCost,2)+PARAMETERS!$CR$36*VLOOKUP(ProjLoc,EmCost,3)*(1+CO2Uprater)^($B59-YearCurrent)+PARAMETERS!$CS$36*VLOOKUP(ProjLoc,EmCost,4)+PARAMETERS!$CT$36*VLOOKUP(ProjLoc,EmCost,5)+PARAMETERS!$CU$36*VLOOKUP(ProjLoc,EmCost,6)+PARAMETERS!$CV$36*VLOOKUP(ProjLoc,EmCost,7)),0)</f>
        <v>0</v>
      </c>
      <c r="AA59" s="369">
        <f t="shared" ref="AA59:AA78" si="19">(Q59+S59+U59+W59+Y59)-(R59+T59+V59+X59+Z59)</f>
        <v>-747.16586268146057</v>
      </c>
      <c r="AB59" s="370">
        <f t="shared" ref="AB59:AB78" si="20">AA59/(1+DiscRate)^(B59-YearCurrent)</f>
        <v>-638.68051081445299</v>
      </c>
      <c r="AC59" s="371"/>
      <c r="AD59" s="393">
        <f>IF(INDEX(HwyTransitModelGroup,A50,1)=Hwy,0.00000110231131*(C59*(1-M59)*VLOOKUP(K59,EmAuto1,2)-D59*(1-N59)*VLOOKUP(L59,EmAuto1,2)+(O59*(1-M59)-P59*(1-N59))*VLOOKUP(0,EmAuto1,2))+0.00000110231131*(C59*M59*VLOOKUP(K59,EmTruck1,2)-D59*N59*VLOOKUP(L59,EmTruck1,2)+(O59*M59-P59*N59)*VLOOKUP(0,EmTruck1,2)),0)</f>
        <v>-3.5412387087838258E-3</v>
      </c>
      <c r="AE59" s="862">
        <f>IF(INDEX(HwyTransitModelGroup,A50,1)=Hwy,0.00000110231131*(C59*(1-M59)*VLOOKUP(K59,EmAuto1,3)-D59*(1-N59)*VLOOKUP(L59,EmAuto1,3)+(O59*(1-M59)-P59*(1-N59))*VLOOKUP(0,EmAuto1,3))+0.00000110231131*(C59*M59*VLOOKUP(K59,EmTruck1,3)-D59*N59*VLOOKUP(L59,EmTruck1,3)+(O59*M59-P59*N59)*VLOOKUP(0,EmTruck1,3)),0)</f>
        <v>-12.324434415116068</v>
      </c>
      <c r="AF59" s="860">
        <f>IF(INDEX(HwyTransitModelGroup,A50,1)=Hwy,0.00000110231131*(C59*(1-M59)*VLOOKUP(K59,EmAuto1,4)-D59*(1-N59)*VLOOKUP(L59,EmAuto1,4)+(O59*(1-M59)-P59*(1-N59))*VLOOKUP(0,EmAuto1,4))+0.00000110231131*(C59*M59*VLOOKUP(K59,EmTruck1,4)-D59*N59*VLOOKUP(L59,EmTruck1,4)+(O59*M59-P59*N59)*VLOOKUP(0,EmTruck1,4)),0)</f>
        <v>-5.3301952763723272E-3</v>
      </c>
      <c r="AG59" s="862">
        <f>IF(INDEX(HwyTransitModelGroup,A50,1)=Hwy,0.00000110231131*(C59*(1-M59)*VLOOKUP(K59,EmAuto1,5)-D59*(1-N59)*VLOOKUP(L59,EmAuto1,5)+(O59*(1-M59)-P59*(1-N59))*VLOOKUP(0,EmAuto1,5))+0.00000110231131*(C59*M59*VLOOKUP(K59,EmTruck1,5)-D59*N59*VLOOKUP(L59,EmTruck1,5)+(O59*M59-P59*N59)*VLOOKUP(0,EmTruck1,5)),0)</f>
        <v>-1.5192334461492721E-4</v>
      </c>
      <c r="AH59" s="860">
        <f>IF(INDEX(HwyTransitModelGroup,A50,1)=Hwy,0.00000110231131*(C59*(1-M59)*VLOOKUP(K59,EmAuto1,6)-D59*(1-N59)*VLOOKUP(L59,EmAuto1,6)+(O59*(1-M59)-P59*(1-N59))*VLOOKUP(0,EmAuto1,6))+0.00000110231131*(C59*M59*VLOOKUP(K59,EmTruck1,6)-D59*N59*VLOOKUP(L59,EmTruck1,6)+(O59*M59-P59*N59)*VLOOKUP(0,EmTruck1,6)),0)</f>
        <v>-1.4061909803842488E-4</v>
      </c>
      <c r="AI59" s="862">
        <f>IF(INDEX(HwyTransitModelGroup,A50,1)=Hwy,0.00000110231131*(C59*(1-M59)*VLOOKUP(K59,EmAuto1,7)-D59*(1-N59)*VLOOKUP(L59,EmAuto1,7)+(O59*(1-M59)-P59*(1-N59))*VLOOKUP(0,EmAuto1,7))+0.00000110231131*(C59*M59*VLOOKUP(K59,EmTruck1,7)-D59*N59*VLOOKUP(L59,EmTruck1,7)+(O59*M59-P59*N59)*VLOOKUP(0,EmTruck1,7)),0)</f>
        <v>-2.9868381579341996E-5</v>
      </c>
      <c r="AJ59" s="860">
        <f>IF(INDEX(HwyTransitModelGroup,A50,1)=Hwy,0.00000110231131*(C59*(1-M59)*VLOOKUP(K59,EmAuto1,8)-D59*(1-N59)*VLOOKUP(L59,EmAuto1,8)+(O59*(1-M59)-P59*(1-N59))*VLOOKUP(0,EmAuto1,8))+0.00000110231131*(C59*M59*VLOOKUP(K59,EmTruck1,8)-D59*N59*VLOOKUP(L59,EmTruck1,8)+(O59*M59-P59*N59)*VLOOKUP(0,EmTruck1,8)),0)</f>
        <v>-1.347271779477967E-4</v>
      </c>
      <c r="AK59" s="393">
        <f>IF(INDEX(HwyTransitModelGroup,A50,1)=PARAMETERS!$J$9,0.00000110231131*(C59*VLOOKUP(K59,EmBus1,2)-D59*VLOOKUP(L59,EmBus1,2)+(O59-P59)*VLOOKUP(0,EmBus1,2)),0)</f>
        <v>0</v>
      </c>
      <c r="AL59" s="862">
        <f>IF(INDEX(HwyTransitModelGroup,A50,1)=PARAMETERS!$J$9,0.00000110231131*(C59*VLOOKUP(K59,EmBus1,3)-D59*VLOOKUP(L59,EmBus1,3)+(O59-P59)*VLOOKUP(0,EmBus1,3)),0)</f>
        <v>0</v>
      </c>
      <c r="AM59" s="860">
        <f>IF(INDEX(HwyTransitModelGroup,A50,1)=PARAMETERS!$J$9,0.00000110231131*(C59*VLOOKUP(K59,EmBus1,4)-D59*VLOOKUP(L59,EmBus1,4)+(O59-P59)*VLOOKUP(0,EmBus1,4)),0)</f>
        <v>0</v>
      </c>
      <c r="AN59" s="862">
        <f>IF(INDEX(HwyTransitModelGroup,A50,1)=PARAMETERS!$J$9,0.00000110231131*(C59*VLOOKUP(K59,EmBus1,5)-D59*VLOOKUP(L59,EmBus1,5)+(O59-P59)*VLOOKUP(0,EmBus1,5)),0)</f>
        <v>0</v>
      </c>
      <c r="AO59" s="860">
        <f>IF(INDEX(HwyTransitModelGroup,A50,1)=PARAMETERS!$J$9,0.00000110231131*(C59*VLOOKUP(K59,EmBus1,6)-D59*VLOOKUP(L59,EmBus1,6)+(O59-P59)*VLOOKUP(0,EmBus1,6)),0)</f>
        <v>0</v>
      </c>
      <c r="AP59" s="862">
        <f>IF(INDEX(HwyTransitModelGroup,A50,1)=PARAMETERS!$J$9,0.00000110231131*(C59*VLOOKUP(K59,EmBus1,7)-D59*VLOOKUP(L59,EmBus1,7)+(O59-P59)*VLOOKUP(0,EmBus1,7)),0)</f>
        <v>0</v>
      </c>
      <c r="AQ59" s="860">
        <f>IF(INDEX(HwyTransitModelGroup,A50,1)=PARAMETERS!$J$9,0.00000110231131*(C59*VLOOKUP(K59,EmBus1,8)-D59*VLOOKUP(L59,EmBus1,8)+(O59-P59)*VLOOKUP(0,EmBus1,8)),0)</f>
        <v>0</v>
      </c>
      <c r="AR59" s="393">
        <f>IF(INDEX(HwyTransitModelGroup,A50,1)=PARAMETERS!$J$10,0.00000110231131*((C59-D59)*PARAMETERS!$CQ$28),0)</f>
        <v>0</v>
      </c>
      <c r="AS59" s="862">
        <f>IF(INDEX(HwyTransitModelGroup,A50,1)=PARAMETERS!$J$10,0.00000110231131*((C59-D59)*PARAMETERS!$CR$28),0)</f>
        <v>0</v>
      </c>
      <c r="AT59" s="860">
        <f>IF(INDEX(HwyTransitModelGroup,A50,1)=PARAMETERS!$J$10,0.00000110231131*((C59-D59)*PARAMETERS!$CS$28),0)</f>
        <v>0</v>
      </c>
      <c r="AU59" s="862">
        <f>IF(INDEX(HwyTransitModelGroup,A50,1)=PARAMETERS!$J$10,0.00000110231131*((C59-D59)*PARAMETERS!$CT$28),0)</f>
        <v>0</v>
      </c>
      <c r="AV59" s="860">
        <f>IF(INDEX(HwyTransitModelGroup,A50,1)=PARAMETERS!$J$10,0.00000110231131*((C59-D59)*PARAMETERS!$CU$28),0)</f>
        <v>0</v>
      </c>
      <c r="AW59" s="862">
        <f>IF(INDEX(HwyTransitModelGroup,A50,1)=PARAMETERS!$J$10,0.00000110231131*((C59-D59)*PARAMETERS!$CV$28),0)</f>
        <v>0</v>
      </c>
      <c r="AX59" s="860">
        <f>IF(INDEX(HwyTransitModelGroup,A50,1)=PARAMETERS!$J$10,0.00000110231131*((C59-D59)*PARAMETERS!$CW$28),0)</f>
        <v>0</v>
      </c>
      <c r="AY59" s="393">
        <f>IF(INDEX(HwyTransitModelGroup,A50,1)=PARAMETERS!$J$11,0.00000110231131*((C59-D59)*PARAMETERS!$CQ$36),0)</f>
        <v>0</v>
      </c>
      <c r="AZ59" s="862">
        <f>IF(INDEX(HwyTransitModelGroup,A50,1)=PARAMETERS!$J$11,0.00000110231131*((C59-D59)*PARAMETERS!$CR$36),0)</f>
        <v>0</v>
      </c>
      <c r="BA59" s="860">
        <f>IF(INDEX(HwyTransitModelGroup,A50,1)=PARAMETERS!$J$11,0.00000110231131*((C59-D59)*PARAMETERS!$CS$36),0)</f>
        <v>0</v>
      </c>
      <c r="BB59" s="862">
        <f>IF(INDEX(HwyTransitModelGroup,A50,1)=PARAMETERS!$J$11,0.00000110231131*((C59-D59)*PARAMETERS!$CT$36),0)</f>
        <v>0</v>
      </c>
      <c r="BC59" s="860">
        <f>IF(INDEX(HwyTransitModelGroup,A50,1)=PARAMETERS!$J$11,0.00000110231131*((C59-D59)*PARAMETERS!$CU$36),0)</f>
        <v>0</v>
      </c>
      <c r="BD59" s="862">
        <f>IF(INDEX(HwyTransitModelGroup,A50,1)=PARAMETERS!$J$11,0.00000110231131*((C59-D59)*PARAMETERS!$CV$36),0)</f>
        <v>0</v>
      </c>
      <c r="BE59" s="864">
        <f>IF(INDEX(HwyTransitModelGroup,A50,1)=PARAMETERS!$J$11,0.00000110231131*((C59-D59)*PARAMETERS!$CW$36),0)</f>
        <v>0</v>
      </c>
      <c r="BF59" s="727">
        <f t="shared" ref="BF59:BF78" si="21">(AD59+AK59+AR59+AY59)*VLOOKUP(ProjLoc,EmCost,2)/(1+DiscRate)^($B59-YearCurrent)</f>
        <v>-0.24216525517640872</v>
      </c>
      <c r="BG59" s="866">
        <f t="shared" ref="BG59:BG78" si="22">(AE59+AL59+AS59+AZ59)*VLOOKUP(ProjLoc,EmCost,3)*(1+CO2Uprater)^($B59-YearCurrent)/(1+DiscRate)^($B59-YearCurrent)</f>
        <v>-547.36316149804998</v>
      </c>
      <c r="BH59" s="866">
        <f t="shared" ref="BH59:BH78" si="23">(AF59+AM59+AT59+BA59)*VLOOKUP(ProjLoc,EmCost,4)/(1+DiscRate)^($B59-YearCurrent)</f>
        <v>-68.799726244873682</v>
      </c>
      <c r="BI59" s="866">
        <f t="shared" ref="BI59:BI78" si="24">(AG59+AN59+AU59+BB59)*VLOOKUP(ProjLoc,EmCost,5)/(1+DiscRate)^($B59-YearCurrent)</f>
        <v>-15.155211854467263</v>
      </c>
      <c r="BJ59" s="866">
        <f t="shared" ref="BJ59:BJ78" si="25">(AH59+AO59+AV59+BC59)*VLOOKUP(ProjLoc,EmCost,6)/(1+DiscRate)^($B59-YearCurrent)</f>
        <v>-7.0919058661818619</v>
      </c>
      <c r="BK59" s="868">
        <f t="shared" ref="BK59:BK78" si="26">(AI59+AP59+AW59+BD59)*VLOOKUP(ProjLoc,EmCost,7)/(1+DiscRate)^($B59-YearCurrent)</f>
        <v>-2.8340095706159221E-2</v>
      </c>
      <c r="BL59" s="392"/>
      <c r="BN59" s="375">
        <f>BN58+1</f>
        <v>2027</v>
      </c>
      <c r="BO59" s="871">
        <f t="shared" ca="1" si="17"/>
        <v>1.9841234995758031E-2</v>
      </c>
      <c r="BP59" s="871">
        <f t="shared" ca="1" si="18"/>
        <v>-3.6073049809631236E-3</v>
      </c>
      <c r="BQ59" s="871">
        <f t="shared" ca="1" si="18"/>
        <v>6.6417830546259188E-2</v>
      </c>
      <c r="BR59" s="871">
        <f t="shared" ca="1" si="18"/>
        <v>0.30840127180752808</v>
      </c>
      <c r="BS59" s="871">
        <f t="shared" ca="1" si="18"/>
        <v>0.94078147992909777</v>
      </c>
      <c r="BT59" s="871">
        <f t="shared" ca="1" si="18"/>
        <v>1.3649183259008839</v>
      </c>
    </row>
    <row r="60" spans="1:72" x14ac:dyDescent="0.25">
      <c r="B60" s="375">
        <f>B59+1</f>
        <v>2027</v>
      </c>
      <c r="C60" s="401">
        <f>MAX(TREND(C56:C57,B56:B57,B60),0)</f>
        <v>552792.5</v>
      </c>
      <c r="D60" s="402">
        <f>MAX(TREND(D56:D57,B56:B57,B60),0)</f>
        <v>563578.25</v>
      </c>
      <c r="E60" s="401">
        <f>MAX(TREND(E56:E57,B56:B57,B60),0)</f>
        <v>10420.75</v>
      </c>
      <c r="F60" s="402">
        <f>MAX(TREND(F56:F57,B56:B57,B60),0)</f>
        <v>10402.5</v>
      </c>
      <c r="G60" s="401">
        <f>MAX(TREND(G56:G57,B56:B57,B60),0)</f>
        <v>0</v>
      </c>
      <c r="H60" s="402">
        <f>MAX(TREND(H56:H57,B56:B57,B60),0)</f>
        <v>0</v>
      </c>
      <c r="I60" s="401">
        <f>MAX(TREND(I56:I57,B56:B57,B60),0)</f>
        <v>0</v>
      </c>
      <c r="J60" s="402">
        <f>MAX(TREND(J56:J57,B56:B57,B60),0)</f>
        <v>0</v>
      </c>
      <c r="K60" s="435">
        <f>IFERROR(IF(INDEX(HwyTransitModelGroup,A50,1)=Hwy,MAX(5,ROUND(C60/E60,1)),MAX(5,ROUND(G60/I60,1))),55)</f>
        <v>53</v>
      </c>
      <c r="L60" s="436">
        <f>IFERROR(IF(INDEX(HwyTransitModelGroup,A50,1)=Hwy,MAX(5,ROUND(D60/F60,1)),MAX(5,ROUND(H60/J60,1))),55)</f>
        <v>54.2</v>
      </c>
      <c r="M60" s="405">
        <f>MIN(MAX(TREND(M56:M57,B56:B57,B60),0),1)</f>
        <v>0.24</v>
      </c>
      <c r="N60" s="406">
        <f>MIN(MAX(TREND(N56:N57,B56:B57,B60),0),1)</f>
        <v>0.24</v>
      </c>
      <c r="O60" s="401">
        <f>MAX(TREND(O56:O57,B56:B57,B60),0)</f>
        <v>0</v>
      </c>
      <c r="P60" s="402">
        <f>MAX(TREND(P56:P57,B56:B57,B60),0)</f>
        <v>0</v>
      </c>
      <c r="Q60" s="729">
        <f>IF(INDEX(HwyTransitModelGroup,A50,1)=Hwy,C60*(1-M60)*0.00000110231131*(VLOOKUP(K60,EmAuto1,2)*VLOOKUP(ProjLoc,EmCost,2)+VLOOKUP(K60,EmAuto1,3)*VLOOKUP(ProjLoc,EmCost,3)*(1+CO2Uprater)^($B60-YearCurrent)+VLOOKUP(K60,EmAuto1,4)*VLOOKUP(ProjLoc,EmCost,4)+VLOOKUP(K60,EmAuto1,5)*VLOOKUP(ProjLoc,EmCost,5)+VLOOKUP(K60,EmAuto1,6)*VLOOKUP(ProjLoc,EmCost,6)+VLOOKUP(K60,EmAuto1,7)*VLOOKUP(ProjLoc,EmCost,7))+C60*M60*0.00000110231131*(VLOOKUP(K60,EmTruck1,2)*VLOOKUP(ProjLoc,EmCost,2)+VLOOKUP(K60,EmTruck1,3)*VLOOKUP(ProjLoc,EmCost,3)*(1+CO2Uprater)^($B60-YearCurrent)+VLOOKUP(K60,EmTruck1,4)*VLOOKUP(ProjLoc,EmCost,4)+VLOOKUP(K60,EmTruck1,5)*VLOOKUP(ProjLoc,EmCost,5)+VLOOKUP(K60,EmTruck1,6)*VLOOKUP(ProjLoc,EmCost,6)+VLOOKUP(K60,EmTruck1,7)*VLOOKUP(ProjLoc,EmCost,7)),0)</f>
        <v>17846.902687812479</v>
      </c>
      <c r="R60" s="802">
        <f>IF(INDEX(HwyTransitModelGroup,A50,1)=Hwy,D60*(1-N60)*0.00000110231131*(VLOOKUP(L60,EmAuto1,2)*VLOOKUP(ProjLoc,EmCost,2)+VLOOKUP(L60,EmAuto1,3)*VLOOKUP(ProjLoc,EmCost,3)*(1+CO2Uprater)^($B60-YearCurrent)+VLOOKUP(L60,EmAuto1,4)*VLOOKUP(ProjLoc,EmCost,4)+VLOOKUP(L60,EmAuto1,5)*VLOOKUP(ProjLoc,EmCost,5)+VLOOKUP(L60,EmAuto1,6)*VLOOKUP(ProjLoc,EmCost,6)+VLOOKUP(L60,EmAuto1,7)*VLOOKUP(ProjLoc,EmCost,7))+D60*N60*0.00000110231131*(VLOOKUP(L60,EmTruck1,2)*VLOOKUP(ProjLoc,EmCost,2)+VLOOKUP(L60,EmTruck1,3)*VLOOKUP(ProjLoc,EmCost,3)*(1+CO2Uprater)^($B60-YearCurrent)+VLOOKUP(L60,EmTruck1,4)*VLOOKUP(ProjLoc,EmCost,4)+VLOOKUP(L60,EmTruck1,5)*VLOOKUP(ProjLoc,EmCost,5)+VLOOKUP(L60,EmTruck1,6)*VLOOKUP(ProjLoc,EmCost,6)+VLOOKUP(L60,EmTruck1,7)*VLOOKUP(ProjLoc,EmCost,7)),0)</f>
        <v>18621.376152485493</v>
      </c>
      <c r="S60" s="729">
        <f>IF(INDEX(HwyTransitModelGroup,A50,1)=Hwy,O60*(1-M60)*0.00000110231131*(VLOOKUP(0,EmAuto1,2)*VLOOKUP(ProjLoc,EmCost,2)+VLOOKUP(0,EmAuto1,3)*VLOOKUP(ProjLoc,EmCost,3)*(1+CO2Uprater)^($B60-YearCurrent)+VLOOKUP(0,EmAuto1,4)*VLOOKUP(ProjLoc,EmCost,4)+VLOOKUP(0,EmAuto1,5)*VLOOKUP(ProjLoc,EmCost,5)+VLOOKUP(0,EmAuto1,6)*VLOOKUP(ProjLoc,EmCost,6)+VLOOKUP(0,EmAuto1,7)*VLOOKUP(ProjLoc,EmCost,7))+O60*M60*0.00000110231131*(VLOOKUP(0,EmTruck1,2)*VLOOKUP(ProjLoc,EmCost,2)+VLOOKUP(0,EmTruck1,3)*VLOOKUP(ProjLoc,EmCost,3)*(1+CO2Uprater)^($B60-YearCurrent)+VLOOKUP(0,EmTruck1,4)*VLOOKUP(ProjLoc,EmCost,4)+VLOOKUP(0,EmTruck1,5)*VLOOKUP(ProjLoc,EmCost,5)+VLOOKUP(0,EmTruck1,6)*VLOOKUP(ProjLoc,EmCost,6)+VLOOKUP(0,EmTruck1,7)*VLOOKUP(ProjLoc,EmCost,7)),0)</f>
        <v>0</v>
      </c>
      <c r="T60" s="802">
        <f>IF(INDEX(HwyTransitModelGroup,A50,1)=Hwy,P60*(1-N60)*0.00000110231131*(VLOOKUP(0,EmAuto1,2)*VLOOKUP(ProjLoc,EmCost,2)+VLOOKUP(0,EmAuto1,3)*VLOOKUP(ProjLoc,EmCost,3)*(1+CO2Uprater)^($B60-YearCurrent)+VLOOKUP(0,EmAuto1,4)*VLOOKUP(ProjLoc,EmCost,4)+VLOOKUP(0,EmAuto1,5)*VLOOKUP(ProjLoc,EmCost,5)+VLOOKUP(0,EmAuto1,6)*VLOOKUP(ProjLoc,EmCost,6)+VLOOKUP(0,EmAuto1,7)*VLOOKUP(ProjLoc,EmCost,7))+P60*N60*0.00000110231131*(VLOOKUP(0,EmTruck1,2)*VLOOKUP(ProjLoc,EmCost,2)+VLOOKUP(0,EmTruck1,3)*VLOOKUP(ProjLoc,EmCost,3)*(1+CO2Uprater)^($B60-YearCurrent)+VLOOKUP(0,EmTruck1,4)*VLOOKUP(ProjLoc,EmCost,4)+VLOOKUP(0,EmTruck1,5)*VLOOKUP(ProjLoc,EmCost,5)+VLOOKUP(0,EmTruck1,6)*VLOOKUP(ProjLoc,EmCost,6)+VLOOKUP(0,EmTruck1,7)*VLOOKUP(ProjLoc,EmCost,7)),0)</f>
        <v>0</v>
      </c>
      <c r="U60" s="729">
        <f>IF(INDEX(HwyTransitModelGroup,A50,1)=PARAMETERS!$J$9,C60*0.00000110231131*(VLOOKUP(K60,EmBus1,2)*VLOOKUP(ProjLoc,EmCost,2)+VLOOKUP(K60,EmBus1,3)*VLOOKUP(ProjLoc,EmCost,3)*(1+CO2Uprater)^($B60-YearCurrent)+VLOOKUP(K60,EmBus1,4)*VLOOKUP(ProjLoc,EmCost,4)+VLOOKUP(K60,EmBus1,5)*VLOOKUP(ProjLoc,EmCost,5)+VLOOKUP(K60,EmBus1,6)*VLOOKUP(ProjLoc,EmCost,6)+VLOOKUP(K60,EmBus1,7)*VLOOKUP(ProjLoc,EmCost,7)),0)</f>
        <v>0</v>
      </c>
      <c r="V60" s="802">
        <f>IF(INDEX(HwyTransitModelGroup,A50,1)=PARAMETERS!$J$9,D60*0.00000110231131*(VLOOKUP(L60,EmBus1,2)*VLOOKUP(ProjLoc,EmCost,2)+VLOOKUP(L60,EmBus1,3)*VLOOKUP(ProjLoc,EmCost,3)*(1+CO2Uprater)^($B60-YearCurrent)+VLOOKUP(L60,EmBus1,4)*VLOOKUP(ProjLoc,EmCost,4)+VLOOKUP(L60,EmBus1,5)*VLOOKUP(ProjLoc,EmCost,5)+VLOOKUP(L60,EmBus1,6)*VLOOKUP(ProjLoc,EmCost,6)+VLOOKUP(L60,EmBus1,7)*VLOOKUP(ProjLoc,EmCost,7)),0)</f>
        <v>0</v>
      </c>
      <c r="W60" s="808">
        <f>IF(INDEX(HwyTransitModelGroup,A50,1)=PARAMETERS!$J$10,C60*0.00000110231131*(PARAMETERS!$CQ$28*VLOOKUP(ProjLoc,EmCost,2)+PARAMETERS!$CR$28*VLOOKUP(ProjLoc,EmCost,3)*(1+CO2Uprater)^($B60-YearCurrent)+PARAMETERS!$CS$28*VLOOKUP(ProjLoc,EmCost,4)+PARAMETERS!$CT$28*VLOOKUP(ProjLoc,EmCost,5)+PARAMETERS!$CU$28*VLOOKUP(ProjLoc,EmCost,6)+PARAMETERS!$CV$28*VLOOKUP(ProjLoc,EmCost,7)),0)</f>
        <v>0</v>
      </c>
      <c r="X60" s="844">
        <f>IF(INDEX(HwyTransitModelGroup,A50,1)=PARAMETERS!$J$10,D60*0.00000110231131*(PARAMETERS!$CQ$28*VLOOKUP(ProjLoc,EmCost,2)+PARAMETERS!$CR$28*VLOOKUP(ProjLoc,EmCost,3)*(1+CO2Uprater)^($B60-YearCurrent)+PARAMETERS!$CS$28*VLOOKUP(ProjLoc,EmCost,4)+PARAMETERS!$CT$28*VLOOKUP(ProjLoc,EmCost,5)+PARAMETERS!$CU$28*VLOOKUP(ProjLoc,EmCost,6)+PARAMETERS!$CV$28*VLOOKUP(ProjLoc,EmCost,7)),0)</f>
        <v>0</v>
      </c>
      <c r="Y60" s="808">
        <f>IF(INDEX(HwyTransitModelGroup,A50,1)=PARAMETERS!$J$11,C60*0.00000110231131*(PARAMETERS!$CQ$36*VLOOKUP(ProjLoc,EmCost,2)+PARAMETERS!$CR$36*VLOOKUP(ProjLoc,EmCost,3)*(1+CO2Uprater)^($B60-YearCurrent)+PARAMETERS!$CS$36*VLOOKUP(ProjLoc,EmCost,4)+PARAMETERS!$CT$36*VLOOKUP(ProjLoc,EmCost,5)+PARAMETERS!$CU$36*VLOOKUP(ProjLoc,EmCost,6)+PARAMETERS!$CV$36*VLOOKUP(ProjLoc,EmCost,7)),0)</f>
        <v>0</v>
      </c>
      <c r="Z60" s="844">
        <f>IF(INDEX(HwyTransitModelGroup,A50,1)=PARAMETERS!$J$11,D60*0.00000110231131*(PARAMETERS!$CQ$36*VLOOKUP(ProjLoc,EmCost,2)+PARAMETERS!$CR$36*VLOOKUP(ProjLoc,EmCost,3)*(1+CO2Uprater)^($B60-YearCurrent)+PARAMETERS!$CS$36*VLOOKUP(ProjLoc,EmCost,4)+PARAMETERS!$CT$36*VLOOKUP(ProjLoc,EmCost,5)+PARAMETERS!$CU$36*VLOOKUP(ProjLoc,EmCost,6)+PARAMETERS!$CV$36*VLOOKUP(ProjLoc,EmCost,7)),0)</f>
        <v>0</v>
      </c>
      <c r="AA60" s="369">
        <f t="shared" si="19"/>
        <v>-774.47346467301395</v>
      </c>
      <c r="AB60" s="370">
        <f t="shared" si="20"/>
        <v>-636.56073408058126</v>
      </c>
      <c r="AC60" s="371"/>
      <c r="AD60" s="401">
        <f>IF(INDEX(HwyTransitModelGroup,A50,1)=Hwy,0.00000110231131*(C60*(1-M60)*VLOOKUP(K60,EmAuto1,2)-D60*(1-N60)*VLOOKUP(L60,EmAuto1,2)+(O60*(1-M60)-P60*(1-N60))*VLOOKUP(0,EmAuto1,2))+0.00000110231131*(C60*M60*VLOOKUP(K60,EmTruck1,2)-D60*N60*VLOOKUP(L60,EmTruck1,2)+(O60*M60-P60*N60)*VLOOKUP(0,EmTruck1,2)),0)</f>
        <v>-3.6073049809631236E-3</v>
      </c>
      <c r="AE60" s="863">
        <f>IF(INDEX(HwyTransitModelGroup,A50,1)=Hwy,0.00000110231131*(C60*(1-M60)*VLOOKUP(K60,EmAuto1,3)-D60*(1-N60)*VLOOKUP(L60,EmAuto1,3)+(O60*(1-M60)-P60*(1-N60))*VLOOKUP(0,EmAuto1,3))+0.00000110231131*(C60*M60*VLOOKUP(K60,EmTruck1,3)-D60*N60*VLOOKUP(L60,EmTruck1,3)+(O60*M60-P60*N60)*VLOOKUP(0,EmTruck1,3)),0)</f>
        <v>-12.559655213175398</v>
      </c>
      <c r="AF60" s="861">
        <f>IF(INDEX(HwyTransitModelGroup,A50,1)=Hwy,0.00000110231131*(C60*(1-M60)*VLOOKUP(K60,EmAuto1,4)-D60*(1-N60)*VLOOKUP(L60,EmAuto1,4)+(O60*(1-M60)-P60*(1-N60))*VLOOKUP(0,EmAuto1,4))+0.00000110231131*(C60*M60*VLOOKUP(K60,EmTruck1,4)-D60*N60*VLOOKUP(L60,EmTruck1,4)+(O60*M60-P60*N60)*VLOOKUP(0,EmTruck1,4)),0)</f>
        <v>-5.4316548323639939E-3</v>
      </c>
      <c r="AG60" s="863">
        <f>IF(INDEX(HwyTransitModelGroup,A50,1)=Hwy,0.00000110231131*(C60*(1-M60)*VLOOKUP(K60,EmAuto1,5)-D60*(1-N60)*VLOOKUP(L60,EmAuto1,5)+(O60*(1-M60)-P60*(1-N60))*VLOOKUP(0,EmAuto1,5))+0.00000110231131*(C60*M60*VLOOKUP(K60,EmTruck1,5)-D60*N60*VLOOKUP(L60,EmTruck1,5)+(O60*M60-P60*N60)*VLOOKUP(0,EmTruck1,5)),0)</f>
        <v>-1.5482609295457852E-4</v>
      </c>
      <c r="AH60" s="861">
        <f>IF(INDEX(HwyTransitModelGroup,A50,1)=Hwy,0.00000110231131*(C60*(1-M60)*VLOOKUP(K60,EmAuto1,6)-D60*(1-N60)*VLOOKUP(L60,EmAuto1,6)+(O60*(1-M60)-P60*(1-N60))*VLOOKUP(0,EmAuto1,6))+0.00000110231131*(C60*M60*VLOOKUP(K60,EmTruck1,6)-D60*N60*VLOOKUP(L60,EmTruck1,6)+(O60*M60-P60*N60)*VLOOKUP(0,EmTruck1,6)),0)</f>
        <v>-1.4330490269377771E-4</v>
      </c>
      <c r="AI60" s="863">
        <f>IF(INDEX(HwyTransitModelGroup,A50,1)=Hwy,0.00000110231131*(C60*(1-M60)*VLOOKUP(K60,EmAuto1,7)-D60*(1-N60)*VLOOKUP(L60,EmAuto1,7)+(O60*(1-M60)-P60*(1-N60))*VLOOKUP(0,EmAuto1,7))+0.00000110231131*(C60*M60*VLOOKUP(K60,EmTruck1,7)-D60*N60*VLOOKUP(L60,EmTruck1,7)+(O60*M60-P60*N60)*VLOOKUP(0,EmTruck1,7)),0)</f>
        <v>-3.0392474389372745E-5</v>
      </c>
      <c r="AJ60" s="861">
        <f>IF(INDEX(HwyTransitModelGroup,A50,1)=Hwy,0.00000110231131*(C60*(1-M60)*VLOOKUP(K60,EmAuto1,8)-D60*(1-N60)*VLOOKUP(L60,EmAuto1,8)+(O60*(1-M60)-P60*(1-N60))*VLOOKUP(0,EmAuto1,8))+0.00000110231131*(C60*M60*VLOOKUP(K60,EmTruck1,8)-D60*N60*VLOOKUP(L60,EmTruck1,8)+(O60*M60-P60*N60)*VLOOKUP(0,EmTruck1,8)),0)</f>
        <v>-1.3730072873089559E-4</v>
      </c>
      <c r="AK60" s="401">
        <f>IF(INDEX(HwyTransitModelGroup,A50,1)=PARAMETERS!$J$9,0.00000110231131*(C60*VLOOKUP(K60,EmBus1,2)-D60*VLOOKUP(L60,EmBus1,2)+(O60-P60)*VLOOKUP(0,EmBus1,2)),0)</f>
        <v>0</v>
      </c>
      <c r="AL60" s="863">
        <f>IF(INDEX(HwyTransitModelGroup,A50,1)=PARAMETERS!$J$9,0.00000110231131*(C60*VLOOKUP(K60,EmBus1,3)-D60*VLOOKUP(L60,EmBus1,3)+(O60-P60)*VLOOKUP(0,EmBus1,3)),0)</f>
        <v>0</v>
      </c>
      <c r="AM60" s="861">
        <f>IF(INDEX(HwyTransitModelGroup,A50,1)=PARAMETERS!$J$9,0.00000110231131*(C60*VLOOKUP(K60,EmBus1,4)-D60*VLOOKUP(L60,EmBus1,4)+(O60-P60)*VLOOKUP(0,EmBus1,4)),0)</f>
        <v>0</v>
      </c>
      <c r="AN60" s="863">
        <f>IF(INDEX(HwyTransitModelGroup,A50,1)=PARAMETERS!$J$9,0.00000110231131*(C60*VLOOKUP(K60,EmBus1,5)-D60*VLOOKUP(L60,EmBus1,5)+(O60-P60)*VLOOKUP(0,EmBus1,5)),0)</f>
        <v>0</v>
      </c>
      <c r="AO60" s="861">
        <f>IF(INDEX(HwyTransitModelGroup,A50,1)=PARAMETERS!$J$9,0.00000110231131*(C60*VLOOKUP(K60,EmBus1,6)-D60*VLOOKUP(L60,EmBus1,6)+(O60-P60)*VLOOKUP(0,EmBus1,6)),0)</f>
        <v>0</v>
      </c>
      <c r="AP60" s="863">
        <f>IF(INDEX(HwyTransitModelGroup,A50,1)=PARAMETERS!$J$9,0.00000110231131*(C60*VLOOKUP(K60,EmBus1,7)-D60*VLOOKUP(L60,EmBus1,7)+(O60-P60)*VLOOKUP(0,EmBus1,7)),0)</f>
        <v>0</v>
      </c>
      <c r="AQ60" s="861">
        <f>IF(INDEX(HwyTransitModelGroup,A50,1)=PARAMETERS!$J$9,0.00000110231131*(C60*VLOOKUP(K60,EmBus1,8)-D60*VLOOKUP(L60,EmBus1,8)+(O60-P60)*VLOOKUP(0,EmBus1,8)),0)</f>
        <v>0</v>
      </c>
      <c r="AR60" s="401">
        <f>IF(INDEX(HwyTransitModelGroup,A50,1)=PARAMETERS!$J$10,0.00000110231131*((C60-D60)*PARAMETERS!$CQ$28),0)</f>
        <v>0</v>
      </c>
      <c r="AS60" s="863">
        <f>IF(INDEX(HwyTransitModelGroup,A50,1)=PARAMETERS!$J$10,0.00000110231131*((C60-D60)*PARAMETERS!$CR$28),0)</f>
        <v>0</v>
      </c>
      <c r="AT60" s="861">
        <f>IF(INDEX(HwyTransitModelGroup,A50,1)=PARAMETERS!$J$10,0.00000110231131*((C60-D60)*PARAMETERS!$CS$28),0)</f>
        <v>0</v>
      </c>
      <c r="AU60" s="863">
        <f>IF(INDEX(HwyTransitModelGroup,A50,1)=PARAMETERS!$J$10,0.00000110231131*((C60-D60)*PARAMETERS!$CT$28),0)</f>
        <v>0</v>
      </c>
      <c r="AV60" s="861">
        <f>IF(INDEX(HwyTransitModelGroup,A50,1)=PARAMETERS!$J$10,0.00000110231131*((C60-D60)*PARAMETERS!$CU$28),0)</f>
        <v>0</v>
      </c>
      <c r="AW60" s="863">
        <f>IF(INDEX(HwyTransitModelGroup,A50,1)=PARAMETERS!$J$10,0.00000110231131*((C60-D60)*PARAMETERS!$CV$28),0)</f>
        <v>0</v>
      </c>
      <c r="AX60" s="861">
        <f>IF(INDEX(HwyTransitModelGroup,A50,1)=PARAMETERS!$J$10,0.00000110231131*((C60-D60)*PARAMETERS!$CW$28),0)</f>
        <v>0</v>
      </c>
      <c r="AY60" s="401">
        <f>IF(INDEX(HwyTransitModelGroup,A50,1)=PARAMETERS!$J$11,0.00000110231131*((C60-D60)*PARAMETERS!$CQ$36),0)</f>
        <v>0</v>
      </c>
      <c r="AZ60" s="863">
        <f>IF(INDEX(HwyTransitModelGroup,A50,1)=PARAMETERS!$J$11,0.00000110231131*((C60-D60)*PARAMETERS!$CR$36),0)</f>
        <v>0</v>
      </c>
      <c r="BA60" s="861">
        <f>IF(INDEX(HwyTransitModelGroup,A50,1)=PARAMETERS!$J$11,0.00000110231131*((C60-D60)*PARAMETERS!$CS$36),0)</f>
        <v>0</v>
      </c>
      <c r="BB60" s="863">
        <f>IF(INDEX(HwyTransitModelGroup,A50,1)=PARAMETERS!$J$11,0.00000110231131*((C60-D60)*PARAMETERS!$CT$36),0)</f>
        <v>0</v>
      </c>
      <c r="BC60" s="861">
        <f>IF(INDEX(HwyTransitModelGroup,A50,1)=PARAMETERS!$J$11,0.00000110231131*((C60-D60)*PARAMETERS!$CU$36),0)</f>
        <v>0</v>
      </c>
      <c r="BD60" s="863">
        <f>IF(INDEX(HwyTransitModelGroup,A50,1)=PARAMETERS!$J$11,0.00000110231131*((C60-D60)*PARAMETERS!$CV$36),0)</f>
        <v>0</v>
      </c>
      <c r="BE60" s="865">
        <f>IF(INDEX(HwyTransitModelGroup,A50,1)=PARAMETERS!$J$11,0.00000110231131*((C60-D60)*PARAMETERS!$CW$36),0)</f>
        <v>0</v>
      </c>
      <c r="BF60" s="729">
        <f t="shared" si="21"/>
        <v>-0.23719533969612941</v>
      </c>
      <c r="BG60" s="867">
        <f t="shared" si="22"/>
        <v>-547.08287058661801</v>
      </c>
      <c r="BH60" s="867">
        <f t="shared" si="23"/>
        <v>-67.412807553333863</v>
      </c>
      <c r="BI60" s="867">
        <f t="shared" si="24"/>
        <v>-14.850747499272401</v>
      </c>
      <c r="BJ60" s="867">
        <f t="shared" si="25"/>
        <v>-6.9493848592761003</v>
      </c>
      <c r="BK60" s="869">
        <f t="shared" si="26"/>
        <v>-2.772824238174746E-2</v>
      </c>
      <c r="BL60" s="392"/>
      <c r="BN60" s="375">
        <f t="shared" ref="BN60:BN77" si="27">BN59+1</f>
        <v>2028</v>
      </c>
      <c r="BO60" s="871">
        <f t="shared" ca="1" si="17"/>
        <v>1.3940682381181424E-2</v>
      </c>
      <c r="BP60" s="871">
        <f t="shared" ca="1" si="18"/>
        <v>-3.6733712531423642E-3</v>
      </c>
      <c r="BQ60" s="871">
        <f t="shared" ca="1" si="18"/>
        <v>6.7656677316386235E-2</v>
      </c>
      <c r="BR60" s="871">
        <f t="shared" ca="1" si="18"/>
        <v>0.31233912758760241</v>
      </c>
      <c r="BS60" s="871">
        <f t="shared" ca="1" si="18"/>
        <v>0.99063438008268023</v>
      </c>
      <c r="BT60" s="871">
        <f t="shared" ca="1" si="18"/>
        <v>1.4055039438766941</v>
      </c>
    </row>
    <row r="61" spans="1:72" x14ac:dyDescent="0.25">
      <c r="B61" s="375">
        <f t="shared" ref="B61:B78" si="28">B60+1</f>
        <v>2028</v>
      </c>
      <c r="C61" s="401">
        <f>MAX(TREND(C56:C57,B56:B57,B61),0)</f>
        <v>563195</v>
      </c>
      <c r="D61" s="402">
        <f>MAX(TREND(D56:D57,B56:B57,B61),0)</f>
        <v>574181.5</v>
      </c>
      <c r="E61" s="401">
        <f>MAX(TREND(E56:E57,B56:B57,B61),0)</f>
        <v>10621.5</v>
      </c>
      <c r="F61" s="402">
        <f>MAX(TREND(F56:F57,B56:B57,B61),0)</f>
        <v>10585</v>
      </c>
      <c r="G61" s="401">
        <f>MAX(TREND(G56:G57,B56:B57,B61),0)</f>
        <v>0</v>
      </c>
      <c r="H61" s="402">
        <f>MAX(TREND(H56:H57,B56:B57,B61),0)</f>
        <v>0</v>
      </c>
      <c r="I61" s="401">
        <f>MAX(TREND(I56:I57,B56:B57,B61),0)</f>
        <v>0</v>
      </c>
      <c r="J61" s="402">
        <f>MAX(TREND(J56:J57,B56:B57,B61),0)</f>
        <v>0</v>
      </c>
      <c r="K61" s="435">
        <f>IFERROR(IF(INDEX(HwyTransitModelGroup,A50,1)=Hwy,MAX(5,ROUND(C61/E61,1)),MAX(5,ROUND(G61/I61,1))),55)</f>
        <v>53</v>
      </c>
      <c r="L61" s="436">
        <f>IFERROR(IF(INDEX(HwyTransitModelGroup,A50,1)=Hwy,MAX(5,ROUND(D61/F61,1)),MAX(5,ROUND(H61/J61,1))),55)</f>
        <v>54.2</v>
      </c>
      <c r="M61" s="405">
        <f>MIN(MAX(TREND(M56:M57,B56:B57,B61),0),1)</f>
        <v>0.24</v>
      </c>
      <c r="N61" s="406">
        <f>MIN(MAX(TREND(N56:N57,B56:B57,B61),0),1)</f>
        <v>0.24</v>
      </c>
      <c r="O61" s="401">
        <f>MAX(TREND(O56:O57,B56:B57,B61),0)</f>
        <v>0</v>
      </c>
      <c r="P61" s="402">
        <f>MAX(TREND(P56:P57,B56:B57,B61),0)</f>
        <v>0</v>
      </c>
      <c r="Q61" s="729">
        <f>IF(INDEX(HwyTransitModelGroup,A50,1)=Hwy,C61*(1-M61)*0.00000110231131*(VLOOKUP(K61,EmAuto1,2)*VLOOKUP(ProjLoc,EmCost,2)+VLOOKUP(K61,EmAuto1,3)*VLOOKUP(ProjLoc,EmCost,3)*(1+CO2Uprater)^($B61-YearCurrent)+VLOOKUP(K61,EmAuto1,4)*VLOOKUP(ProjLoc,EmCost,4)+VLOOKUP(K61,EmAuto1,5)*VLOOKUP(ProjLoc,EmCost,5)+VLOOKUP(K61,EmAuto1,6)*VLOOKUP(ProjLoc,EmCost,6)+VLOOKUP(K61,EmAuto1,7)*VLOOKUP(ProjLoc,EmCost,7))+C61*M61*0.00000110231131*(VLOOKUP(K61,EmTruck1,2)*VLOOKUP(ProjLoc,EmCost,2)+VLOOKUP(K61,EmTruck1,3)*VLOOKUP(ProjLoc,EmCost,3)*(1+CO2Uprater)^($B61-YearCurrent)+VLOOKUP(K61,EmTruck1,4)*VLOOKUP(ProjLoc,EmCost,4)+VLOOKUP(K61,EmTruck1,5)*VLOOKUP(ProjLoc,EmCost,5)+VLOOKUP(K61,EmTruck1,6)*VLOOKUP(ProjLoc,EmCost,6)+VLOOKUP(K61,EmTruck1,7)*VLOOKUP(ProjLoc,EmCost,7)),0)</f>
        <v>18478.783978198087</v>
      </c>
      <c r="R61" s="802">
        <f>IF(INDEX(HwyTransitModelGroup,A50,1)=Hwy,D61*(1-N61)*0.00000110231131*(VLOOKUP(L61,EmAuto1,2)*VLOOKUP(ProjLoc,EmCost,2)+VLOOKUP(L61,EmAuto1,3)*VLOOKUP(ProjLoc,EmCost,3)*(1+CO2Uprater)^($B61-YearCurrent)+VLOOKUP(L61,EmAuto1,4)*VLOOKUP(ProjLoc,EmCost,4)+VLOOKUP(L61,EmAuto1,5)*VLOOKUP(ProjLoc,EmCost,5)+VLOOKUP(L61,EmAuto1,6)*VLOOKUP(ProjLoc,EmCost,6)+VLOOKUP(L61,EmAuto1,7)*VLOOKUP(ProjLoc,EmCost,7))+D61*N61*0.00000110231131*(VLOOKUP(L61,EmTruck1,2)*VLOOKUP(ProjLoc,EmCost,2)+VLOOKUP(L61,EmTruck1,3)*VLOOKUP(ProjLoc,EmCost,3)*(1+CO2Uprater)^($B61-YearCurrent)+VLOOKUP(L61,EmTruck1,4)*VLOOKUP(ProjLoc,EmCost,4)+VLOOKUP(L61,EmTruck1,5)*VLOOKUP(ProjLoc,EmCost,5)+VLOOKUP(L61,EmTruck1,6)*VLOOKUP(ProjLoc,EmCost,6)+VLOOKUP(L61,EmTruck1,7)*VLOOKUP(ProjLoc,EmCost,7)),0)</f>
        <v>19281.31980916849</v>
      </c>
      <c r="S61" s="729">
        <f>IF(INDEX(HwyTransitModelGroup,A50,1)=Hwy,O61*(1-M61)*0.00000110231131*(VLOOKUP(0,EmAuto1,2)*VLOOKUP(ProjLoc,EmCost,2)+VLOOKUP(0,EmAuto1,3)*VLOOKUP(ProjLoc,EmCost,3)*(1+CO2Uprater)^($B61-YearCurrent)+VLOOKUP(0,EmAuto1,4)*VLOOKUP(ProjLoc,EmCost,4)+VLOOKUP(0,EmAuto1,5)*VLOOKUP(ProjLoc,EmCost,5)+VLOOKUP(0,EmAuto1,6)*VLOOKUP(ProjLoc,EmCost,6)+VLOOKUP(0,EmAuto1,7)*VLOOKUP(ProjLoc,EmCost,7))+O61*M61*0.00000110231131*(VLOOKUP(0,EmTruck1,2)*VLOOKUP(ProjLoc,EmCost,2)+VLOOKUP(0,EmTruck1,3)*VLOOKUP(ProjLoc,EmCost,3)*(1+CO2Uprater)^($B61-YearCurrent)+VLOOKUP(0,EmTruck1,4)*VLOOKUP(ProjLoc,EmCost,4)+VLOOKUP(0,EmTruck1,5)*VLOOKUP(ProjLoc,EmCost,5)+VLOOKUP(0,EmTruck1,6)*VLOOKUP(ProjLoc,EmCost,6)+VLOOKUP(0,EmTruck1,7)*VLOOKUP(ProjLoc,EmCost,7)),0)</f>
        <v>0</v>
      </c>
      <c r="T61" s="802">
        <f>IF(INDEX(HwyTransitModelGroup,A50,1)=Hwy,P61*(1-N61)*0.00000110231131*(VLOOKUP(0,EmAuto1,2)*VLOOKUP(ProjLoc,EmCost,2)+VLOOKUP(0,EmAuto1,3)*VLOOKUP(ProjLoc,EmCost,3)*(1+CO2Uprater)^($B61-YearCurrent)+VLOOKUP(0,EmAuto1,4)*VLOOKUP(ProjLoc,EmCost,4)+VLOOKUP(0,EmAuto1,5)*VLOOKUP(ProjLoc,EmCost,5)+VLOOKUP(0,EmAuto1,6)*VLOOKUP(ProjLoc,EmCost,6)+VLOOKUP(0,EmAuto1,7)*VLOOKUP(ProjLoc,EmCost,7))+P61*N61*0.00000110231131*(VLOOKUP(0,EmTruck1,2)*VLOOKUP(ProjLoc,EmCost,2)+VLOOKUP(0,EmTruck1,3)*VLOOKUP(ProjLoc,EmCost,3)*(1+CO2Uprater)^($B61-YearCurrent)+VLOOKUP(0,EmTruck1,4)*VLOOKUP(ProjLoc,EmCost,4)+VLOOKUP(0,EmTruck1,5)*VLOOKUP(ProjLoc,EmCost,5)+VLOOKUP(0,EmTruck1,6)*VLOOKUP(ProjLoc,EmCost,6)+VLOOKUP(0,EmTruck1,7)*VLOOKUP(ProjLoc,EmCost,7)),0)</f>
        <v>0</v>
      </c>
      <c r="U61" s="729">
        <f>IF(INDEX(HwyTransitModelGroup,A50,1)=PARAMETERS!$J$9,C61*0.00000110231131*(VLOOKUP(K61,EmBus1,2)*VLOOKUP(ProjLoc,EmCost,2)+VLOOKUP(K61,EmBus1,3)*VLOOKUP(ProjLoc,EmCost,3)*(1+CO2Uprater)^($B61-YearCurrent)+VLOOKUP(K61,EmBus1,4)*VLOOKUP(ProjLoc,EmCost,4)+VLOOKUP(K61,EmBus1,5)*VLOOKUP(ProjLoc,EmCost,5)+VLOOKUP(K61,EmBus1,6)*VLOOKUP(ProjLoc,EmCost,6)+VLOOKUP(K61,EmBus1,7)*VLOOKUP(ProjLoc,EmCost,7)),0)</f>
        <v>0</v>
      </c>
      <c r="V61" s="802">
        <f>IF(INDEX(HwyTransitModelGroup,A50,1)=PARAMETERS!$J$9,D61*0.00000110231131*(VLOOKUP(L61,EmBus1,2)*VLOOKUP(ProjLoc,EmCost,2)+VLOOKUP(L61,EmBus1,3)*VLOOKUP(ProjLoc,EmCost,3)*(1+CO2Uprater)^($B61-YearCurrent)+VLOOKUP(L61,EmBus1,4)*VLOOKUP(ProjLoc,EmCost,4)+VLOOKUP(L61,EmBus1,5)*VLOOKUP(ProjLoc,EmCost,5)+VLOOKUP(L61,EmBus1,6)*VLOOKUP(ProjLoc,EmCost,6)+VLOOKUP(L61,EmBus1,7)*VLOOKUP(ProjLoc,EmCost,7)),0)</f>
        <v>0</v>
      </c>
      <c r="W61" s="808">
        <f>IF(INDEX(HwyTransitModelGroup,A50,1)=PARAMETERS!$J$10,C61*0.00000110231131*(PARAMETERS!$CQ$28*VLOOKUP(ProjLoc,EmCost,2)+PARAMETERS!$CR$28*VLOOKUP(ProjLoc,EmCost,3)*(1+CO2Uprater)^($B61-YearCurrent)+PARAMETERS!$CS$28*VLOOKUP(ProjLoc,EmCost,4)+PARAMETERS!$CT$28*VLOOKUP(ProjLoc,EmCost,5)+PARAMETERS!$CU$28*VLOOKUP(ProjLoc,EmCost,6)+PARAMETERS!$CV$28*VLOOKUP(ProjLoc,EmCost,7)),0)</f>
        <v>0</v>
      </c>
      <c r="X61" s="844">
        <f>IF(INDEX(HwyTransitModelGroup,A50,1)=PARAMETERS!$J$10,D61*0.00000110231131*(PARAMETERS!$CQ$28*VLOOKUP(ProjLoc,EmCost,2)+PARAMETERS!$CR$28*VLOOKUP(ProjLoc,EmCost,3)*(1+CO2Uprater)^($B61-YearCurrent)+PARAMETERS!$CS$28*VLOOKUP(ProjLoc,EmCost,4)+PARAMETERS!$CT$28*VLOOKUP(ProjLoc,EmCost,5)+PARAMETERS!$CU$28*VLOOKUP(ProjLoc,EmCost,6)+PARAMETERS!$CV$28*VLOOKUP(ProjLoc,EmCost,7)),0)</f>
        <v>0</v>
      </c>
      <c r="Y61" s="808">
        <f>IF(INDEX(HwyTransitModelGroup,A50,1)=PARAMETERS!$J$11,C61*0.00000110231131*(PARAMETERS!$CQ$36*VLOOKUP(ProjLoc,EmCost,2)+PARAMETERS!$CR$36*VLOOKUP(ProjLoc,EmCost,3)*(1+CO2Uprater)^($B61-YearCurrent)+PARAMETERS!$CS$36*VLOOKUP(ProjLoc,EmCost,4)+PARAMETERS!$CT$36*VLOOKUP(ProjLoc,EmCost,5)+PARAMETERS!$CU$36*VLOOKUP(ProjLoc,EmCost,6)+PARAMETERS!$CV$36*VLOOKUP(ProjLoc,EmCost,7)),0)</f>
        <v>0</v>
      </c>
      <c r="Z61" s="844">
        <f>IF(INDEX(HwyTransitModelGroup,A50,1)=PARAMETERS!$J$11,D61*0.00000110231131*(PARAMETERS!$CQ$36*VLOOKUP(ProjLoc,EmCost,2)+PARAMETERS!$CR$36*VLOOKUP(ProjLoc,EmCost,3)*(1+CO2Uprater)^($B61-YearCurrent)+PARAMETERS!$CS$36*VLOOKUP(ProjLoc,EmCost,4)+PARAMETERS!$CT$36*VLOOKUP(ProjLoc,EmCost,5)+PARAMETERS!$CU$36*VLOOKUP(ProjLoc,EmCost,6)+PARAMETERS!$CV$36*VLOOKUP(ProjLoc,EmCost,7)),0)</f>
        <v>0</v>
      </c>
      <c r="AA61" s="369">
        <f t="shared" si="19"/>
        <v>-802.53583097040246</v>
      </c>
      <c r="AB61" s="370">
        <f t="shared" si="20"/>
        <v>-634.25572463482195</v>
      </c>
      <c r="AC61" s="371"/>
      <c r="AD61" s="401">
        <f>IF(INDEX(HwyTransitModelGroup,A50,1)=Hwy,0.00000110231131*(C61*(1-M61)*VLOOKUP(K61,EmAuto1,2)-D61*(1-N61)*VLOOKUP(L61,EmAuto1,2)+(O61*(1-M61)-P61*(1-N61))*VLOOKUP(0,EmAuto1,2))+0.00000110231131*(C61*M61*VLOOKUP(K61,EmTruck1,2)-D61*N61*VLOOKUP(L61,EmTruck1,2)+(O61*M61-P61*N61)*VLOOKUP(0,EmTruck1,2)),0)</f>
        <v>-3.6733712531423642E-3</v>
      </c>
      <c r="AE61" s="863">
        <f>IF(INDEX(HwyTransitModelGroup,A50,1)=Hwy,0.00000110231131*(C61*(1-M61)*VLOOKUP(K61,EmAuto1,3)-D61*(1-N61)*VLOOKUP(L61,EmAuto1,3)+(O61*(1-M61)-P61*(1-N61))*VLOOKUP(0,EmAuto1,3))+0.00000110231131*(C61*M61*VLOOKUP(K61,EmTruck1,3)-D61*N61*VLOOKUP(L61,EmTruck1,3)+(O61*M61-P61*N61)*VLOOKUP(0,EmTruck1,3)),0)</f>
        <v>-12.794876011234727</v>
      </c>
      <c r="AF61" s="861">
        <f>IF(INDEX(HwyTransitModelGroup,A50,1)=Hwy,0.00000110231131*(C61*(1-M61)*VLOOKUP(K61,EmAuto1,4)-D61*(1-N61)*VLOOKUP(L61,EmAuto1,4)+(O61*(1-M61)-P61*(1-N61))*VLOOKUP(0,EmAuto1,4))+0.00000110231131*(C61*M61*VLOOKUP(K61,EmTruck1,4)-D61*N61*VLOOKUP(L61,EmTruck1,4)+(O61*M61-P61*N61)*VLOOKUP(0,EmTruck1,4)),0)</f>
        <v>-5.5331143883556528E-3</v>
      </c>
      <c r="AG61" s="863">
        <f>IF(INDEX(HwyTransitModelGroup,A50,1)=Hwy,0.00000110231131*(C61*(1-M61)*VLOOKUP(K61,EmAuto1,5)-D61*(1-N61)*VLOOKUP(L61,EmAuto1,5)+(O61*(1-M61)-P61*(1-N61))*VLOOKUP(0,EmAuto1,5))+0.00000110231131*(C61*M61*VLOOKUP(K61,EmTruck1,5)-D61*N61*VLOOKUP(L61,EmTruck1,5)+(O61*M61-P61*N61)*VLOOKUP(0,EmTruck1,5)),0)</f>
        <v>-1.5772884129422953E-4</v>
      </c>
      <c r="AH61" s="861">
        <f>IF(INDEX(HwyTransitModelGroup,A50,1)=Hwy,0.00000110231131*(C61*(1-M61)*VLOOKUP(K61,EmAuto1,6)-D61*(1-N61)*VLOOKUP(L61,EmAuto1,6)+(O61*(1-M61)-P61*(1-N61))*VLOOKUP(0,EmAuto1,6))+0.00000110231131*(C61*M61*VLOOKUP(K61,EmTruck1,6)-D61*N61*VLOOKUP(L61,EmTruck1,6)+(O61*M61-P61*N61)*VLOOKUP(0,EmTruck1,6)),0)</f>
        <v>-1.4599070734913009E-4</v>
      </c>
      <c r="AI61" s="863">
        <f>IF(INDEX(HwyTransitModelGroup,A50,1)=Hwy,0.00000110231131*(C61*(1-M61)*VLOOKUP(K61,EmAuto1,7)-D61*(1-N61)*VLOOKUP(L61,EmAuto1,7)+(O61*(1-M61)-P61*(1-N61))*VLOOKUP(0,EmAuto1,7))+0.00000110231131*(C61*M61*VLOOKUP(K61,EmTruck1,7)-D61*N61*VLOOKUP(L61,EmTruck1,7)+(O61*M61-P61*N61)*VLOOKUP(0,EmTruck1,7)),0)</f>
        <v>-3.0916567199400458E-5</v>
      </c>
      <c r="AJ61" s="861">
        <f>IF(INDEX(HwyTransitModelGroup,A50,1)=Hwy,0.00000110231131*(C61*(1-M61)*VLOOKUP(K61,EmAuto1,8)-D61*(1-N61)*VLOOKUP(L61,EmAuto1,8)+(O61*(1-M61)-P61*(1-N61))*VLOOKUP(0,EmAuto1,8))+0.00000110231131*(C61*M61*VLOOKUP(K61,EmTruck1,8)-D61*N61*VLOOKUP(L61,EmTruck1,8)+(O61*M61-P61*N61)*VLOOKUP(0,EmTruck1,8)),0)</f>
        <v>-1.3987427951399418E-4</v>
      </c>
      <c r="AK61" s="401">
        <f>IF(INDEX(HwyTransitModelGroup,A50,1)=PARAMETERS!$J$9,0.00000110231131*(C61*VLOOKUP(K61,EmBus1,2)-D61*VLOOKUP(L61,EmBus1,2)+(O61-P61)*VLOOKUP(0,EmBus1,2)),0)</f>
        <v>0</v>
      </c>
      <c r="AL61" s="863">
        <f>IF(INDEX(HwyTransitModelGroup,A50,1)=PARAMETERS!$J$9,0.00000110231131*(C61*VLOOKUP(K61,EmBus1,3)-D61*VLOOKUP(L61,EmBus1,3)+(O61-P61)*VLOOKUP(0,EmBus1,3)),0)</f>
        <v>0</v>
      </c>
      <c r="AM61" s="861">
        <f>IF(INDEX(HwyTransitModelGroup,A50,1)=PARAMETERS!$J$9,0.00000110231131*(C61*VLOOKUP(K61,EmBus1,4)-D61*VLOOKUP(L61,EmBus1,4)+(O61-P61)*VLOOKUP(0,EmBus1,4)),0)</f>
        <v>0</v>
      </c>
      <c r="AN61" s="863">
        <f>IF(INDEX(HwyTransitModelGroup,A50,1)=PARAMETERS!$J$9,0.00000110231131*(C61*VLOOKUP(K61,EmBus1,5)-D61*VLOOKUP(L61,EmBus1,5)+(O61-P61)*VLOOKUP(0,EmBus1,5)),0)</f>
        <v>0</v>
      </c>
      <c r="AO61" s="861">
        <f>IF(INDEX(HwyTransitModelGroup,A50,1)=PARAMETERS!$J$9,0.00000110231131*(C61*VLOOKUP(K61,EmBus1,6)-D61*VLOOKUP(L61,EmBus1,6)+(O61-P61)*VLOOKUP(0,EmBus1,6)),0)</f>
        <v>0</v>
      </c>
      <c r="AP61" s="863">
        <f>IF(INDEX(HwyTransitModelGroup,A50,1)=PARAMETERS!$J$9,0.00000110231131*(C61*VLOOKUP(K61,EmBus1,7)-D61*VLOOKUP(L61,EmBus1,7)+(O61-P61)*VLOOKUP(0,EmBus1,7)),0)</f>
        <v>0</v>
      </c>
      <c r="AQ61" s="861">
        <f>IF(INDEX(HwyTransitModelGroup,A50,1)=PARAMETERS!$J$9,0.00000110231131*(C61*VLOOKUP(K61,EmBus1,8)-D61*VLOOKUP(L61,EmBus1,8)+(O61-P61)*VLOOKUP(0,EmBus1,8)),0)</f>
        <v>0</v>
      </c>
      <c r="AR61" s="401">
        <f>IF(INDEX(HwyTransitModelGroup,A50,1)=PARAMETERS!$J$10,0.00000110231131*((C61-D61)*PARAMETERS!$CQ$28),0)</f>
        <v>0</v>
      </c>
      <c r="AS61" s="863">
        <f>IF(INDEX(HwyTransitModelGroup,A50,1)=PARAMETERS!$J$10,0.00000110231131*((C61-D61)*PARAMETERS!$CR$28),0)</f>
        <v>0</v>
      </c>
      <c r="AT61" s="861">
        <f>IF(INDEX(HwyTransitModelGroup,A50,1)=PARAMETERS!$J$10,0.00000110231131*((C61-D61)*PARAMETERS!$CS$28),0)</f>
        <v>0</v>
      </c>
      <c r="AU61" s="863">
        <f>IF(INDEX(HwyTransitModelGroup,A50,1)=PARAMETERS!$J$10,0.00000110231131*((C61-D61)*PARAMETERS!$CT$28),0)</f>
        <v>0</v>
      </c>
      <c r="AV61" s="861">
        <f>IF(INDEX(HwyTransitModelGroup,A50,1)=PARAMETERS!$J$10,0.00000110231131*((C61-D61)*PARAMETERS!$CU$28),0)</f>
        <v>0</v>
      </c>
      <c r="AW61" s="863">
        <f>IF(INDEX(HwyTransitModelGroup,A50,1)=PARAMETERS!$J$10,0.00000110231131*((C61-D61)*PARAMETERS!$CV$28),0)</f>
        <v>0</v>
      </c>
      <c r="AX61" s="861">
        <f>IF(INDEX(HwyTransitModelGroup,A50,1)=PARAMETERS!$J$10,0.00000110231131*((C61-D61)*PARAMETERS!$CW$28),0)</f>
        <v>0</v>
      </c>
      <c r="AY61" s="401">
        <f>IF(INDEX(HwyTransitModelGroup,A50,1)=PARAMETERS!$J$11,0.00000110231131*((C61-D61)*PARAMETERS!$CQ$36),0)</f>
        <v>0</v>
      </c>
      <c r="AZ61" s="863">
        <f>IF(INDEX(HwyTransitModelGroup,A50,1)=PARAMETERS!$J$11,0.00000110231131*((C61-D61)*PARAMETERS!$CR$36),0)</f>
        <v>0</v>
      </c>
      <c r="BA61" s="861">
        <f>IF(INDEX(HwyTransitModelGroup,A50,1)=PARAMETERS!$J$11,0.00000110231131*((C61-D61)*PARAMETERS!$CS$36),0)</f>
        <v>0</v>
      </c>
      <c r="BB61" s="863">
        <f>IF(INDEX(HwyTransitModelGroup,A50,1)=PARAMETERS!$J$11,0.00000110231131*((C61-D61)*PARAMETERS!$CT$36),0)</f>
        <v>0</v>
      </c>
      <c r="BC61" s="861">
        <f>IF(INDEX(HwyTransitModelGroup,A50,1)=PARAMETERS!$J$11,0.00000110231131*((C61-D61)*PARAMETERS!$CU$36),0)</f>
        <v>0</v>
      </c>
      <c r="BD61" s="863">
        <f>IF(INDEX(HwyTransitModelGroup,A50,1)=PARAMETERS!$J$11,0.00000110231131*((C61-D61)*PARAMETERS!$CV$36),0)</f>
        <v>0</v>
      </c>
      <c r="BE61" s="865">
        <f>IF(INDEX(HwyTransitModelGroup,A50,1)=PARAMETERS!$J$11,0.00000110231131*((C61-D61)*PARAMETERS!$CW$36),0)</f>
        <v>0</v>
      </c>
      <c r="BF61" s="729">
        <f t="shared" si="21"/>
        <v>-0.2322494927806367</v>
      </c>
      <c r="BG61" s="867">
        <f t="shared" si="22"/>
        <v>-546.61093289016048</v>
      </c>
      <c r="BH61" s="867">
        <f t="shared" si="23"/>
        <v>-66.030800172023532</v>
      </c>
      <c r="BI61" s="867">
        <f t="shared" si="24"/>
        <v>-14.547284526645065</v>
      </c>
      <c r="BJ61" s="867">
        <f t="shared" si="25"/>
        <v>-6.8073360217385384</v>
      </c>
      <c r="BK61" s="869">
        <f t="shared" si="26"/>
        <v>-2.7121531479172168E-2</v>
      </c>
      <c r="BL61" s="392"/>
      <c r="BN61" s="375">
        <f t="shared" si="27"/>
        <v>2029</v>
      </c>
      <c r="BO61" s="871">
        <f t="shared" ca="1" si="17"/>
        <v>8.040129766604464E-3</v>
      </c>
      <c r="BP61" s="871">
        <f t="shared" ca="1" si="18"/>
        <v>-3.739437525321734E-3</v>
      </c>
      <c r="BQ61" s="871">
        <f t="shared" ca="1" si="18"/>
        <v>6.8895524086513241E-2</v>
      </c>
      <c r="BR61" s="871">
        <f t="shared" ca="1" si="18"/>
        <v>0.31627698336767673</v>
      </c>
      <c r="BS61" s="871">
        <f t="shared" ca="1" si="18"/>
        <v>1.0404872802362644</v>
      </c>
      <c r="BT61" s="871">
        <f t="shared" ca="1" si="18"/>
        <v>1.4460895618525043</v>
      </c>
    </row>
    <row r="62" spans="1:72" x14ac:dyDescent="0.25">
      <c r="B62" s="375">
        <f t="shared" si="28"/>
        <v>2029</v>
      </c>
      <c r="C62" s="401">
        <f>MAX(TREND(C56:C57,B56:B57,B62),0)</f>
        <v>573597.5</v>
      </c>
      <c r="D62" s="402">
        <f>MAX(TREND(D56:D57,B56:B57,B62),0)</f>
        <v>584784.75</v>
      </c>
      <c r="E62" s="401">
        <f>MAX(TREND(E56:E57,B56:B57,B62),0)</f>
        <v>10822.25</v>
      </c>
      <c r="F62" s="402">
        <f>MAX(TREND(F56:F57,B56:B57,B62),0)</f>
        <v>10767.5</v>
      </c>
      <c r="G62" s="401">
        <f>MAX(TREND(G56:G57,B56:B57,B62),0)</f>
        <v>0</v>
      </c>
      <c r="H62" s="402">
        <f>MAX(TREND(H56:H57,B56:B57,B62),0)</f>
        <v>0</v>
      </c>
      <c r="I62" s="401">
        <f>MAX(TREND(I56:I57,B56:B57,B62),0)</f>
        <v>0</v>
      </c>
      <c r="J62" s="402">
        <f>MAX(TREND(J56:J57,B56:B57,B62),0)</f>
        <v>0</v>
      </c>
      <c r="K62" s="435">
        <f>IFERROR(IF(INDEX(HwyTransitModelGroup,A50,1)=Hwy,MAX(5,ROUND(C62/E62,1)),MAX(5,ROUND(G62/I62,1))),55)</f>
        <v>53</v>
      </c>
      <c r="L62" s="436">
        <f>IFERROR(IF(INDEX(HwyTransitModelGroup,A50,1)=Hwy,MAX(5,ROUND(D62/F62,1)),MAX(5,ROUND(H62/J62,1))),55)</f>
        <v>54.3</v>
      </c>
      <c r="M62" s="405">
        <f>MIN(MAX(TREND(M56:M57,B56:B57,B62),0),1)</f>
        <v>0.24</v>
      </c>
      <c r="N62" s="406">
        <f>MIN(MAX(TREND(N56:N57,B56:B57,B62),0),1)</f>
        <v>0.24</v>
      </c>
      <c r="O62" s="401">
        <f>MAX(TREND(O56:O57,B56:B57,B62),0)</f>
        <v>0</v>
      </c>
      <c r="P62" s="402">
        <f>MAX(TREND(P56:P57,B56:B57,B62),0)</f>
        <v>0</v>
      </c>
      <c r="Q62" s="729">
        <f>IF(INDEX(HwyTransitModelGroup,A50,1)=Hwy,C62*(1-M62)*0.00000110231131*(VLOOKUP(K62,EmAuto1,2)*VLOOKUP(ProjLoc,EmCost,2)+VLOOKUP(K62,EmAuto1,3)*VLOOKUP(ProjLoc,EmCost,3)*(1+CO2Uprater)^($B62-YearCurrent)+VLOOKUP(K62,EmAuto1,4)*VLOOKUP(ProjLoc,EmCost,4)+VLOOKUP(K62,EmAuto1,5)*VLOOKUP(ProjLoc,EmCost,5)+VLOOKUP(K62,EmAuto1,6)*VLOOKUP(ProjLoc,EmCost,6)+VLOOKUP(K62,EmAuto1,7)*VLOOKUP(ProjLoc,EmCost,7))+C62*M62*0.00000110231131*(VLOOKUP(K62,EmTruck1,2)*VLOOKUP(ProjLoc,EmCost,2)+VLOOKUP(K62,EmTruck1,3)*VLOOKUP(ProjLoc,EmCost,3)*(1+CO2Uprater)^($B62-YearCurrent)+VLOOKUP(K62,EmTruck1,4)*VLOOKUP(ProjLoc,EmCost,4)+VLOOKUP(K62,EmTruck1,5)*VLOOKUP(ProjLoc,EmCost,5)+VLOOKUP(K62,EmTruck1,6)*VLOOKUP(ProjLoc,EmCost,6)+VLOOKUP(K62,EmTruck1,7)*VLOOKUP(ProjLoc,EmCost,7)),0)</f>
        <v>19127.631256830842</v>
      </c>
      <c r="R62" s="802">
        <f>IF(INDEX(HwyTransitModelGroup,A50,1)=Hwy,D62*(1-N62)*0.00000110231131*(VLOOKUP(L62,EmAuto1,2)*VLOOKUP(ProjLoc,EmCost,2)+VLOOKUP(L62,EmAuto1,3)*VLOOKUP(ProjLoc,EmCost,3)*(1+CO2Uprater)^($B62-YearCurrent)+VLOOKUP(L62,EmAuto1,4)*VLOOKUP(ProjLoc,EmCost,4)+VLOOKUP(L62,EmAuto1,5)*VLOOKUP(ProjLoc,EmCost,5)+VLOOKUP(L62,EmAuto1,6)*VLOOKUP(ProjLoc,EmCost,6)+VLOOKUP(L62,EmAuto1,7)*VLOOKUP(ProjLoc,EmCost,7))+D62*N62*0.00000110231131*(VLOOKUP(L62,EmTruck1,2)*VLOOKUP(ProjLoc,EmCost,2)+VLOOKUP(L62,EmTruck1,3)*VLOOKUP(ProjLoc,EmCost,3)*(1+CO2Uprater)^($B62-YearCurrent)+VLOOKUP(L62,EmTruck1,4)*VLOOKUP(ProjLoc,EmCost,4)+VLOOKUP(L62,EmTruck1,5)*VLOOKUP(ProjLoc,EmCost,5)+VLOOKUP(L62,EmTruck1,6)*VLOOKUP(ProjLoc,EmCost,6)+VLOOKUP(L62,EmTruck1,7)*VLOOKUP(ProjLoc,EmCost,7)),0)</f>
        <v>19959.004299983757</v>
      </c>
      <c r="S62" s="729">
        <f>IF(INDEX(HwyTransitModelGroup,A50,1)=Hwy,O62*(1-M62)*0.00000110231131*(VLOOKUP(0,EmAuto1,2)*VLOOKUP(ProjLoc,EmCost,2)+VLOOKUP(0,EmAuto1,3)*VLOOKUP(ProjLoc,EmCost,3)*(1+CO2Uprater)^($B62-YearCurrent)+VLOOKUP(0,EmAuto1,4)*VLOOKUP(ProjLoc,EmCost,4)+VLOOKUP(0,EmAuto1,5)*VLOOKUP(ProjLoc,EmCost,5)+VLOOKUP(0,EmAuto1,6)*VLOOKUP(ProjLoc,EmCost,6)+VLOOKUP(0,EmAuto1,7)*VLOOKUP(ProjLoc,EmCost,7))+O62*M62*0.00000110231131*(VLOOKUP(0,EmTruck1,2)*VLOOKUP(ProjLoc,EmCost,2)+VLOOKUP(0,EmTruck1,3)*VLOOKUP(ProjLoc,EmCost,3)*(1+CO2Uprater)^($B62-YearCurrent)+VLOOKUP(0,EmTruck1,4)*VLOOKUP(ProjLoc,EmCost,4)+VLOOKUP(0,EmTruck1,5)*VLOOKUP(ProjLoc,EmCost,5)+VLOOKUP(0,EmTruck1,6)*VLOOKUP(ProjLoc,EmCost,6)+VLOOKUP(0,EmTruck1,7)*VLOOKUP(ProjLoc,EmCost,7)),0)</f>
        <v>0</v>
      </c>
      <c r="T62" s="802">
        <f>IF(INDEX(HwyTransitModelGroup,A50,1)=Hwy,P62*(1-N62)*0.00000110231131*(VLOOKUP(0,EmAuto1,2)*VLOOKUP(ProjLoc,EmCost,2)+VLOOKUP(0,EmAuto1,3)*VLOOKUP(ProjLoc,EmCost,3)*(1+CO2Uprater)^($B62-YearCurrent)+VLOOKUP(0,EmAuto1,4)*VLOOKUP(ProjLoc,EmCost,4)+VLOOKUP(0,EmAuto1,5)*VLOOKUP(ProjLoc,EmCost,5)+VLOOKUP(0,EmAuto1,6)*VLOOKUP(ProjLoc,EmCost,6)+VLOOKUP(0,EmAuto1,7)*VLOOKUP(ProjLoc,EmCost,7))+P62*N62*0.00000110231131*(VLOOKUP(0,EmTruck1,2)*VLOOKUP(ProjLoc,EmCost,2)+VLOOKUP(0,EmTruck1,3)*VLOOKUP(ProjLoc,EmCost,3)*(1+CO2Uprater)^($B62-YearCurrent)+VLOOKUP(0,EmTruck1,4)*VLOOKUP(ProjLoc,EmCost,4)+VLOOKUP(0,EmTruck1,5)*VLOOKUP(ProjLoc,EmCost,5)+VLOOKUP(0,EmTruck1,6)*VLOOKUP(ProjLoc,EmCost,6)+VLOOKUP(0,EmTruck1,7)*VLOOKUP(ProjLoc,EmCost,7)),0)</f>
        <v>0</v>
      </c>
      <c r="U62" s="729">
        <f>IF(INDEX(HwyTransitModelGroup,A50,1)=PARAMETERS!$J$9,C62*0.00000110231131*(VLOOKUP(K62,EmBus1,2)*VLOOKUP(ProjLoc,EmCost,2)+VLOOKUP(K62,EmBus1,3)*VLOOKUP(ProjLoc,EmCost,3)*(1+CO2Uprater)^($B62-YearCurrent)+VLOOKUP(K62,EmBus1,4)*VLOOKUP(ProjLoc,EmCost,4)+VLOOKUP(K62,EmBus1,5)*VLOOKUP(ProjLoc,EmCost,5)+VLOOKUP(K62,EmBus1,6)*VLOOKUP(ProjLoc,EmCost,6)+VLOOKUP(K62,EmBus1,7)*VLOOKUP(ProjLoc,EmCost,7)),0)</f>
        <v>0</v>
      </c>
      <c r="V62" s="802">
        <f>IF(INDEX(HwyTransitModelGroup,A50,1)=PARAMETERS!$J$9,D62*0.00000110231131*(VLOOKUP(L62,EmBus1,2)*VLOOKUP(ProjLoc,EmCost,2)+VLOOKUP(L62,EmBus1,3)*VLOOKUP(ProjLoc,EmCost,3)*(1+CO2Uprater)^($B62-YearCurrent)+VLOOKUP(L62,EmBus1,4)*VLOOKUP(ProjLoc,EmCost,4)+VLOOKUP(L62,EmBus1,5)*VLOOKUP(ProjLoc,EmCost,5)+VLOOKUP(L62,EmBus1,6)*VLOOKUP(ProjLoc,EmCost,6)+VLOOKUP(L62,EmBus1,7)*VLOOKUP(ProjLoc,EmCost,7)),0)</f>
        <v>0</v>
      </c>
      <c r="W62" s="808">
        <f>IF(INDEX(HwyTransitModelGroup,A50,1)=PARAMETERS!$J$10,C62*0.00000110231131*(PARAMETERS!$CQ$28*VLOOKUP(ProjLoc,EmCost,2)+PARAMETERS!$CR$28*VLOOKUP(ProjLoc,EmCost,3)*(1+CO2Uprater)^($B62-YearCurrent)+PARAMETERS!$CS$28*VLOOKUP(ProjLoc,EmCost,4)+PARAMETERS!$CT$28*VLOOKUP(ProjLoc,EmCost,5)+PARAMETERS!$CU$28*VLOOKUP(ProjLoc,EmCost,6)+PARAMETERS!$CV$28*VLOOKUP(ProjLoc,EmCost,7)),0)</f>
        <v>0</v>
      </c>
      <c r="X62" s="844">
        <f>IF(INDEX(HwyTransitModelGroup,A50,1)=PARAMETERS!$J$10,D62*0.00000110231131*(PARAMETERS!$CQ$28*VLOOKUP(ProjLoc,EmCost,2)+PARAMETERS!$CR$28*VLOOKUP(ProjLoc,EmCost,3)*(1+CO2Uprater)^($B62-YearCurrent)+PARAMETERS!$CS$28*VLOOKUP(ProjLoc,EmCost,4)+PARAMETERS!$CT$28*VLOOKUP(ProjLoc,EmCost,5)+PARAMETERS!$CU$28*VLOOKUP(ProjLoc,EmCost,6)+PARAMETERS!$CV$28*VLOOKUP(ProjLoc,EmCost,7)),0)</f>
        <v>0</v>
      </c>
      <c r="Y62" s="808">
        <f>IF(INDEX(HwyTransitModelGroup,A50,1)=PARAMETERS!$J$11,C62*0.00000110231131*(PARAMETERS!$CQ$36*VLOOKUP(ProjLoc,EmCost,2)+PARAMETERS!$CR$36*VLOOKUP(ProjLoc,EmCost,3)*(1+CO2Uprater)^($B62-YearCurrent)+PARAMETERS!$CS$36*VLOOKUP(ProjLoc,EmCost,4)+PARAMETERS!$CT$36*VLOOKUP(ProjLoc,EmCost,5)+PARAMETERS!$CU$36*VLOOKUP(ProjLoc,EmCost,6)+PARAMETERS!$CV$36*VLOOKUP(ProjLoc,EmCost,7)),0)</f>
        <v>0</v>
      </c>
      <c r="Z62" s="844">
        <f>IF(INDEX(HwyTransitModelGroup,A50,1)=PARAMETERS!$J$11,D62*0.00000110231131*(PARAMETERS!$CQ$36*VLOOKUP(ProjLoc,EmCost,2)+PARAMETERS!$CR$36*VLOOKUP(ProjLoc,EmCost,3)*(1+CO2Uprater)^($B62-YearCurrent)+PARAMETERS!$CS$36*VLOOKUP(ProjLoc,EmCost,4)+PARAMETERS!$CT$36*VLOOKUP(ProjLoc,EmCost,5)+PARAMETERS!$CU$36*VLOOKUP(ProjLoc,EmCost,6)+PARAMETERS!$CV$36*VLOOKUP(ProjLoc,EmCost,7)),0)</f>
        <v>0</v>
      </c>
      <c r="AA62" s="369">
        <f t="shared" si="19"/>
        <v>-831.37304315291476</v>
      </c>
      <c r="AB62" s="370">
        <f t="shared" si="20"/>
        <v>-631.7751849079076</v>
      </c>
      <c r="AC62" s="371"/>
      <c r="AD62" s="401">
        <f>IF(INDEX(HwyTransitModelGroup,A50,1)=Hwy,0.00000110231131*(C62*(1-M62)*VLOOKUP(K62,EmAuto1,2)-D62*(1-N62)*VLOOKUP(L62,EmAuto1,2)+(O62*(1-M62)-P62*(1-N62))*VLOOKUP(0,EmAuto1,2))+0.00000110231131*(C62*M62*VLOOKUP(K62,EmTruck1,2)-D62*N62*VLOOKUP(L62,EmTruck1,2)+(O62*M62-P62*N62)*VLOOKUP(0,EmTruck1,2)),0)</f>
        <v>-3.739437525321734E-3</v>
      </c>
      <c r="AE62" s="863">
        <f>IF(INDEX(HwyTransitModelGroup,A50,1)=Hwy,0.00000110231131*(C62*(1-M62)*VLOOKUP(K62,EmAuto1,3)-D62*(1-N62)*VLOOKUP(L62,EmAuto1,3)+(O62*(1-M62)-P62*(1-N62))*VLOOKUP(0,EmAuto1,3))+0.00000110231131*(C62*M62*VLOOKUP(K62,EmTruck1,3)-D62*N62*VLOOKUP(L62,EmTruck1,3)+(O62*M62-P62*N62)*VLOOKUP(0,EmTruck1,3)),0)</f>
        <v>-13.030096809294076</v>
      </c>
      <c r="AF62" s="861">
        <f>IF(INDEX(HwyTransitModelGroup,A50,1)=Hwy,0.00000110231131*(C62*(1-M62)*VLOOKUP(K62,EmAuto1,4)-D62*(1-N62)*VLOOKUP(L62,EmAuto1,4)+(O62*(1-M62)-P62*(1-N62))*VLOOKUP(0,EmAuto1,4))+0.00000110231131*(C62*M62*VLOOKUP(K62,EmTruck1,4)-D62*N62*VLOOKUP(L62,EmTruck1,4)+(O62*M62-P62*N62)*VLOOKUP(0,EmTruck1,4)),0)</f>
        <v>-5.6345739443473168E-3</v>
      </c>
      <c r="AG62" s="863">
        <f>IF(INDEX(HwyTransitModelGroup,A50,1)=Hwy,0.00000110231131*(C62*(1-M62)*VLOOKUP(K62,EmAuto1,5)-D62*(1-N62)*VLOOKUP(L62,EmAuto1,5)+(O62*(1-M62)-P62*(1-N62))*VLOOKUP(0,EmAuto1,5))+0.00000110231131*(C62*M62*VLOOKUP(K62,EmTruck1,5)-D62*N62*VLOOKUP(L62,EmTruck1,5)+(O62*M62-P62*N62)*VLOOKUP(0,EmTruck1,5)),0)</f>
        <v>-1.6063158963388032E-4</v>
      </c>
      <c r="AH62" s="861">
        <f>IF(INDEX(HwyTransitModelGroup,A50,1)=Hwy,0.00000110231131*(C62*(1-M62)*VLOOKUP(K62,EmAuto1,6)-D62*(1-N62)*VLOOKUP(L62,EmAuto1,6)+(O62*(1-M62)-P62*(1-N62))*VLOOKUP(0,EmAuto1,6))+0.00000110231131*(C62*M62*VLOOKUP(K62,EmTruck1,6)-D62*N62*VLOOKUP(L62,EmTruck1,6)+(O62*M62-P62*N62)*VLOOKUP(0,EmTruck1,6)),0)</f>
        <v>-1.4867651200448269E-4</v>
      </c>
      <c r="AI62" s="863">
        <f>IF(INDEX(HwyTransitModelGroup,A50,1)=Hwy,0.00000110231131*(C62*(1-M62)*VLOOKUP(K62,EmAuto1,7)-D62*(1-N62)*VLOOKUP(L62,EmAuto1,7)+(O62*(1-M62)-P62*(1-N62))*VLOOKUP(0,EmAuto1,7))+0.00000110231131*(C62*M62*VLOOKUP(K62,EmTruck1,7)-D62*N62*VLOOKUP(L62,EmTruck1,7)+(O62*M62-P62*N62)*VLOOKUP(0,EmTruck1,7)),0)</f>
        <v>-3.1440660009428171E-5</v>
      </c>
      <c r="AJ62" s="861">
        <f>IF(INDEX(HwyTransitModelGroup,A50,1)=Hwy,0.00000110231131*(C62*(1-M62)*VLOOKUP(K62,EmAuto1,8)-D62*(1-N62)*VLOOKUP(L62,EmAuto1,8)+(O62*(1-M62)-P62*(1-N62))*VLOOKUP(0,EmAuto1,8))+0.00000110231131*(C62*M62*VLOOKUP(K62,EmTruck1,8)-D62*N62*VLOOKUP(L62,EmTruck1,8)+(O62*M62-P62*N62)*VLOOKUP(0,EmTruck1,8)),0)</f>
        <v>-1.4244783029709255E-4</v>
      </c>
      <c r="AK62" s="401">
        <f>IF(INDEX(HwyTransitModelGroup,A50,1)=PARAMETERS!$J$9,0.00000110231131*(C62*VLOOKUP(K62,EmBus1,2)-D62*VLOOKUP(L62,EmBus1,2)+(O62-P62)*VLOOKUP(0,EmBus1,2)),0)</f>
        <v>0</v>
      </c>
      <c r="AL62" s="863">
        <f>IF(INDEX(HwyTransitModelGroup,A50,1)=PARAMETERS!$J$9,0.00000110231131*(C62*VLOOKUP(K62,EmBus1,3)-D62*VLOOKUP(L62,EmBus1,3)+(O62-P62)*VLOOKUP(0,EmBus1,3)),0)</f>
        <v>0</v>
      </c>
      <c r="AM62" s="861">
        <f>IF(INDEX(HwyTransitModelGroup,A50,1)=PARAMETERS!$J$9,0.00000110231131*(C62*VLOOKUP(K62,EmBus1,4)-D62*VLOOKUP(L62,EmBus1,4)+(O62-P62)*VLOOKUP(0,EmBus1,4)),0)</f>
        <v>0</v>
      </c>
      <c r="AN62" s="863">
        <f>IF(INDEX(HwyTransitModelGroup,A50,1)=PARAMETERS!$J$9,0.00000110231131*(C62*VLOOKUP(K62,EmBus1,5)-D62*VLOOKUP(L62,EmBus1,5)+(O62-P62)*VLOOKUP(0,EmBus1,5)),0)</f>
        <v>0</v>
      </c>
      <c r="AO62" s="861">
        <f>IF(INDEX(HwyTransitModelGroup,A50,1)=PARAMETERS!$J$9,0.00000110231131*(C62*VLOOKUP(K62,EmBus1,6)-D62*VLOOKUP(L62,EmBus1,6)+(O62-P62)*VLOOKUP(0,EmBus1,6)),0)</f>
        <v>0</v>
      </c>
      <c r="AP62" s="863">
        <f>IF(INDEX(HwyTransitModelGroup,A50,1)=PARAMETERS!$J$9,0.00000110231131*(C62*VLOOKUP(K62,EmBus1,7)-D62*VLOOKUP(L62,EmBus1,7)+(O62-P62)*VLOOKUP(0,EmBus1,7)),0)</f>
        <v>0</v>
      </c>
      <c r="AQ62" s="861">
        <f>IF(INDEX(HwyTransitModelGroup,A50,1)=PARAMETERS!$J$9,0.00000110231131*(C62*VLOOKUP(K62,EmBus1,8)-D62*VLOOKUP(L62,EmBus1,8)+(O62-P62)*VLOOKUP(0,EmBus1,8)),0)</f>
        <v>0</v>
      </c>
      <c r="AR62" s="401">
        <f>IF(INDEX(HwyTransitModelGroup,A50,1)=PARAMETERS!$J$10,0.00000110231131*((C62-D62)*PARAMETERS!$CQ$28),0)</f>
        <v>0</v>
      </c>
      <c r="AS62" s="863">
        <f>IF(INDEX(HwyTransitModelGroup,A50,1)=PARAMETERS!$J$10,0.00000110231131*((C62-D62)*PARAMETERS!$CR$28),0)</f>
        <v>0</v>
      </c>
      <c r="AT62" s="861">
        <f>IF(INDEX(HwyTransitModelGroup,A50,1)=PARAMETERS!$J$10,0.00000110231131*((C62-D62)*PARAMETERS!$CS$28),0)</f>
        <v>0</v>
      </c>
      <c r="AU62" s="863">
        <f>IF(INDEX(HwyTransitModelGroup,A50,1)=PARAMETERS!$J$10,0.00000110231131*((C62-D62)*PARAMETERS!$CT$28),0)</f>
        <v>0</v>
      </c>
      <c r="AV62" s="861">
        <f>IF(INDEX(HwyTransitModelGroup,A50,1)=PARAMETERS!$J$10,0.00000110231131*((C62-D62)*PARAMETERS!$CU$28),0)</f>
        <v>0</v>
      </c>
      <c r="AW62" s="863">
        <f>IF(INDEX(HwyTransitModelGroup,A50,1)=PARAMETERS!$J$10,0.00000110231131*((C62-D62)*PARAMETERS!$CV$28),0)</f>
        <v>0</v>
      </c>
      <c r="AX62" s="861">
        <f>IF(INDEX(HwyTransitModelGroup,A50,1)=PARAMETERS!$J$10,0.00000110231131*((C62-D62)*PARAMETERS!$CW$28),0)</f>
        <v>0</v>
      </c>
      <c r="AY62" s="401">
        <f>IF(INDEX(HwyTransitModelGroup,A50,1)=PARAMETERS!$J$11,0.00000110231131*((C62-D62)*PARAMETERS!$CQ$36),0)</f>
        <v>0</v>
      </c>
      <c r="AZ62" s="863">
        <f>IF(INDEX(HwyTransitModelGroup,A50,1)=PARAMETERS!$J$11,0.00000110231131*((C62-D62)*PARAMETERS!$CR$36),0)</f>
        <v>0</v>
      </c>
      <c r="BA62" s="861">
        <f>IF(INDEX(HwyTransitModelGroup,A50,1)=PARAMETERS!$J$11,0.00000110231131*((C62-D62)*PARAMETERS!$CS$36),0)</f>
        <v>0</v>
      </c>
      <c r="BB62" s="863">
        <f>IF(INDEX(HwyTransitModelGroup,A50,1)=PARAMETERS!$J$11,0.00000110231131*((C62-D62)*PARAMETERS!$CT$36),0)</f>
        <v>0</v>
      </c>
      <c r="BC62" s="861">
        <f>IF(INDEX(HwyTransitModelGroup,A50,1)=PARAMETERS!$J$11,0.00000110231131*((C62-D62)*PARAMETERS!$CU$36),0)</f>
        <v>0</v>
      </c>
      <c r="BD62" s="863">
        <f>IF(INDEX(HwyTransitModelGroup,A50,1)=PARAMETERS!$J$11,0.00000110231131*((C62-D62)*PARAMETERS!$CV$36),0)</f>
        <v>0</v>
      </c>
      <c r="BE62" s="865">
        <f>IF(INDEX(HwyTransitModelGroup,A50,1)=PARAMETERS!$J$11,0.00000110231131*((C62-D62)*PARAMETERS!$CW$36),0)</f>
        <v>0</v>
      </c>
      <c r="BF62" s="729">
        <f t="shared" si="21"/>
        <v>-0.22733321494785819</v>
      </c>
      <c r="BG62" s="867">
        <f t="shared" si="22"/>
        <v>-545.95482309675288</v>
      </c>
      <c r="BH62" s="867">
        <f t="shared" si="23"/>
        <v>-64.655377962717438</v>
      </c>
      <c r="BI62" s="867">
        <f t="shared" si="24"/>
        <v>-14.245196298214973</v>
      </c>
      <c r="BJ62" s="867">
        <f t="shared" si="25"/>
        <v>-6.6659338627404505</v>
      </c>
      <c r="BK62" s="869">
        <f t="shared" si="26"/>
        <v>-2.6520472535993579E-2</v>
      </c>
      <c r="BL62" s="392"/>
      <c r="BN62" s="375">
        <f t="shared" si="27"/>
        <v>2030</v>
      </c>
      <c r="BO62" s="871">
        <f t="shared" ca="1" si="17"/>
        <v>2.1395771520278557E-3</v>
      </c>
      <c r="BP62" s="871">
        <f t="shared" ca="1" si="18"/>
        <v>-3.8055037975009594E-3</v>
      </c>
      <c r="BQ62" s="871">
        <f t="shared" ca="1" si="18"/>
        <v>7.0134370856640274E-2</v>
      </c>
      <c r="BR62" s="871">
        <f t="shared" ca="1" si="18"/>
        <v>0.32021483914775112</v>
      </c>
      <c r="BS62" s="871">
        <f t="shared" ca="1" si="18"/>
        <v>1.0903401803898487</v>
      </c>
      <c r="BT62" s="871">
        <f t="shared" ca="1" si="18"/>
        <v>1.4866751798283124</v>
      </c>
    </row>
    <row r="63" spans="1:72" x14ac:dyDescent="0.25">
      <c r="B63" s="375">
        <f t="shared" si="28"/>
        <v>2030</v>
      </c>
      <c r="C63" s="401">
        <f>MAX(TREND(C56:C57,B56:B57,B63),0)</f>
        <v>584000</v>
      </c>
      <c r="D63" s="402">
        <f>MAX(TREND(D56:D57,B56:B57,B63),0)</f>
        <v>595388</v>
      </c>
      <c r="E63" s="401">
        <f>MAX(TREND(E56:E57,B56:B57,B63),0)</f>
        <v>11023</v>
      </c>
      <c r="F63" s="402">
        <f>MAX(TREND(F56:F57,B56:B57,B63),0)</f>
        <v>10950</v>
      </c>
      <c r="G63" s="401">
        <f>MAX(TREND(G56:G57,B56:B57,B63),0)</f>
        <v>0</v>
      </c>
      <c r="H63" s="402">
        <f>MAX(TREND(H56:H57,B56:B57,B63),0)</f>
        <v>0</v>
      </c>
      <c r="I63" s="401">
        <f>MAX(TREND(I56:I57,B56:B57,B63),0)</f>
        <v>0</v>
      </c>
      <c r="J63" s="402">
        <f>MAX(TREND(J56:J57,B56:B57,B63),0)</f>
        <v>0</v>
      </c>
      <c r="K63" s="435">
        <f>IFERROR(IF(INDEX(HwyTransitModelGroup,A50,1)=Hwy,MAX(5,ROUND(C63/E63,1)),MAX(5,ROUND(G63/I63,1))),55)</f>
        <v>53</v>
      </c>
      <c r="L63" s="436">
        <f>IFERROR(IF(INDEX(HwyTransitModelGroup,A50,1)=Hwy,MAX(5,ROUND(D63/F63,1)),MAX(5,ROUND(H63/J63,1))),55)</f>
        <v>54.4</v>
      </c>
      <c r="M63" s="405">
        <f>MIN(MAX(TREND(M56:M57,B56:B57,B63),0),1)</f>
        <v>0.24</v>
      </c>
      <c r="N63" s="406">
        <f>MIN(MAX(TREND(N56:N57,B56:B57,B63),0),1)</f>
        <v>0.24</v>
      </c>
      <c r="O63" s="401">
        <f>MAX(TREND(O56:O57,B56:B57,B63),0)</f>
        <v>0</v>
      </c>
      <c r="P63" s="402">
        <f>MAX(TREND(P56:P57,B56:B57,B63),0)</f>
        <v>0</v>
      </c>
      <c r="Q63" s="729">
        <f>IF(INDEX(HwyTransitModelGroup,A50,1)=Hwy,C63*(1-M63)*0.00000110231131*(VLOOKUP(K63,EmAuto1,2)*VLOOKUP(ProjLoc,EmCost,2)+VLOOKUP(K63,EmAuto1,3)*VLOOKUP(ProjLoc,EmCost,3)*(1+CO2Uprater)^($B63-YearCurrent)+VLOOKUP(K63,EmAuto1,4)*VLOOKUP(ProjLoc,EmCost,4)+VLOOKUP(K63,EmAuto1,5)*VLOOKUP(ProjLoc,EmCost,5)+VLOOKUP(K63,EmAuto1,6)*VLOOKUP(ProjLoc,EmCost,6)+VLOOKUP(K63,EmAuto1,7)*VLOOKUP(ProjLoc,EmCost,7))+C63*M63*0.00000110231131*(VLOOKUP(K63,EmTruck1,2)*VLOOKUP(ProjLoc,EmCost,2)+VLOOKUP(K63,EmTruck1,3)*VLOOKUP(ProjLoc,EmCost,3)*(1+CO2Uprater)^($B63-YearCurrent)+VLOOKUP(K63,EmTruck1,4)*VLOOKUP(ProjLoc,EmCost,4)+VLOOKUP(K63,EmTruck1,5)*VLOOKUP(ProjLoc,EmCost,5)+VLOOKUP(K63,EmTruck1,6)*VLOOKUP(ProjLoc,EmCost,6)+VLOOKUP(K63,EmTruck1,7)*VLOOKUP(ProjLoc,EmCost,7)),0)</f>
        <v>19793.895389620309</v>
      </c>
      <c r="R63" s="802">
        <f>IF(INDEX(HwyTransitModelGroup,A50,1)=Hwy,D63*(1-N63)*0.00000110231131*(VLOOKUP(L63,EmAuto1,2)*VLOOKUP(ProjLoc,EmCost,2)+VLOOKUP(L63,EmAuto1,3)*VLOOKUP(ProjLoc,EmCost,3)*(1+CO2Uprater)^($B63-YearCurrent)+VLOOKUP(L63,EmAuto1,4)*VLOOKUP(ProjLoc,EmCost,4)+VLOOKUP(L63,EmAuto1,5)*VLOOKUP(ProjLoc,EmCost,5)+VLOOKUP(L63,EmAuto1,6)*VLOOKUP(ProjLoc,EmCost,6)+VLOOKUP(L63,EmAuto1,7)*VLOOKUP(ProjLoc,EmCost,7))+D63*N63*0.00000110231131*(VLOOKUP(L63,EmTruck1,2)*VLOOKUP(ProjLoc,EmCost,2)+VLOOKUP(L63,EmTruck1,3)*VLOOKUP(ProjLoc,EmCost,3)*(1+CO2Uprater)^($B63-YearCurrent)+VLOOKUP(L63,EmTruck1,4)*VLOOKUP(ProjLoc,EmCost,4)+VLOOKUP(L63,EmTruck1,5)*VLOOKUP(ProjLoc,EmCost,5)+VLOOKUP(L63,EmTruck1,6)*VLOOKUP(ProjLoc,EmCost,6)+VLOOKUP(L63,EmTruck1,7)*VLOOKUP(ProjLoc,EmCost,7)),0)</f>
        <v>20654.901073777546</v>
      </c>
      <c r="S63" s="729">
        <f>IF(INDEX(HwyTransitModelGroup,A50,1)=Hwy,O63*(1-M63)*0.00000110231131*(VLOOKUP(0,EmAuto1,2)*VLOOKUP(ProjLoc,EmCost,2)+VLOOKUP(0,EmAuto1,3)*VLOOKUP(ProjLoc,EmCost,3)*(1+CO2Uprater)^($B63-YearCurrent)+VLOOKUP(0,EmAuto1,4)*VLOOKUP(ProjLoc,EmCost,4)+VLOOKUP(0,EmAuto1,5)*VLOOKUP(ProjLoc,EmCost,5)+VLOOKUP(0,EmAuto1,6)*VLOOKUP(ProjLoc,EmCost,6)+VLOOKUP(0,EmAuto1,7)*VLOOKUP(ProjLoc,EmCost,7))+O63*M63*0.00000110231131*(VLOOKUP(0,EmTruck1,2)*VLOOKUP(ProjLoc,EmCost,2)+VLOOKUP(0,EmTruck1,3)*VLOOKUP(ProjLoc,EmCost,3)*(1+CO2Uprater)^($B63-YearCurrent)+VLOOKUP(0,EmTruck1,4)*VLOOKUP(ProjLoc,EmCost,4)+VLOOKUP(0,EmTruck1,5)*VLOOKUP(ProjLoc,EmCost,5)+VLOOKUP(0,EmTruck1,6)*VLOOKUP(ProjLoc,EmCost,6)+VLOOKUP(0,EmTruck1,7)*VLOOKUP(ProjLoc,EmCost,7)),0)</f>
        <v>0</v>
      </c>
      <c r="T63" s="802">
        <f>IF(INDEX(HwyTransitModelGroup,A50,1)=Hwy,P63*(1-N63)*0.00000110231131*(VLOOKUP(0,EmAuto1,2)*VLOOKUP(ProjLoc,EmCost,2)+VLOOKUP(0,EmAuto1,3)*VLOOKUP(ProjLoc,EmCost,3)*(1+CO2Uprater)^($B63-YearCurrent)+VLOOKUP(0,EmAuto1,4)*VLOOKUP(ProjLoc,EmCost,4)+VLOOKUP(0,EmAuto1,5)*VLOOKUP(ProjLoc,EmCost,5)+VLOOKUP(0,EmAuto1,6)*VLOOKUP(ProjLoc,EmCost,6)+VLOOKUP(0,EmAuto1,7)*VLOOKUP(ProjLoc,EmCost,7))+P63*N63*0.00000110231131*(VLOOKUP(0,EmTruck1,2)*VLOOKUP(ProjLoc,EmCost,2)+VLOOKUP(0,EmTruck1,3)*VLOOKUP(ProjLoc,EmCost,3)*(1+CO2Uprater)^($B63-YearCurrent)+VLOOKUP(0,EmTruck1,4)*VLOOKUP(ProjLoc,EmCost,4)+VLOOKUP(0,EmTruck1,5)*VLOOKUP(ProjLoc,EmCost,5)+VLOOKUP(0,EmTruck1,6)*VLOOKUP(ProjLoc,EmCost,6)+VLOOKUP(0,EmTruck1,7)*VLOOKUP(ProjLoc,EmCost,7)),0)</f>
        <v>0</v>
      </c>
      <c r="U63" s="729">
        <f>IF(INDEX(HwyTransitModelGroup,A50,1)=PARAMETERS!$J$9,C63*0.00000110231131*(VLOOKUP(K63,EmBus1,2)*VLOOKUP(ProjLoc,EmCost,2)+VLOOKUP(K63,EmBus1,3)*VLOOKUP(ProjLoc,EmCost,3)*(1+CO2Uprater)^($B63-YearCurrent)+VLOOKUP(K63,EmBus1,4)*VLOOKUP(ProjLoc,EmCost,4)+VLOOKUP(K63,EmBus1,5)*VLOOKUP(ProjLoc,EmCost,5)+VLOOKUP(K63,EmBus1,6)*VLOOKUP(ProjLoc,EmCost,6)+VLOOKUP(K63,EmBus1,7)*VLOOKUP(ProjLoc,EmCost,7)),0)</f>
        <v>0</v>
      </c>
      <c r="V63" s="802">
        <f>IF(INDEX(HwyTransitModelGroup,A50,1)=PARAMETERS!$J$9,D63*0.00000110231131*(VLOOKUP(L63,EmBus1,2)*VLOOKUP(ProjLoc,EmCost,2)+VLOOKUP(L63,EmBus1,3)*VLOOKUP(ProjLoc,EmCost,3)*(1+CO2Uprater)^($B63-YearCurrent)+VLOOKUP(L63,EmBus1,4)*VLOOKUP(ProjLoc,EmCost,4)+VLOOKUP(L63,EmBus1,5)*VLOOKUP(ProjLoc,EmCost,5)+VLOOKUP(L63,EmBus1,6)*VLOOKUP(ProjLoc,EmCost,6)+VLOOKUP(L63,EmBus1,7)*VLOOKUP(ProjLoc,EmCost,7)),0)</f>
        <v>0</v>
      </c>
      <c r="W63" s="808">
        <f>IF(INDEX(HwyTransitModelGroup,A50,1)=PARAMETERS!$J$10,C63*0.00000110231131*(PARAMETERS!$CQ$28*VLOOKUP(ProjLoc,EmCost,2)+PARAMETERS!$CR$28*VLOOKUP(ProjLoc,EmCost,3)*(1+CO2Uprater)^($B63-YearCurrent)+PARAMETERS!$CS$28*VLOOKUP(ProjLoc,EmCost,4)+PARAMETERS!$CT$28*VLOOKUP(ProjLoc,EmCost,5)+PARAMETERS!$CU$28*VLOOKUP(ProjLoc,EmCost,6)+PARAMETERS!$CV$28*VLOOKUP(ProjLoc,EmCost,7)),0)</f>
        <v>0</v>
      </c>
      <c r="X63" s="844">
        <f>IF(INDEX(HwyTransitModelGroup,A50,1)=PARAMETERS!$J$10,D63*0.00000110231131*(PARAMETERS!$CQ$28*VLOOKUP(ProjLoc,EmCost,2)+PARAMETERS!$CR$28*VLOOKUP(ProjLoc,EmCost,3)*(1+CO2Uprater)^($B63-YearCurrent)+PARAMETERS!$CS$28*VLOOKUP(ProjLoc,EmCost,4)+PARAMETERS!$CT$28*VLOOKUP(ProjLoc,EmCost,5)+PARAMETERS!$CU$28*VLOOKUP(ProjLoc,EmCost,6)+PARAMETERS!$CV$28*VLOOKUP(ProjLoc,EmCost,7)),0)</f>
        <v>0</v>
      </c>
      <c r="Y63" s="808">
        <f>IF(INDEX(HwyTransitModelGroup,A50,1)=PARAMETERS!$J$11,C63*0.00000110231131*(PARAMETERS!$CQ$36*VLOOKUP(ProjLoc,EmCost,2)+PARAMETERS!$CR$36*VLOOKUP(ProjLoc,EmCost,3)*(1+CO2Uprater)^($B63-YearCurrent)+PARAMETERS!$CS$36*VLOOKUP(ProjLoc,EmCost,4)+PARAMETERS!$CT$36*VLOOKUP(ProjLoc,EmCost,5)+PARAMETERS!$CU$36*VLOOKUP(ProjLoc,EmCost,6)+PARAMETERS!$CV$36*VLOOKUP(ProjLoc,EmCost,7)),0)</f>
        <v>0</v>
      </c>
      <c r="Z63" s="844">
        <f>IF(INDEX(HwyTransitModelGroup,A50,1)=PARAMETERS!$J$11,D63*0.00000110231131*(PARAMETERS!$CQ$36*VLOOKUP(ProjLoc,EmCost,2)+PARAMETERS!$CR$36*VLOOKUP(ProjLoc,EmCost,3)*(1+CO2Uprater)^($B63-YearCurrent)+PARAMETERS!$CS$36*VLOOKUP(ProjLoc,EmCost,4)+PARAMETERS!$CT$36*VLOOKUP(ProjLoc,EmCost,5)+PARAMETERS!$CU$36*VLOOKUP(ProjLoc,EmCost,6)+PARAMETERS!$CV$36*VLOOKUP(ProjLoc,EmCost,7)),0)</f>
        <v>0</v>
      </c>
      <c r="AA63" s="369">
        <f t="shared" si="19"/>
        <v>-861.00568415723683</v>
      </c>
      <c r="AB63" s="370">
        <f t="shared" si="20"/>
        <v>-629.12841986472472</v>
      </c>
      <c r="AC63" s="371"/>
      <c r="AD63" s="401">
        <f>IF(INDEX(HwyTransitModelGroup,A50,1)=Hwy,0.00000110231131*(C63*(1-M63)*VLOOKUP(K63,EmAuto1,2)-D63*(1-N63)*VLOOKUP(L63,EmAuto1,2)+(O63*(1-M63)-P63*(1-N63))*VLOOKUP(0,EmAuto1,2))+0.00000110231131*(C63*M63*VLOOKUP(K63,EmTruck1,2)-D63*N63*VLOOKUP(L63,EmTruck1,2)+(O63*M63-P63*N63)*VLOOKUP(0,EmTruck1,2)),0)</f>
        <v>-3.8055037975009594E-3</v>
      </c>
      <c r="AE63" s="863">
        <f>IF(INDEX(HwyTransitModelGroup,A50,1)=Hwy,0.00000110231131*(C63*(1-M63)*VLOOKUP(K63,EmAuto1,3)-D63*(1-N63)*VLOOKUP(L63,EmAuto1,3)+(O63*(1-M63)-P63*(1-N63))*VLOOKUP(0,EmAuto1,3))+0.00000110231131*(C63*M63*VLOOKUP(K63,EmTruck1,3)-D63*N63*VLOOKUP(L63,EmTruck1,3)+(O63*M63-P63*N63)*VLOOKUP(0,EmTruck1,3)),0)</f>
        <v>-13.265317607353373</v>
      </c>
      <c r="AF63" s="861">
        <f>IF(INDEX(HwyTransitModelGroup,A50,1)=Hwy,0.00000110231131*(C63*(1-M63)*VLOOKUP(K63,EmAuto1,4)-D63*(1-N63)*VLOOKUP(L63,EmAuto1,4)+(O63*(1-M63)-P63*(1-N63))*VLOOKUP(0,EmAuto1,4))+0.00000110231131*(C63*M63*VLOOKUP(K63,EmTruck1,4)-D63*N63*VLOOKUP(L63,EmTruck1,4)+(O63*M63-P63*N63)*VLOOKUP(0,EmTruck1,4)),0)</f>
        <v>-5.7360335003389757E-3</v>
      </c>
      <c r="AG63" s="863">
        <f>IF(INDEX(HwyTransitModelGroup,A50,1)=Hwy,0.00000110231131*(C63*(1-M63)*VLOOKUP(K63,EmAuto1,5)-D63*(1-N63)*VLOOKUP(L63,EmAuto1,5)+(O63*(1-M63)-P63*(1-N63))*VLOOKUP(0,EmAuto1,5))+0.00000110231131*(C63*M63*VLOOKUP(K63,EmTruck1,5)-D63*N63*VLOOKUP(L63,EmTruck1,5)+(O63*M63-P63*N63)*VLOOKUP(0,EmTruck1,5)),0)</f>
        <v>-1.6353433797353125E-4</v>
      </c>
      <c r="AH63" s="861">
        <f>IF(INDEX(HwyTransitModelGroup,A50,1)=Hwy,0.00000110231131*(C63*(1-M63)*VLOOKUP(K63,EmAuto1,6)-D63*(1-N63)*VLOOKUP(L63,EmAuto1,6)+(O63*(1-M63)-P63*(1-N63))*VLOOKUP(0,EmAuto1,6))+0.00000110231131*(C63*M63*VLOOKUP(K63,EmTruck1,6)-D63*N63*VLOOKUP(L63,EmTruck1,6)+(O63*M63-P63*N63)*VLOOKUP(0,EmTruck1,6)),0)</f>
        <v>-1.5136231665983501E-4</v>
      </c>
      <c r="AI63" s="863">
        <f>IF(INDEX(HwyTransitModelGroup,A50,1)=Hwy,0.00000110231131*(C63*(1-M63)*VLOOKUP(K63,EmAuto1,7)-D63*(1-N63)*VLOOKUP(L63,EmAuto1,7)+(O63*(1-M63)-P63*(1-N63))*VLOOKUP(0,EmAuto1,7))+0.00000110231131*(C63*M63*VLOOKUP(K63,EmTruck1,7)-D63*N63*VLOOKUP(L63,EmTruck1,7)+(O63*M63-P63*N63)*VLOOKUP(0,EmTruck1,7)),0)</f>
        <v>-3.1964752819455883E-5</v>
      </c>
      <c r="AJ63" s="861">
        <f>IF(INDEX(HwyTransitModelGroup,A50,1)=Hwy,0.00000110231131*(C63*(1-M63)*VLOOKUP(K63,EmAuto1,8)-D63*(1-N63)*VLOOKUP(L63,EmAuto1,8)+(O63*(1-M63)-P63*(1-N63))*VLOOKUP(0,EmAuto1,8))+0.00000110231131*(C63*M63*VLOOKUP(K63,EmTruck1,8)-D63*N63*VLOOKUP(L63,EmTruck1,8)+(O63*M63-P63*N63)*VLOOKUP(0,EmTruck1,8)),0)</f>
        <v>-1.4502138108019112E-4</v>
      </c>
      <c r="AK63" s="401">
        <f>IF(INDEX(HwyTransitModelGroup,A50,1)=PARAMETERS!$J$9,0.00000110231131*(C63*VLOOKUP(K63,EmBus1,2)-D63*VLOOKUP(L63,EmBus1,2)+(O63-P63)*VLOOKUP(0,EmBus1,2)),0)</f>
        <v>0</v>
      </c>
      <c r="AL63" s="863">
        <f>IF(INDEX(HwyTransitModelGroup,A50,1)=PARAMETERS!$J$9,0.00000110231131*(C63*VLOOKUP(K63,EmBus1,3)-D63*VLOOKUP(L63,EmBus1,3)+(O63-P63)*VLOOKUP(0,EmBus1,3)),0)</f>
        <v>0</v>
      </c>
      <c r="AM63" s="861">
        <f>IF(INDEX(HwyTransitModelGroup,A50,1)=PARAMETERS!$J$9,0.00000110231131*(C63*VLOOKUP(K63,EmBus1,4)-D63*VLOOKUP(L63,EmBus1,4)+(O63-P63)*VLOOKUP(0,EmBus1,4)),0)</f>
        <v>0</v>
      </c>
      <c r="AN63" s="863">
        <f>IF(INDEX(HwyTransitModelGroup,A50,1)=PARAMETERS!$J$9,0.00000110231131*(C63*VLOOKUP(K63,EmBus1,5)-D63*VLOOKUP(L63,EmBus1,5)+(O63-P63)*VLOOKUP(0,EmBus1,5)),0)</f>
        <v>0</v>
      </c>
      <c r="AO63" s="861">
        <f>IF(INDEX(HwyTransitModelGroup,A50,1)=PARAMETERS!$J$9,0.00000110231131*(C63*VLOOKUP(K63,EmBus1,6)-D63*VLOOKUP(L63,EmBus1,6)+(O63-P63)*VLOOKUP(0,EmBus1,6)),0)</f>
        <v>0</v>
      </c>
      <c r="AP63" s="863">
        <f>IF(INDEX(HwyTransitModelGroup,A50,1)=PARAMETERS!$J$9,0.00000110231131*(C63*VLOOKUP(K63,EmBus1,7)-D63*VLOOKUP(L63,EmBus1,7)+(O63-P63)*VLOOKUP(0,EmBus1,7)),0)</f>
        <v>0</v>
      </c>
      <c r="AQ63" s="861">
        <f>IF(INDEX(HwyTransitModelGroup,A50,1)=PARAMETERS!$J$9,0.00000110231131*(C63*VLOOKUP(K63,EmBus1,8)-D63*VLOOKUP(L63,EmBus1,8)+(O63-P63)*VLOOKUP(0,EmBus1,8)),0)</f>
        <v>0</v>
      </c>
      <c r="AR63" s="401">
        <f>IF(INDEX(HwyTransitModelGroup,A50,1)=PARAMETERS!$J$10,0.00000110231131*((C63-D63)*PARAMETERS!$CQ$28),0)</f>
        <v>0</v>
      </c>
      <c r="AS63" s="863">
        <f>IF(INDEX(HwyTransitModelGroup,A50,1)=PARAMETERS!$J$10,0.00000110231131*((C63-D63)*PARAMETERS!$CR$28),0)</f>
        <v>0</v>
      </c>
      <c r="AT63" s="861">
        <f>IF(INDEX(HwyTransitModelGroup,A50,1)=PARAMETERS!$J$10,0.00000110231131*((C63-D63)*PARAMETERS!$CS$28),0)</f>
        <v>0</v>
      </c>
      <c r="AU63" s="863">
        <f>IF(INDEX(HwyTransitModelGroup,A50,1)=PARAMETERS!$J$10,0.00000110231131*((C63-D63)*PARAMETERS!$CT$28),0)</f>
        <v>0</v>
      </c>
      <c r="AV63" s="861">
        <f>IF(INDEX(HwyTransitModelGroup,A50,1)=PARAMETERS!$J$10,0.00000110231131*((C63-D63)*PARAMETERS!$CU$28),0)</f>
        <v>0</v>
      </c>
      <c r="AW63" s="863">
        <f>IF(INDEX(HwyTransitModelGroup,A50,1)=PARAMETERS!$J$10,0.00000110231131*((C63-D63)*PARAMETERS!$CV$28),0)</f>
        <v>0</v>
      </c>
      <c r="AX63" s="861">
        <f>IF(INDEX(HwyTransitModelGroup,A50,1)=PARAMETERS!$J$10,0.00000110231131*((C63-D63)*PARAMETERS!$CW$28),0)</f>
        <v>0</v>
      </c>
      <c r="AY63" s="401">
        <f>IF(INDEX(HwyTransitModelGroup,A50,1)=PARAMETERS!$J$11,0.00000110231131*((C63-D63)*PARAMETERS!$CQ$36),0)</f>
        <v>0</v>
      </c>
      <c r="AZ63" s="863">
        <f>IF(INDEX(HwyTransitModelGroup,A50,1)=PARAMETERS!$J$11,0.00000110231131*((C63-D63)*PARAMETERS!$CR$36),0)</f>
        <v>0</v>
      </c>
      <c r="BA63" s="861">
        <f>IF(INDEX(HwyTransitModelGroup,A50,1)=PARAMETERS!$J$11,0.00000110231131*((C63-D63)*PARAMETERS!$CS$36),0)</f>
        <v>0</v>
      </c>
      <c r="BB63" s="863">
        <f>IF(INDEX(HwyTransitModelGroup,A50,1)=PARAMETERS!$J$11,0.00000110231131*((C63-D63)*PARAMETERS!$CT$36),0)</f>
        <v>0</v>
      </c>
      <c r="BC63" s="861">
        <f>IF(INDEX(HwyTransitModelGroup,A50,1)=PARAMETERS!$J$11,0.00000110231131*((C63-D63)*PARAMETERS!$CU$36),0)</f>
        <v>0</v>
      </c>
      <c r="BD63" s="863">
        <f>IF(INDEX(HwyTransitModelGroup,A50,1)=PARAMETERS!$J$11,0.00000110231131*((C63-D63)*PARAMETERS!$CV$36),0)</f>
        <v>0</v>
      </c>
      <c r="BE63" s="865">
        <f>IF(INDEX(HwyTransitModelGroup,A50,1)=PARAMETERS!$J$11,0.00000110231131*((C63-D63)*PARAMETERS!$CW$36),0)</f>
        <v>0</v>
      </c>
      <c r="BF63" s="729">
        <f t="shared" si="21"/>
        <v>-0.22245154799454431</v>
      </c>
      <c r="BG63" s="867">
        <f t="shared" si="22"/>
        <v>-545.12179928175442</v>
      </c>
      <c r="BH63" s="867">
        <f t="shared" si="23"/>
        <v>-63.288078763340089</v>
      </c>
      <c r="BI63" s="867">
        <f t="shared" si="24"/>
        <v>-13.944825974151337</v>
      </c>
      <c r="BJ63" s="867">
        <f t="shared" si="25"/>
        <v>-6.525338769195252</v>
      </c>
      <c r="BK63" s="869">
        <f t="shared" si="26"/>
        <v>-2.5925528287439412E-2</v>
      </c>
      <c r="BL63" s="392"/>
      <c r="BN63" s="375">
        <f t="shared" si="27"/>
        <v>2031</v>
      </c>
      <c r="BO63" s="871">
        <f t="shared" ca="1" si="17"/>
        <v>-3.7609754625488644E-3</v>
      </c>
      <c r="BP63" s="871">
        <f t="shared" ca="1" si="18"/>
        <v>-3.8715700696802012E-3</v>
      </c>
      <c r="BQ63" s="871">
        <f t="shared" ca="1" si="18"/>
        <v>8.2029508297941103E-2</v>
      </c>
      <c r="BR63" s="871">
        <f t="shared" ca="1" si="18"/>
        <v>0.32415269492782539</v>
      </c>
      <c r="BS63" s="871">
        <f t="shared" ca="1" si="18"/>
        <v>1.1401930805434313</v>
      </c>
      <c r="BT63" s="871">
        <f t="shared" ca="1" si="18"/>
        <v>1.5272607978041224</v>
      </c>
    </row>
    <row r="64" spans="1:72" x14ac:dyDescent="0.25">
      <c r="B64" s="375">
        <f t="shared" si="28"/>
        <v>2031</v>
      </c>
      <c r="C64" s="401">
        <f>MAX(TREND(C56:C57,B56:B57,B64),0)</f>
        <v>594402.5</v>
      </c>
      <c r="D64" s="402">
        <f>MAX(TREND(D56:D57,B56:B57,B64),0)</f>
        <v>605991.25</v>
      </c>
      <c r="E64" s="401">
        <f>MAX(TREND(E56:E57,B56:B57,B64),0)</f>
        <v>11223.75</v>
      </c>
      <c r="F64" s="402">
        <f>MAX(TREND(F56:F57,B56:B57,B64),0)</f>
        <v>11132.5</v>
      </c>
      <c r="G64" s="401">
        <f>MAX(TREND(G56:G57,B56:B57,B64),0)</f>
        <v>0</v>
      </c>
      <c r="H64" s="402">
        <f>MAX(TREND(H56:H57,B56:B57,B64),0)</f>
        <v>0</v>
      </c>
      <c r="I64" s="401">
        <f>MAX(TREND(I56:I57,B56:B57,B64),0)</f>
        <v>0</v>
      </c>
      <c r="J64" s="402">
        <f>MAX(TREND(J56:J57,B56:B57,B64),0)</f>
        <v>0</v>
      </c>
      <c r="K64" s="435">
        <f>IFERROR(IF(INDEX(HwyTransitModelGroup,A50,1)=Hwy,MAX(5,ROUND(C64/E64,1)),MAX(5,ROUND(G64/I64,1))),55)</f>
        <v>53</v>
      </c>
      <c r="L64" s="436">
        <f>IFERROR(IF(INDEX(HwyTransitModelGroup,A50,1)=Hwy,MAX(5,ROUND(D64/F64,1)),MAX(5,ROUND(H64/J64,1))),55)</f>
        <v>54.4</v>
      </c>
      <c r="M64" s="405">
        <f>MIN(MAX(TREND(M56:M57,B56:B57,B64),0),1)</f>
        <v>0.24</v>
      </c>
      <c r="N64" s="406">
        <f>MIN(MAX(TREND(N56:N57,B56:B57,B64),0),1)</f>
        <v>0.24</v>
      </c>
      <c r="O64" s="401">
        <f>MAX(TREND(O56:O57,B56:B57,B64),0)</f>
        <v>0</v>
      </c>
      <c r="P64" s="402">
        <f>MAX(TREND(P56:P57,B56:B57,B64),0)</f>
        <v>0</v>
      </c>
      <c r="Q64" s="729">
        <f>IF(INDEX(HwyTransitModelGroup,A50,1)=Hwy,C64*(1-M64)*0.00000110231131*(VLOOKUP(K64,EmAuto1,2)*VLOOKUP(ProjLoc,EmCost,2)+VLOOKUP(K64,EmAuto1,3)*VLOOKUP(ProjLoc,EmCost,3)*(1+CO2Uprater)^($B64-YearCurrent)+VLOOKUP(K64,EmAuto1,4)*VLOOKUP(ProjLoc,EmCost,4)+VLOOKUP(K64,EmAuto1,5)*VLOOKUP(ProjLoc,EmCost,5)+VLOOKUP(K64,EmAuto1,6)*VLOOKUP(ProjLoc,EmCost,6)+VLOOKUP(K64,EmAuto1,7)*VLOOKUP(ProjLoc,EmCost,7))+C64*M64*0.00000110231131*(VLOOKUP(K64,EmTruck1,2)*VLOOKUP(ProjLoc,EmCost,2)+VLOOKUP(K64,EmTruck1,3)*VLOOKUP(ProjLoc,EmCost,3)*(1+CO2Uprater)^($B64-YearCurrent)+VLOOKUP(K64,EmTruck1,4)*VLOOKUP(ProjLoc,EmCost,4)+VLOOKUP(K64,EmTruck1,5)*VLOOKUP(ProjLoc,EmCost,5)+VLOOKUP(K64,EmTruck1,6)*VLOOKUP(ProjLoc,EmCost,6)+VLOOKUP(K64,EmTruck1,7)*VLOOKUP(ProjLoc,EmCost,7)),0)</f>
        <v>20478.03849071711</v>
      </c>
      <c r="R64" s="802">
        <f>IF(INDEX(HwyTransitModelGroup,A50,1)=Hwy,D64*(1-N64)*0.00000110231131*(VLOOKUP(L64,EmAuto1,2)*VLOOKUP(ProjLoc,EmCost,2)+VLOOKUP(L64,EmAuto1,3)*VLOOKUP(ProjLoc,EmCost,3)*(1+CO2Uprater)^($B64-YearCurrent)+VLOOKUP(L64,EmAuto1,4)*VLOOKUP(ProjLoc,EmCost,4)+VLOOKUP(L64,EmAuto1,5)*VLOOKUP(ProjLoc,EmCost,5)+VLOOKUP(L64,EmAuto1,6)*VLOOKUP(ProjLoc,EmCost,6)+VLOOKUP(L64,EmAuto1,7)*VLOOKUP(ProjLoc,EmCost,7))+D64*N64*0.00000110231131*(VLOOKUP(L64,EmTruck1,2)*VLOOKUP(ProjLoc,EmCost,2)+VLOOKUP(L64,EmTruck1,3)*VLOOKUP(ProjLoc,EmCost,3)*(1+CO2Uprater)^($B64-YearCurrent)+VLOOKUP(L64,EmTruck1,4)*VLOOKUP(ProjLoc,EmCost,4)+VLOOKUP(L64,EmTruck1,5)*VLOOKUP(ProjLoc,EmCost,5)+VLOOKUP(L64,EmTruck1,6)*VLOOKUP(ProjLoc,EmCost,6)+VLOOKUP(L64,EmTruck1,7)*VLOOKUP(ProjLoc,EmCost,7)),0)</f>
        <v>21369.493341016288</v>
      </c>
      <c r="S64" s="729">
        <f>IF(INDEX(HwyTransitModelGroup,A50,1)=Hwy,O64*(1-M64)*0.00000110231131*(VLOOKUP(0,EmAuto1,2)*VLOOKUP(ProjLoc,EmCost,2)+VLOOKUP(0,EmAuto1,3)*VLOOKUP(ProjLoc,EmCost,3)*(1+CO2Uprater)^($B64-YearCurrent)+VLOOKUP(0,EmAuto1,4)*VLOOKUP(ProjLoc,EmCost,4)+VLOOKUP(0,EmAuto1,5)*VLOOKUP(ProjLoc,EmCost,5)+VLOOKUP(0,EmAuto1,6)*VLOOKUP(ProjLoc,EmCost,6)+VLOOKUP(0,EmAuto1,7)*VLOOKUP(ProjLoc,EmCost,7))+O64*M64*0.00000110231131*(VLOOKUP(0,EmTruck1,2)*VLOOKUP(ProjLoc,EmCost,2)+VLOOKUP(0,EmTruck1,3)*VLOOKUP(ProjLoc,EmCost,3)*(1+CO2Uprater)^($B64-YearCurrent)+VLOOKUP(0,EmTruck1,4)*VLOOKUP(ProjLoc,EmCost,4)+VLOOKUP(0,EmTruck1,5)*VLOOKUP(ProjLoc,EmCost,5)+VLOOKUP(0,EmTruck1,6)*VLOOKUP(ProjLoc,EmCost,6)+VLOOKUP(0,EmTruck1,7)*VLOOKUP(ProjLoc,EmCost,7)),0)</f>
        <v>0</v>
      </c>
      <c r="T64" s="802">
        <f>IF(INDEX(HwyTransitModelGroup,A50,1)=Hwy,P64*(1-N64)*0.00000110231131*(VLOOKUP(0,EmAuto1,2)*VLOOKUP(ProjLoc,EmCost,2)+VLOOKUP(0,EmAuto1,3)*VLOOKUP(ProjLoc,EmCost,3)*(1+CO2Uprater)^($B64-YearCurrent)+VLOOKUP(0,EmAuto1,4)*VLOOKUP(ProjLoc,EmCost,4)+VLOOKUP(0,EmAuto1,5)*VLOOKUP(ProjLoc,EmCost,5)+VLOOKUP(0,EmAuto1,6)*VLOOKUP(ProjLoc,EmCost,6)+VLOOKUP(0,EmAuto1,7)*VLOOKUP(ProjLoc,EmCost,7))+P64*N64*0.00000110231131*(VLOOKUP(0,EmTruck1,2)*VLOOKUP(ProjLoc,EmCost,2)+VLOOKUP(0,EmTruck1,3)*VLOOKUP(ProjLoc,EmCost,3)*(1+CO2Uprater)^($B64-YearCurrent)+VLOOKUP(0,EmTruck1,4)*VLOOKUP(ProjLoc,EmCost,4)+VLOOKUP(0,EmTruck1,5)*VLOOKUP(ProjLoc,EmCost,5)+VLOOKUP(0,EmTruck1,6)*VLOOKUP(ProjLoc,EmCost,6)+VLOOKUP(0,EmTruck1,7)*VLOOKUP(ProjLoc,EmCost,7)),0)</f>
        <v>0</v>
      </c>
      <c r="U64" s="729">
        <f>IF(INDEX(HwyTransitModelGroup,A50,1)=PARAMETERS!$J$9,C64*0.00000110231131*(VLOOKUP(K64,EmBus1,2)*VLOOKUP(ProjLoc,EmCost,2)+VLOOKUP(K64,EmBus1,3)*VLOOKUP(ProjLoc,EmCost,3)*(1+CO2Uprater)^($B64-YearCurrent)+VLOOKUP(K64,EmBus1,4)*VLOOKUP(ProjLoc,EmCost,4)+VLOOKUP(K64,EmBus1,5)*VLOOKUP(ProjLoc,EmCost,5)+VLOOKUP(K64,EmBus1,6)*VLOOKUP(ProjLoc,EmCost,6)+VLOOKUP(K64,EmBus1,7)*VLOOKUP(ProjLoc,EmCost,7)),0)</f>
        <v>0</v>
      </c>
      <c r="V64" s="802">
        <f>IF(INDEX(HwyTransitModelGroup,A50,1)=PARAMETERS!$J$9,D64*0.00000110231131*(VLOOKUP(L64,EmBus1,2)*VLOOKUP(ProjLoc,EmCost,2)+VLOOKUP(L64,EmBus1,3)*VLOOKUP(ProjLoc,EmCost,3)*(1+CO2Uprater)^($B64-YearCurrent)+VLOOKUP(L64,EmBus1,4)*VLOOKUP(ProjLoc,EmCost,4)+VLOOKUP(L64,EmBus1,5)*VLOOKUP(ProjLoc,EmCost,5)+VLOOKUP(L64,EmBus1,6)*VLOOKUP(ProjLoc,EmCost,6)+VLOOKUP(L64,EmBus1,7)*VLOOKUP(ProjLoc,EmCost,7)),0)</f>
        <v>0</v>
      </c>
      <c r="W64" s="808">
        <f>IF(INDEX(HwyTransitModelGroup,A50,1)=PARAMETERS!$J$10,C64*0.00000110231131*(PARAMETERS!$CQ$28*VLOOKUP(ProjLoc,EmCost,2)+PARAMETERS!$CR$28*VLOOKUP(ProjLoc,EmCost,3)*(1+CO2Uprater)^($B64-YearCurrent)+PARAMETERS!$CS$28*VLOOKUP(ProjLoc,EmCost,4)+PARAMETERS!$CT$28*VLOOKUP(ProjLoc,EmCost,5)+PARAMETERS!$CU$28*VLOOKUP(ProjLoc,EmCost,6)+PARAMETERS!$CV$28*VLOOKUP(ProjLoc,EmCost,7)),0)</f>
        <v>0</v>
      </c>
      <c r="X64" s="844">
        <f>IF(INDEX(HwyTransitModelGroup,A50,1)=PARAMETERS!$J$10,D64*0.00000110231131*(PARAMETERS!$CQ$28*VLOOKUP(ProjLoc,EmCost,2)+PARAMETERS!$CR$28*VLOOKUP(ProjLoc,EmCost,3)*(1+CO2Uprater)^($B64-YearCurrent)+PARAMETERS!$CS$28*VLOOKUP(ProjLoc,EmCost,4)+PARAMETERS!$CT$28*VLOOKUP(ProjLoc,EmCost,5)+PARAMETERS!$CU$28*VLOOKUP(ProjLoc,EmCost,6)+PARAMETERS!$CV$28*VLOOKUP(ProjLoc,EmCost,7)),0)</f>
        <v>0</v>
      </c>
      <c r="Y64" s="808">
        <f>IF(INDEX(HwyTransitModelGroup,A50,1)=PARAMETERS!$J$11,C64*0.00000110231131*(PARAMETERS!$CQ$36*VLOOKUP(ProjLoc,EmCost,2)+PARAMETERS!$CR$36*VLOOKUP(ProjLoc,EmCost,3)*(1+CO2Uprater)^($B64-YearCurrent)+PARAMETERS!$CS$36*VLOOKUP(ProjLoc,EmCost,4)+PARAMETERS!$CT$36*VLOOKUP(ProjLoc,EmCost,5)+PARAMETERS!$CU$36*VLOOKUP(ProjLoc,EmCost,6)+PARAMETERS!$CV$36*VLOOKUP(ProjLoc,EmCost,7)),0)</f>
        <v>0</v>
      </c>
      <c r="Z64" s="844">
        <f>IF(INDEX(HwyTransitModelGroup,A50,1)=PARAMETERS!$J$11,D64*0.00000110231131*(PARAMETERS!$CQ$36*VLOOKUP(ProjLoc,EmCost,2)+PARAMETERS!$CR$36*VLOOKUP(ProjLoc,EmCost,3)*(1+CO2Uprater)^($B64-YearCurrent)+PARAMETERS!$CS$36*VLOOKUP(ProjLoc,EmCost,4)+PARAMETERS!$CT$36*VLOOKUP(ProjLoc,EmCost,5)+PARAMETERS!$CU$36*VLOOKUP(ProjLoc,EmCost,6)+PARAMETERS!$CV$36*VLOOKUP(ProjLoc,EmCost,7)),0)</f>
        <v>0</v>
      </c>
      <c r="AA64" s="369">
        <f t="shared" si="19"/>
        <v>-891.45485029917836</v>
      </c>
      <c r="AB64" s="370">
        <f t="shared" si="20"/>
        <v>-626.32435318761475</v>
      </c>
      <c r="AC64" s="371"/>
      <c r="AD64" s="401">
        <f>IF(INDEX(HwyTransitModelGroup,A50,1)=Hwy,0.00000110231131*(C64*(1-M64)*VLOOKUP(K64,EmAuto1,2)-D64*(1-N64)*VLOOKUP(L64,EmAuto1,2)+(O64*(1-M64)-P64*(1-N64))*VLOOKUP(0,EmAuto1,2))+0.00000110231131*(C64*M64*VLOOKUP(K64,EmTruck1,2)-D64*N64*VLOOKUP(L64,EmTruck1,2)+(O64*M64-P64*N64)*VLOOKUP(0,EmTruck1,2)),0)</f>
        <v>-3.8715700696802012E-3</v>
      </c>
      <c r="AE64" s="863">
        <f>IF(INDEX(HwyTransitModelGroup,A50,1)=Hwy,0.00000110231131*(C64*(1-M64)*VLOOKUP(K64,EmAuto1,3)-D64*(1-N64)*VLOOKUP(L64,EmAuto1,3)+(O64*(1-M64)-P64*(1-N64))*VLOOKUP(0,EmAuto1,3))+0.00000110231131*(C64*M64*VLOOKUP(K64,EmTruck1,3)-D64*N64*VLOOKUP(L64,EmTruck1,3)+(O64*M64-P64*N64)*VLOOKUP(0,EmTruck1,3)),0)</f>
        <v>-13.500538405412737</v>
      </c>
      <c r="AF64" s="861">
        <f>IF(INDEX(HwyTransitModelGroup,A50,1)=Hwy,0.00000110231131*(C64*(1-M64)*VLOOKUP(K64,EmAuto1,4)-D64*(1-N64)*VLOOKUP(L64,EmAuto1,4)+(O64*(1-M64)-P64*(1-N64))*VLOOKUP(0,EmAuto1,4))+0.00000110231131*(C64*M64*VLOOKUP(K64,EmTruck1,4)-D64*N64*VLOOKUP(L64,EmTruck1,4)+(O64*M64-P64*N64)*VLOOKUP(0,EmTruck1,4)),0)</f>
        <v>-5.8374930563306025E-3</v>
      </c>
      <c r="AG64" s="863">
        <f>IF(INDEX(HwyTransitModelGroup,A50,1)=Hwy,0.00000110231131*(C64*(1-M64)*VLOOKUP(K64,EmAuto1,5)-D64*(1-N64)*VLOOKUP(L64,EmAuto1,5)+(O64*(1-M64)-P64*(1-N64))*VLOOKUP(0,EmAuto1,5))+0.00000110231131*(C64*M64*VLOOKUP(K64,EmTruck1,5)-D64*N64*VLOOKUP(L64,EmTruck1,5)+(O64*M64-P64*N64)*VLOOKUP(0,EmTruck1,5)),0)</f>
        <v>-1.6643708631318226E-4</v>
      </c>
      <c r="AH64" s="861">
        <f>IF(INDEX(HwyTransitModelGroup,A50,1)=Hwy,0.00000110231131*(C64*(1-M64)*VLOOKUP(K64,EmAuto1,6)-D64*(1-N64)*VLOOKUP(L64,EmAuto1,6)+(O64*(1-M64)-P64*(1-N64))*VLOOKUP(0,EmAuto1,6))+0.00000110231131*(C64*M64*VLOOKUP(K64,EmTruck1,6)-D64*N64*VLOOKUP(L64,EmTruck1,6)+(O64*M64-P64*N64)*VLOOKUP(0,EmTruck1,6)),0)</f>
        <v>-1.5404812131518739E-4</v>
      </c>
      <c r="AI64" s="863">
        <f>IF(INDEX(HwyTransitModelGroup,A50,1)=Hwy,0.00000110231131*(C64*(1-M64)*VLOOKUP(K64,EmAuto1,7)-D64*(1-N64)*VLOOKUP(L64,EmAuto1,7)+(O64*(1-M64)-P64*(1-N64))*VLOOKUP(0,EmAuto1,7))+0.00000110231131*(C64*M64*VLOOKUP(K64,EmTruck1,7)-D64*N64*VLOOKUP(L64,EmTruck1,7)+(O64*M64-P64*N64)*VLOOKUP(0,EmTruck1,7)),0)</f>
        <v>-3.2488845629482621E-5</v>
      </c>
      <c r="AJ64" s="861">
        <f>IF(INDEX(HwyTransitModelGroup,A50,1)=Hwy,0.00000110231131*(C64*(1-M64)*VLOOKUP(K64,EmAuto1,8)-D64*(1-N64)*VLOOKUP(L64,EmAuto1,8)+(O64*(1-M64)-P64*(1-N64))*VLOOKUP(0,EmAuto1,8))+0.00000110231131*(C64*M64*VLOOKUP(K64,EmTruck1,8)-D64*N64*VLOOKUP(L64,EmTruck1,8)+(O64*M64-P64*N64)*VLOOKUP(0,EmTruck1,8)),0)</f>
        <v>-1.4759493186328946E-4</v>
      </c>
      <c r="AK64" s="401">
        <f>IF(INDEX(HwyTransitModelGroup,A50,1)=PARAMETERS!$J$9,0.00000110231131*(C64*VLOOKUP(K64,EmBus1,2)-D64*VLOOKUP(L64,EmBus1,2)+(O64-P64)*VLOOKUP(0,EmBus1,2)),0)</f>
        <v>0</v>
      </c>
      <c r="AL64" s="863">
        <f>IF(INDEX(HwyTransitModelGroup,A50,1)=PARAMETERS!$J$9,0.00000110231131*(C64*VLOOKUP(K64,EmBus1,3)-D64*VLOOKUP(L64,EmBus1,3)+(O64-P64)*VLOOKUP(0,EmBus1,3)),0)</f>
        <v>0</v>
      </c>
      <c r="AM64" s="861">
        <f>IF(INDEX(HwyTransitModelGroup,A50,1)=PARAMETERS!$J$9,0.00000110231131*(C64*VLOOKUP(K64,EmBus1,4)-D64*VLOOKUP(L64,EmBus1,4)+(O64-P64)*VLOOKUP(0,EmBus1,4)),0)</f>
        <v>0</v>
      </c>
      <c r="AN64" s="863">
        <f>IF(INDEX(HwyTransitModelGroup,A50,1)=PARAMETERS!$J$9,0.00000110231131*(C64*VLOOKUP(K64,EmBus1,5)-D64*VLOOKUP(L64,EmBus1,5)+(O64-P64)*VLOOKUP(0,EmBus1,5)),0)</f>
        <v>0</v>
      </c>
      <c r="AO64" s="861">
        <f>IF(INDEX(HwyTransitModelGroup,A50,1)=PARAMETERS!$J$9,0.00000110231131*(C64*VLOOKUP(K64,EmBus1,6)-D64*VLOOKUP(L64,EmBus1,6)+(O64-P64)*VLOOKUP(0,EmBus1,6)),0)</f>
        <v>0</v>
      </c>
      <c r="AP64" s="863">
        <f>IF(INDEX(HwyTransitModelGroup,A50,1)=PARAMETERS!$J$9,0.00000110231131*(C64*VLOOKUP(K64,EmBus1,7)-D64*VLOOKUP(L64,EmBus1,7)+(O64-P64)*VLOOKUP(0,EmBus1,7)),0)</f>
        <v>0</v>
      </c>
      <c r="AQ64" s="861">
        <f>IF(INDEX(HwyTransitModelGroup,A50,1)=PARAMETERS!$J$9,0.00000110231131*(C64*VLOOKUP(K64,EmBus1,8)-D64*VLOOKUP(L64,EmBus1,8)+(O64-P64)*VLOOKUP(0,EmBus1,8)),0)</f>
        <v>0</v>
      </c>
      <c r="AR64" s="401">
        <f>IF(INDEX(HwyTransitModelGroup,A50,1)=PARAMETERS!$J$10,0.00000110231131*((C64-D64)*PARAMETERS!$CQ$28),0)</f>
        <v>0</v>
      </c>
      <c r="AS64" s="863">
        <f>IF(INDEX(HwyTransitModelGroup,A50,1)=PARAMETERS!$J$10,0.00000110231131*((C64-D64)*PARAMETERS!$CR$28),0)</f>
        <v>0</v>
      </c>
      <c r="AT64" s="861">
        <f>IF(INDEX(HwyTransitModelGroup,A50,1)=PARAMETERS!$J$10,0.00000110231131*((C64-D64)*PARAMETERS!$CS$28),0)</f>
        <v>0</v>
      </c>
      <c r="AU64" s="863">
        <f>IF(INDEX(HwyTransitModelGroup,A50,1)=PARAMETERS!$J$10,0.00000110231131*((C64-D64)*PARAMETERS!$CT$28),0)</f>
        <v>0</v>
      </c>
      <c r="AV64" s="861">
        <f>IF(INDEX(HwyTransitModelGroup,A50,1)=PARAMETERS!$J$10,0.00000110231131*((C64-D64)*PARAMETERS!$CU$28),0)</f>
        <v>0</v>
      </c>
      <c r="AW64" s="863">
        <f>IF(INDEX(HwyTransitModelGroup,A50,1)=PARAMETERS!$J$10,0.00000110231131*((C64-D64)*PARAMETERS!$CV$28),0)</f>
        <v>0</v>
      </c>
      <c r="AX64" s="861">
        <f>IF(INDEX(HwyTransitModelGroup,A50,1)=PARAMETERS!$J$10,0.00000110231131*((C64-D64)*PARAMETERS!$CW$28),0)</f>
        <v>0</v>
      </c>
      <c r="AY64" s="401">
        <f>IF(INDEX(HwyTransitModelGroup,A50,1)=PARAMETERS!$J$11,0.00000110231131*((C64-D64)*PARAMETERS!$CQ$36),0)</f>
        <v>0</v>
      </c>
      <c r="AZ64" s="863">
        <f>IF(INDEX(HwyTransitModelGroup,A50,1)=PARAMETERS!$J$11,0.00000110231131*((C64-D64)*PARAMETERS!$CR$36),0)</f>
        <v>0</v>
      </c>
      <c r="BA64" s="861">
        <f>IF(INDEX(HwyTransitModelGroup,A50,1)=PARAMETERS!$J$11,0.00000110231131*((C64-D64)*PARAMETERS!$CS$36),0)</f>
        <v>0</v>
      </c>
      <c r="BB64" s="863">
        <f>IF(INDEX(HwyTransitModelGroup,A50,1)=PARAMETERS!$J$11,0.00000110231131*((C64-D64)*PARAMETERS!$CT$36),0)</f>
        <v>0</v>
      </c>
      <c r="BC64" s="861">
        <f>IF(INDEX(HwyTransitModelGroup,A50,1)=PARAMETERS!$J$11,0.00000110231131*((C64-D64)*PARAMETERS!$CU$36),0)</f>
        <v>0</v>
      </c>
      <c r="BD64" s="863">
        <f>IF(INDEX(HwyTransitModelGroup,A50,1)=PARAMETERS!$J$11,0.00000110231131*((C64-D64)*PARAMETERS!$CV$36),0)</f>
        <v>0</v>
      </c>
      <c r="BE64" s="865">
        <f>IF(INDEX(HwyTransitModelGroup,A50,1)=PARAMETERS!$J$11,0.00000110231131*((C64-D64)*PARAMETERS!$CW$36),0)</f>
        <v>0</v>
      </c>
      <c r="BF64" s="729">
        <f t="shared" si="21"/>
        <v>-0.21760910214570542</v>
      </c>
      <c r="BG64" s="867">
        <f t="shared" si="22"/>
        <v>-544.11890847477014</v>
      </c>
      <c r="BH64" s="867">
        <f t="shared" si="23"/>
        <v>-61.930312375212267</v>
      </c>
      <c r="BI64" s="867">
        <f t="shared" si="24"/>
        <v>-13.64648828404199</v>
      </c>
      <c r="BJ64" s="867">
        <f t="shared" si="25"/>
        <v>-6.3856978339364598</v>
      </c>
      <c r="BK64" s="869">
        <f t="shared" si="26"/>
        <v>-2.5337117512832453E-2</v>
      </c>
      <c r="BL64" s="392"/>
      <c r="BN64" s="375">
        <f t="shared" si="27"/>
        <v>2032</v>
      </c>
      <c r="BO64" s="871">
        <f t="shared" ca="1" si="17"/>
        <v>-9.6615280771257285E-3</v>
      </c>
      <c r="BP64" s="871">
        <f t="shared" ca="1" si="18"/>
        <v>1.8971767035639176E-3</v>
      </c>
      <c r="BQ64" s="871">
        <f t="shared" ca="1" si="18"/>
        <v>8.3454611681972643E-2</v>
      </c>
      <c r="BR64" s="871">
        <f t="shared" ca="1" si="18"/>
        <v>0.32809055070789989</v>
      </c>
      <c r="BS64" s="871">
        <f t="shared" ca="1" si="18"/>
        <v>1.1900459806970132</v>
      </c>
      <c r="BT64" s="871">
        <f t="shared" ca="1" si="18"/>
        <v>1.5678464157799323</v>
      </c>
    </row>
    <row r="65" spans="2:76" x14ac:dyDescent="0.25">
      <c r="B65" s="375">
        <f t="shared" si="28"/>
        <v>2032</v>
      </c>
      <c r="C65" s="401">
        <f>MAX(TREND(C56:C57,B56:B57,B65),0)</f>
        <v>604805</v>
      </c>
      <c r="D65" s="402">
        <f>MAX(TREND(D56:D57,B56:B57,B65),0)</f>
        <v>616594.5</v>
      </c>
      <c r="E65" s="401">
        <f>MAX(TREND(E56:E57,B56:B57,B65),0)</f>
        <v>11424.5</v>
      </c>
      <c r="F65" s="402">
        <f>MAX(TREND(F56:F57,B56:B57,B65),0)</f>
        <v>11315</v>
      </c>
      <c r="G65" s="401">
        <f>MAX(TREND(G56:G57,B56:B57,B65),0)</f>
        <v>0</v>
      </c>
      <c r="H65" s="402">
        <f>MAX(TREND(H56:H57,B56:B57,B65),0)</f>
        <v>0</v>
      </c>
      <c r="I65" s="401">
        <f>MAX(TREND(I56:I57,B56:B57,B65),0)</f>
        <v>0</v>
      </c>
      <c r="J65" s="402">
        <f>MAX(TREND(J56:J57,B56:B57,B65),0)</f>
        <v>0</v>
      </c>
      <c r="K65" s="435">
        <f>IFERROR(IF(INDEX(HwyTransitModelGroup,A50,1)=Hwy,MAX(5,ROUND(C65/E65,1)),MAX(5,ROUND(G65/I65,1))),55)</f>
        <v>52.9</v>
      </c>
      <c r="L65" s="436">
        <f>IFERROR(IF(INDEX(HwyTransitModelGroup,A50,1)=Hwy,MAX(5,ROUND(D65/F65,1)),MAX(5,ROUND(H65/J65,1))),55)</f>
        <v>54.5</v>
      </c>
      <c r="M65" s="405">
        <f>MIN(MAX(TREND(M56:M57,B56:B57,B65),0),1)</f>
        <v>0.24</v>
      </c>
      <c r="N65" s="406">
        <f>MIN(MAX(TREND(N56:N57,B56:B57,B65),0),1)</f>
        <v>0.24</v>
      </c>
      <c r="O65" s="401">
        <f>MAX(TREND(O56:O57,B56:B57,B65),0)</f>
        <v>0</v>
      </c>
      <c r="P65" s="402">
        <f>MAX(TREND(P56:P57,B56:B57,B65),0)</f>
        <v>0</v>
      </c>
      <c r="Q65" s="729">
        <f>IF(INDEX(HwyTransitModelGroup,A50,1)=Hwy,C65*(1-M65)*0.00000110231131*(VLOOKUP(K65,EmAuto1,2)*VLOOKUP(ProjLoc,EmCost,2)+VLOOKUP(K65,EmAuto1,3)*VLOOKUP(ProjLoc,EmCost,3)*(1+CO2Uprater)^($B65-YearCurrent)+VLOOKUP(K65,EmAuto1,4)*VLOOKUP(ProjLoc,EmCost,4)+VLOOKUP(K65,EmAuto1,5)*VLOOKUP(ProjLoc,EmCost,5)+VLOOKUP(K65,EmAuto1,6)*VLOOKUP(ProjLoc,EmCost,6)+VLOOKUP(K65,EmAuto1,7)*VLOOKUP(ProjLoc,EmCost,7))+C65*M65*0.00000110231131*(VLOOKUP(K65,EmTruck1,2)*VLOOKUP(ProjLoc,EmCost,2)+VLOOKUP(K65,EmTruck1,3)*VLOOKUP(ProjLoc,EmCost,3)*(1+CO2Uprater)^($B65-YearCurrent)+VLOOKUP(K65,EmTruck1,4)*VLOOKUP(ProjLoc,EmCost,4)+VLOOKUP(K65,EmTruck1,5)*VLOOKUP(ProjLoc,EmCost,5)+VLOOKUP(K65,EmTruck1,6)*VLOOKUP(ProjLoc,EmCost,6)+VLOOKUP(K65,EmTruck1,7)*VLOOKUP(ProjLoc,EmCost,7)),0)</f>
        <v>20699.136002322601</v>
      </c>
      <c r="R65" s="802">
        <f>IF(INDEX(HwyTransitModelGroup,A50,1)=Hwy,D65*(1-N65)*0.00000110231131*(VLOOKUP(L65,EmAuto1,2)*VLOOKUP(ProjLoc,EmCost,2)+VLOOKUP(L65,EmAuto1,3)*VLOOKUP(ProjLoc,EmCost,3)*(1+CO2Uprater)^($B65-YearCurrent)+VLOOKUP(L65,EmAuto1,4)*VLOOKUP(ProjLoc,EmCost,4)+VLOOKUP(L65,EmAuto1,5)*VLOOKUP(ProjLoc,EmCost,5)+VLOOKUP(L65,EmAuto1,6)*VLOOKUP(ProjLoc,EmCost,6)+VLOOKUP(L65,EmAuto1,7)*VLOOKUP(ProjLoc,EmCost,7))+D65*N65*0.00000110231131*(VLOOKUP(L65,EmTruck1,2)*VLOOKUP(ProjLoc,EmCost,2)+VLOOKUP(L65,EmTruck1,3)*VLOOKUP(ProjLoc,EmCost,3)*(1+CO2Uprater)^($B65-YearCurrent)+VLOOKUP(L65,EmTruck1,4)*VLOOKUP(ProjLoc,EmCost,4)+VLOOKUP(L65,EmTruck1,5)*VLOOKUP(ProjLoc,EmCost,5)+VLOOKUP(L65,EmTruck1,6)*VLOOKUP(ProjLoc,EmCost,6)+VLOOKUP(L65,EmTruck1,7)*VLOOKUP(ProjLoc,EmCost,7)),0)</f>
        <v>22103.276355671907</v>
      </c>
      <c r="S65" s="729">
        <f>IF(INDEX(HwyTransitModelGroup,A50,1)=Hwy,O65*(1-M65)*0.00000110231131*(VLOOKUP(0,EmAuto1,2)*VLOOKUP(ProjLoc,EmCost,2)+VLOOKUP(0,EmAuto1,3)*VLOOKUP(ProjLoc,EmCost,3)*(1+CO2Uprater)^($B65-YearCurrent)+VLOOKUP(0,EmAuto1,4)*VLOOKUP(ProjLoc,EmCost,4)+VLOOKUP(0,EmAuto1,5)*VLOOKUP(ProjLoc,EmCost,5)+VLOOKUP(0,EmAuto1,6)*VLOOKUP(ProjLoc,EmCost,6)+VLOOKUP(0,EmAuto1,7)*VLOOKUP(ProjLoc,EmCost,7))+O65*M65*0.00000110231131*(VLOOKUP(0,EmTruck1,2)*VLOOKUP(ProjLoc,EmCost,2)+VLOOKUP(0,EmTruck1,3)*VLOOKUP(ProjLoc,EmCost,3)*(1+CO2Uprater)^($B65-YearCurrent)+VLOOKUP(0,EmTruck1,4)*VLOOKUP(ProjLoc,EmCost,4)+VLOOKUP(0,EmTruck1,5)*VLOOKUP(ProjLoc,EmCost,5)+VLOOKUP(0,EmTruck1,6)*VLOOKUP(ProjLoc,EmCost,6)+VLOOKUP(0,EmTruck1,7)*VLOOKUP(ProjLoc,EmCost,7)),0)</f>
        <v>0</v>
      </c>
      <c r="T65" s="802">
        <f>IF(INDEX(HwyTransitModelGroup,A50,1)=Hwy,P65*(1-N65)*0.00000110231131*(VLOOKUP(0,EmAuto1,2)*VLOOKUP(ProjLoc,EmCost,2)+VLOOKUP(0,EmAuto1,3)*VLOOKUP(ProjLoc,EmCost,3)*(1+CO2Uprater)^($B65-YearCurrent)+VLOOKUP(0,EmAuto1,4)*VLOOKUP(ProjLoc,EmCost,4)+VLOOKUP(0,EmAuto1,5)*VLOOKUP(ProjLoc,EmCost,5)+VLOOKUP(0,EmAuto1,6)*VLOOKUP(ProjLoc,EmCost,6)+VLOOKUP(0,EmAuto1,7)*VLOOKUP(ProjLoc,EmCost,7))+P65*N65*0.00000110231131*(VLOOKUP(0,EmTruck1,2)*VLOOKUP(ProjLoc,EmCost,2)+VLOOKUP(0,EmTruck1,3)*VLOOKUP(ProjLoc,EmCost,3)*(1+CO2Uprater)^($B65-YearCurrent)+VLOOKUP(0,EmTruck1,4)*VLOOKUP(ProjLoc,EmCost,4)+VLOOKUP(0,EmTruck1,5)*VLOOKUP(ProjLoc,EmCost,5)+VLOOKUP(0,EmTruck1,6)*VLOOKUP(ProjLoc,EmCost,6)+VLOOKUP(0,EmTruck1,7)*VLOOKUP(ProjLoc,EmCost,7)),0)</f>
        <v>0</v>
      </c>
      <c r="U65" s="729">
        <f>IF(INDEX(HwyTransitModelGroup,A50,1)=PARAMETERS!$J$9,C65*0.00000110231131*(VLOOKUP(K65,EmBus1,2)*VLOOKUP(ProjLoc,EmCost,2)+VLOOKUP(K65,EmBus1,3)*VLOOKUP(ProjLoc,EmCost,3)*(1+CO2Uprater)^($B65-YearCurrent)+VLOOKUP(K65,EmBus1,4)*VLOOKUP(ProjLoc,EmCost,4)+VLOOKUP(K65,EmBus1,5)*VLOOKUP(ProjLoc,EmCost,5)+VLOOKUP(K65,EmBus1,6)*VLOOKUP(ProjLoc,EmCost,6)+VLOOKUP(K65,EmBus1,7)*VLOOKUP(ProjLoc,EmCost,7)),0)</f>
        <v>0</v>
      </c>
      <c r="V65" s="802">
        <f>IF(INDEX(HwyTransitModelGroup,A50,1)=PARAMETERS!$J$9,D65*0.00000110231131*(VLOOKUP(L65,EmBus1,2)*VLOOKUP(ProjLoc,EmCost,2)+VLOOKUP(L65,EmBus1,3)*VLOOKUP(ProjLoc,EmCost,3)*(1+CO2Uprater)^($B65-YearCurrent)+VLOOKUP(L65,EmBus1,4)*VLOOKUP(ProjLoc,EmCost,4)+VLOOKUP(L65,EmBus1,5)*VLOOKUP(ProjLoc,EmCost,5)+VLOOKUP(L65,EmBus1,6)*VLOOKUP(ProjLoc,EmCost,6)+VLOOKUP(L65,EmBus1,7)*VLOOKUP(ProjLoc,EmCost,7)),0)</f>
        <v>0</v>
      </c>
      <c r="W65" s="808">
        <f>IF(INDEX(HwyTransitModelGroup,A50,1)=PARAMETERS!$J$10,C65*0.00000110231131*(PARAMETERS!$CQ$28*VLOOKUP(ProjLoc,EmCost,2)+PARAMETERS!$CR$28*VLOOKUP(ProjLoc,EmCost,3)*(1+CO2Uprater)^($B65-YearCurrent)+PARAMETERS!$CS$28*VLOOKUP(ProjLoc,EmCost,4)+PARAMETERS!$CT$28*VLOOKUP(ProjLoc,EmCost,5)+PARAMETERS!$CU$28*VLOOKUP(ProjLoc,EmCost,6)+PARAMETERS!$CV$28*VLOOKUP(ProjLoc,EmCost,7)),0)</f>
        <v>0</v>
      </c>
      <c r="X65" s="844">
        <f>IF(INDEX(HwyTransitModelGroup,A50,1)=PARAMETERS!$J$10,D65*0.00000110231131*(PARAMETERS!$CQ$28*VLOOKUP(ProjLoc,EmCost,2)+PARAMETERS!$CR$28*VLOOKUP(ProjLoc,EmCost,3)*(1+CO2Uprater)^($B65-YearCurrent)+PARAMETERS!$CS$28*VLOOKUP(ProjLoc,EmCost,4)+PARAMETERS!$CT$28*VLOOKUP(ProjLoc,EmCost,5)+PARAMETERS!$CU$28*VLOOKUP(ProjLoc,EmCost,6)+PARAMETERS!$CV$28*VLOOKUP(ProjLoc,EmCost,7)),0)</f>
        <v>0</v>
      </c>
      <c r="Y65" s="808">
        <f>IF(INDEX(HwyTransitModelGroup,A50,1)=PARAMETERS!$J$11,C65*0.00000110231131*(PARAMETERS!$CQ$36*VLOOKUP(ProjLoc,EmCost,2)+PARAMETERS!$CR$36*VLOOKUP(ProjLoc,EmCost,3)*(1+CO2Uprater)^($B65-YearCurrent)+PARAMETERS!$CS$36*VLOOKUP(ProjLoc,EmCost,4)+PARAMETERS!$CT$36*VLOOKUP(ProjLoc,EmCost,5)+PARAMETERS!$CU$36*VLOOKUP(ProjLoc,EmCost,6)+PARAMETERS!$CV$36*VLOOKUP(ProjLoc,EmCost,7)),0)</f>
        <v>0</v>
      </c>
      <c r="Z65" s="844">
        <f>IF(INDEX(HwyTransitModelGroup,A50,1)=PARAMETERS!$J$11,D65*0.00000110231131*(PARAMETERS!$CQ$36*VLOOKUP(ProjLoc,EmCost,2)+PARAMETERS!$CR$36*VLOOKUP(ProjLoc,EmCost,3)*(1+CO2Uprater)^($B65-YearCurrent)+PARAMETERS!$CS$36*VLOOKUP(ProjLoc,EmCost,4)+PARAMETERS!$CT$36*VLOOKUP(ProjLoc,EmCost,5)+PARAMETERS!$CU$36*VLOOKUP(ProjLoc,EmCost,6)+PARAMETERS!$CV$36*VLOOKUP(ProjLoc,EmCost,7)),0)</f>
        <v>0</v>
      </c>
      <c r="AA65" s="369">
        <f t="shared" si="19"/>
        <v>-1404.1403533493067</v>
      </c>
      <c r="AB65" s="370">
        <f t="shared" si="20"/>
        <v>-948.58691072518741</v>
      </c>
      <c r="AC65" s="371"/>
      <c r="AD65" s="401">
        <f>IF(INDEX(HwyTransitModelGroup,A50,1)=Hwy,0.00000110231131*(C65*(1-M65)*VLOOKUP(K65,EmAuto1,2)-D65*(1-N65)*VLOOKUP(L65,EmAuto1,2)+(O65*(1-M65)-P65*(1-N65))*VLOOKUP(0,EmAuto1,2))+0.00000110231131*(C65*M65*VLOOKUP(K65,EmTruck1,2)-D65*N65*VLOOKUP(L65,EmTruck1,2)+(O65*M65-P65*N65)*VLOOKUP(0,EmTruck1,2)),0)</f>
        <v>1.8971767035639176E-3</v>
      </c>
      <c r="AE65" s="863">
        <f>IF(INDEX(HwyTransitModelGroup,A50,1)=Hwy,0.00000110231131*(C65*(1-M65)*VLOOKUP(K65,EmAuto1,3)-D65*(1-N65)*VLOOKUP(L65,EmAuto1,3)+(O65*(1-M65)-P65*(1-N65))*VLOOKUP(0,EmAuto1,3))+0.00000110231131*(C65*M65*VLOOKUP(K65,EmTruck1,3)-D65*N65*VLOOKUP(L65,EmTruck1,3)+(O65*M65-P65*N65)*VLOOKUP(0,EmTruck1,3)),0)</f>
        <v>-21.221656336535727</v>
      </c>
      <c r="AF65" s="861">
        <f>IF(INDEX(HwyTransitModelGroup,A50,1)=Hwy,0.00000110231131*(C65*(1-M65)*VLOOKUP(K65,EmAuto1,4)-D65*(1-N65)*VLOOKUP(L65,EmAuto1,4)+(O65*(1-M65)-P65*(1-N65))*VLOOKUP(0,EmAuto1,4))+0.00000110231131*(C65*M65*VLOOKUP(K65,EmTruck1,4)-D65*N65*VLOOKUP(L65,EmTruck1,4)+(O65*M65-P65*N65)*VLOOKUP(0,EmTruck1,4)),0)</f>
        <v>-7.8696677151041099E-3</v>
      </c>
      <c r="AG65" s="863">
        <f>IF(INDEX(HwyTransitModelGroup,A50,1)=Hwy,0.00000110231131*(C65*(1-M65)*VLOOKUP(K65,EmAuto1,5)-D65*(1-N65)*VLOOKUP(L65,EmAuto1,5)+(O65*(1-M65)-P65*(1-N65))*VLOOKUP(0,EmAuto1,5))+0.00000110231131*(C65*M65*VLOOKUP(K65,EmTruck1,5)-D65*N65*VLOOKUP(L65,EmTruck1,5)+(O65*M65-P65*N65)*VLOOKUP(0,EmTruck1,5)),0)</f>
        <v>-2.6534224307844865E-4</v>
      </c>
      <c r="AH65" s="861">
        <f>IF(INDEX(HwyTransitModelGroup,A50,1)=Hwy,0.00000110231131*(C65*(1-M65)*VLOOKUP(K65,EmAuto1,6)-D65*(1-N65)*VLOOKUP(L65,EmAuto1,6)+(O65*(1-M65)-P65*(1-N65))*VLOOKUP(0,EmAuto1,6))+0.00000110231131*(C65*M65*VLOOKUP(K65,EmTruck1,6)-D65*N65*VLOOKUP(L65,EmTruck1,6)+(O65*M65-P65*N65)*VLOOKUP(0,EmTruck1,6)),0)</f>
        <v>-2.2073553158761692E-4</v>
      </c>
      <c r="AI65" s="863">
        <f>IF(INDEX(HwyTransitModelGroup,A50,1)=Hwy,0.00000110231131*(C65*(1-M65)*VLOOKUP(K65,EmAuto1,7)-D65*(1-N65)*VLOOKUP(L65,EmAuto1,7)+(O65*(1-M65)-P65*(1-N65))*VLOOKUP(0,EmAuto1,7))+0.00000110231131*(C65*M65*VLOOKUP(K65,EmTruck1,7)-D65*N65*VLOOKUP(L65,EmTruck1,7)+(O65*M65-P65*N65)*VLOOKUP(0,EmTruck1,7)),0)</f>
        <v>2.2032675046141447E-4</v>
      </c>
      <c r="AJ65" s="861">
        <f>IF(INDEX(HwyTransitModelGroup,A50,1)=Hwy,0.00000110231131*(C65*(1-M65)*VLOOKUP(K65,EmAuto1,8)-D65*(1-N65)*VLOOKUP(L65,EmAuto1,8)+(O65*(1-M65)-P65*(1-N65))*VLOOKUP(0,EmAuto1,8))+0.00000110231131*(C65*M65*VLOOKUP(K65,EmTruck1,8)-D65*N65*VLOOKUP(L65,EmTruck1,8)+(O65*M65-P65*N65)*VLOOKUP(0,EmTruck1,8)),0)</f>
        <v>-2.4617089107200414E-4</v>
      </c>
      <c r="AK65" s="401">
        <f>IF(INDEX(HwyTransitModelGroup,A50,1)=PARAMETERS!$J$9,0.00000110231131*(C65*VLOOKUP(K65,EmBus1,2)-D65*VLOOKUP(L65,EmBus1,2)+(O65-P65)*VLOOKUP(0,EmBus1,2)),0)</f>
        <v>0</v>
      </c>
      <c r="AL65" s="863">
        <f>IF(INDEX(HwyTransitModelGroup,A50,1)=PARAMETERS!$J$9,0.00000110231131*(C65*VLOOKUP(K65,EmBus1,3)-D65*VLOOKUP(L65,EmBus1,3)+(O65-P65)*VLOOKUP(0,EmBus1,3)),0)</f>
        <v>0</v>
      </c>
      <c r="AM65" s="861">
        <f>IF(INDEX(HwyTransitModelGroup,A50,1)=PARAMETERS!$J$9,0.00000110231131*(C65*VLOOKUP(K65,EmBus1,4)-D65*VLOOKUP(L65,EmBus1,4)+(O65-P65)*VLOOKUP(0,EmBus1,4)),0)</f>
        <v>0</v>
      </c>
      <c r="AN65" s="863">
        <f>IF(INDEX(HwyTransitModelGroup,A50,1)=PARAMETERS!$J$9,0.00000110231131*(C65*VLOOKUP(K65,EmBus1,5)-D65*VLOOKUP(L65,EmBus1,5)+(O65-P65)*VLOOKUP(0,EmBus1,5)),0)</f>
        <v>0</v>
      </c>
      <c r="AO65" s="861">
        <f>IF(INDEX(HwyTransitModelGroup,A50,1)=PARAMETERS!$J$9,0.00000110231131*(C65*VLOOKUP(K65,EmBus1,6)-D65*VLOOKUP(L65,EmBus1,6)+(O65-P65)*VLOOKUP(0,EmBus1,6)),0)</f>
        <v>0</v>
      </c>
      <c r="AP65" s="863">
        <f>IF(INDEX(HwyTransitModelGroup,A50,1)=PARAMETERS!$J$9,0.00000110231131*(C65*VLOOKUP(K65,EmBus1,7)-D65*VLOOKUP(L65,EmBus1,7)+(O65-P65)*VLOOKUP(0,EmBus1,7)),0)</f>
        <v>0</v>
      </c>
      <c r="AQ65" s="861">
        <f>IF(INDEX(HwyTransitModelGroup,A50,1)=PARAMETERS!$J$9,0.00000110231131*(C65*VLOOKUP(K65,EmBus1,8)-D65*VLOOKUP(L65,EmBus1,8)+(O65-P65)*VLOOKUP(0,EmBus1,8)),0)</f>
        <v>0</v>
      </c>
      <c r="AR65" s="401">
        <f>IF(INDEX(HwyTransitModelGroup,A50,1)=PARAMETERS!$J$10,0.00000110231131*((C65-D65)*PARAMETERS!$CQ$28),0)</f>
        <v>0</v>
      </c>
      <c r="AS65" s="863">
        <f>IF(INDEX(HwyTransitModelGroup,A50,1)=PARAMETERS!$J$10,0.00000110231131*((C65-D65)*PARAMETERS!$CR$28),0)</f>
        <v>0</v>
      </c>
      <c r="AT65" s="861">
        <f>IF(INDEX(HwyTransitModelGroup,A50,1)=PARAMETERS!$J$10,0.00000110231131*((C65-D65)*PARAMETERS!$CS$28),0)</f>
        <v>0</v>
      </c>
      <c r="AU65" s="863">
        <f>IF(INDEX(HwyTransitModelGroup,A50,1)=PARAMETERS!$J$10,0.00000110231131*((C65-D65)*PARAMETERS!$CT$28),0)</f>
        <v>0</v>
      </c>
      <c r="AV65" s="861">
        <f>IF(INDEX(HwyTransitModelGroup,A50,1)=PARAMETERS!$J$10,0.00000110231131*((C65-D65)*PARAMETERS!$CU$28),0)</f>
        <v>0</v>
      </c>
      <c r="AW65" s="863">
        <f>IF(INDEX(HwyTransitModelGroup,A50,1)=PARAMETERS!$J$10,0.00000110231131*((C65-D65)*PARAMETERS!$CV$28),0)</f>
        <v>0</v>
      </c>
      <c r="AX65" s="861">
        <f>IF(INDEX(HwyTransitModelGroup,A50,1)=PARAMETERS!$J$10,0.00000110231131*((C65-D65)*PARAMETERS!$CW$28),0)</f>
        <v>0</v>
      </c>
      <c r="AY65" s="401">
        <f>IF(INDEX(HwyTransitModelGroup,A50,1)=PARAMETERS!$J$11,0.00000110231131*((C65-D65)*PARAMETERS!$CQ$36),0)</f>
        <v>0</v>
      </c>
      <c r="AZ65" s="863">
        <f>IF(INDEX(HwyTransitModelGroup,A50,1)=PARAMETERS!$J$11,0.00000110231131*((C65-D65)*PARAMETERS!$CR$36),0)</f>
        <v>0</v>
      </c>
      <c r="BA65" s="861">
        <f>IF(INDEX(HwyTransitModelGroup,A50,1)=PARAMETERS!$J$11,0.00000110231131*((C65-D65)*PARAMETERS!$CS$36),0)</f>
        <v>0</v>
      </c>
      <c r="BB65" s="863">
        <f>IF(INDEX(HwyTransitModelGroup,A50,1)=PARAMETERS!$J$11,0.00000110231131*((C65-D65)*PARAMETERS!$CT$36),0)</f>
        <v>0</v>
      </c>
      <c r="BC65" s="861">
        <f>IF(INDEX(HwyTransitModelGroup,A50,1)=PARAMETERS!$J$11,0.00000110231131*((C65-D65)*PARAMETERS!$CU$36),0)</f>
        <v>0</v>
      </c>
      <c r="BD65" s="863">
        <f>IF(INDEX(HwyTransitModelGroup,A50,1)=PARAMETERS!$J$11,0.00000110231131*((C65-D65)*PARAMETERS!$CV$36),0)</f>
        <v>0</v>
      </c>
      <c r="BE65" s="865">
        <f>IF(INDEX(HwyTransitModelGroup,A50,1)=PARAMETERS!$J$11,0.00000110231131*((C65-D65)*PARAMETERS!$CW$36),0)</f>
        <v>0</v>
      </c>
      <c r="BF65" s="729">
        <f t="shared" si="21"/>
        <v>0.10253316822870612</v>
      </c>
      <c r="BG65" s="867">
        <f t="shared" si="22"/>
        <v>-838.85875068121061</v>
      </c>
      <c r="BH65" s="867">
        <f t="shared" si="23"/>
        <v>-80.278629486231893</v>
      </c>
      <c r="BI65" s="867">
        <f t="shared" si="24"/>
        <v>-20.919141578690923</v>
      </c>
      <c r="BJ65" s="867">
        <f t="shared" si="25"/>
        <v>-8.7981399397112448</v>
      </c>
      <c r="BK65" s="869">
        <f t="shared" si="26"/>
        <v>0.16521779243056561</v>
      </c>
      <c r="BL65" s="392"/>
      <c r="BN65" s="375">
        <f t="shared" si="27"/>
        <v>2033</v>
      </c>
      <c r="BO65" s="871">
        <f t="shared" ca="1" si="17"/>
        <v>-8.2260436642066746E-3</v>
      </c>
      <c r="BP65" s="871">
        <f t="shared" ca="1" si="18"/>
        <v>-1.9361815042512652E-3</v>
      </c>
      <c r="BQ65" s="871">
        <f t="shared" ca="1" si="18"/>
        <v>4.7395816021931006E-2</v>
      </c>
      <c r="BR65" s="871">
        <f t="shared" ca="1" si="18"/>
        <v>0.17118214013473376</v>
      </c>
      <c r="BS65" s="871">
        <f t="shared" ca="1" si="18"/>
        <v>0.66493607341669458</v>
      </c>
      <c r="BT65" s="871">
        <f t="shared" ca="1" si="18"/>
        <v>0.86257395453851116</v>
      </c>
    </row>
    <row r="66" spans="2:76" x14ac:dyDescent="0.25">
      <c r="B66" s="375">
        <f t="shared" si="28"/>
        <v>2033</v>
      </c>
      <c r="C66" s="401">
        <f>MAX(TREND(C56:C57,B56:B57,B66),0)</f>
        <v>615207.5</v>
      </c>
      <c r="D66" s="402">
        <f>MAX(TREND(D56:D57,B56:B57,B66),0)</f>
        <v>627197.75</v>
      </c>
      <c r="E66" s="401">
        <f>MAX(TREND(E56:E57,B56:B57,B66),0)</f>
        <v>11625.25</v>
      </c>
      <c r="F66" s="402">
        <f>MAX(TREND(F56:F57,B56:B57,B66),0)</f>
        <v>11497.5</v>
      </c>
      <c r="G66" s="401">
        <f>MAX(TREND(G56:G57,B56:B57,B66),0)</f>
        <v>0</v>
      </c>
      <c r="H66" s="402">
        <f>MAX(TREND(H56:H57,B56:B57,B66),0)</f>
        <v>0</v>
      </c>
      <c r="I66" s="401">
        <f>MAX(TREND(I56:I57,B56:B57,B66),0)</f>
        <v>0</v>
      </c>
      <c r="J66" s="402">
        <f>MAX(TREND(J56:J57,B56:B57,B66),0)</f>
        <v>0</v>
      </c>
      <c r="K66" s="435">
        <f>IFERROR(IF(INDEX(HwyTransitModelGroup,A50,1)=Hwy,MAX(5,ROUND(C66/E66,1)),MAX(5,ROUND(G66/I66,1))),55)</f>
        <v>52.9</v>
      </c>
      <c r="L66" s="436">
        <f>IFERROR(IF(INDEX(HwyTransitModelGroup,A50,1)=Hwy,MAX(5,ROUND(D66/F66,1)),MAX(5,ROUND(H66/J66,1))),55)</f>
        <v>54.6</v>
      </c>
      <c r="M66" s="405">
        <f>MIN(MAX(TREND(M56:M57,B56:B57,B66),0),1)</f>
        <v>0.24</v>
      </c>
      <c r="N66" s="406">
        <f>MIN(MAX(TREND(N56:N57,B56:B57,B66),0),1)</f>
        <v>0.24</v>
      </c>
      <c r="O66" s="401">
        <f>MAX(TREND(O56:O57,B56:B57,B66),0)</f>
        <v>0</v>
      </c>
      <c r="P66" s="402">
        <f>MAX(TREND(P56:P57,B56:B57,B66),0)</f>
        <v>0</v>
      </c>
      <c r="Q66" s="729">
        <f>IF(INDEX(HwyTransitModelGroup,A50,1)=Hwy,C66*(1-M66)*0.00000110231131*(VLOOKUP(K66,EmAuto20,2)*VLOOKUP(ProjLoc,EmCost,2)+VLOOKUP(K66,EmAuto20,3)*VLOOKUP(ProjLoc,EmCost,3)*(1+CO2Uprater)^($B66-YearCurrent)+VLOOKUP(K66,EmAuto20,4)*VLOOKUP(ProjLoc,EmCost,4)+VLOOKUP(K66,EmAuto20,5)*VLOOKUP(ProjLoc,EmCost,5)+VLOOKUP(K66,EmAuto20,6)*VLOOKUP(ProjLoc,EmCost,6)+VLOOKUP(K66,EmAuto20,7)*VLOOKUP(ProjLoc,EmCost,7))+C66*M66*0.00000110231131*(VLOOKUP(K66,EmTruck20,2)*VLOOKUP(ProjLoc,EmCost,2)+VLOOKUP(K66,EmTruck20,3)*VLOOKUP(ProjLoc,EmCost,3)*(1+CO2Uprater)^($B66-YearCurrent)+VLOOKUP(K66,EmTruck20,4)*VLOOKUP(ProjLoc,EmCost,4)+VLOOKUP(K66,EmTruck20,5)*VLOOKUP(ProjLoc,EmCost,5)+VLOOKUP(K66,EmTruck20,6)*VLOOKUP(ProjLoc,EmCost,6)+VLOOKUP(K66,EmTruck20,7)*VLOOKUP(ProjLoc,EmCost,7)),0)</f>
        <v>14315.384272009687</v>
      </c>
      <c r="R66" s="802">
        <f>IF(INDEX(HwyTransitModelGroup,A50,1)=Hwy,D66*(1-N66)*0.00000110231131*(VLOOKUP(L66,EmAuto20,2)*VLOOKUP(ProjLoc,EmCost,2)+VLOOKUP(L66,EmAuto20,3)*VLOOKUP(ProjLoc,EmCost,3)*(1+CO2Uprater)^($B66-YearCurrent)+VLOOKUP(L66,EmAuto20,4)*VLOOKUP(ProjLoc,EmCost,4)+VLOOKUP(L66,EmAuto20,5)*VLOOKUP(ProjLoc,EmCost,5)+VLOOKUP(L66,EmAuto20,6)*VLOOKUP(ProjLoc,EmCost,6)+VLOOKUP(L66,EmAuto20,7)*VLOOKUP(ProjLoc,EmCost,7))+D66*N66*0.00000110231131*(VLOOKUP(L66,EmTruck20,2)*VLOOKUP(ProjLoc,EmCost,2)+VLOOKUP(L66,EmTruck20,3)*VLOOKUP(ProjLoc,EmCost,3)*(1+CO2Uprater)^($B66-YearCurrent)+VLOOKUP(L66,EmTruck20,4)*VLOOKUP(ProjLoc,EmCost,4)+VLOOKUP(L66,EmTruck20,5)*VLOOKUP(ProjLoc,EmCost,5)+VLOOKUP(L66,EmTruck20,6)*VLOOKUP(ProjLoc,EmCost,6)+VLOOKUP(L66,EmTruck20,7)*VLOOKUP(ProjLoc,EmCost,7)),0)</f>
        <v>15511.730108107364</v>
      </c>
      <c r="S66" s="729">
        <f>IF(INDEX(HwyTransitModelGroup,A50,1)=Hwy,O66*(1-M66)*0.00000110231131*(VLOOKUP(0,EmAuto20,2)*VLOOKUP(ProjLoc,EmCost,2)+VLOOKUP(0,EmAuto20,3)*VLOOKUP(ProjLoc,EmCost,3)*(1+CO2Uprater)^($B66-YearCurrent)+VLOOKUP(0,EmAuto20,4)*VLOOKUP(ProjLoc,EmCost,4)+VLOOKUP(0,EmAuto20,5)*VLOOKUP(ProjLoc,EmCost,5)+VLOOKUP(0,EmAuto20,6)*VLOOKUP(ProjLoc,EmCost,6)+VLOOKUP(0,EmAuto20,7)*VLOOKUP(ProjLoc,EmCost,7))+O66*M66*0.00000110231131*(VLOOKUP(0,EmTruck20,2)*VLOOKUP(ProjLoc,EmCost,2)+VLOOKUP(0,EmTruck20,3)*VLOOKUP(ProjLoc,EmCost,3)*(1+CO2Uprater)^($B66-YearCurrent)+VLOOKUP(0,EmTruck20,4)*VLOOKUP(ProjLoc,EmCost,4)+VLOOKUP(0,EmTruck20,5)*VLOOKUP(ProjLoc,EmCost,5)+VLOOKUP(0,EmTruck20,6)*VLOOKUP(ProjLoc,EmCost,6)+VLOOKUP(0,EmTruck20,7)*VLOOKUP(ProjLoc,EmCost,7)),0)</f>
        <v>0</v>
      </c>
      <c r="T66" s="802">
        <f>IF(INDEX(HwyTransitModelGroup,A50,1)=Hwy,P66*(1-N66)*0.00000110231131*(VLOOKUP(0,EmAuto20,2)*VLOOKUP(ProjLoc,EmCost,2)+VLOOKUP(0,EmAuto20,3)*VLOOKUP(ProjLoc,EmCost,3)*(1+CO2Uprater)^($B66-YearCurrent)+VLOOKUP(0,EmAuto20,4)*VLOOKUP(ProjLoc,EmCost,4)+VLOOKUP(0,EmAuto20,5)*VLOOKUP(ProjLoc,EmCost,5)+VLOOKUP(0,EmAuto20,6)*VLOOKUP(ProjLoc,EmCost,6)+VLOOKUP(0,EmAuto20,7)*VLOOKUP(ProjLoc,EmCost,7))+P66*N66*0.00000110231131*(VLOOKUP(0,EmTruck20,2)*VLOOKUP(ProjLoc,EmCost,2)+VLOOKUP(0,EmTruck20,3)*VLOOKUP(ProjLoc,EmCost,3)*(1+CO2Uprater)^($B66-YearCurrent)+VLOOKUP(0,EmTruck20,4)*VLOOKUP(ProjLoc,EmCost,4)+VLOOKUP(0,EmTruck20,5)*VLOOKUP(ProjLoc,EmCost,5)+VLOOKUP(0,EmTruck20,6)*VLOOKUP(ProjLoc,EmCost,6)+VLOOKUP(0,EmTruck20,7)*VLOOKUP(ProjLoc,EmCost,7)),0)</f>
        <v>0</v>
      </c>
      <c r="U66" s="729">
        <f>IF(INDEX(HwyTransitModelGroup,A50,1)=PARAMETERS!$J$9,C66*0.00000110231131*(VLOOKUP(K66,EmBus20,2)*VLOOKUP(ProjLoc,EmCost,2)+VLOOKUP(K66,EmBus20,3)*VLOOKUP(ProjLoc,EmCost,3)*(1+CO2Uprater)^($B66-YearCurrent)+VLOOKUP(K66,EmBus20,4)*VLOOKUP(ProjLoc,EmCost,4)+VLOOKUP(K66,EmBus20,5)*VLOOKUP(ProjLoc,EmCost,5)+VLOOKUP(K66,EmBus20,6)*VLOOKUP(ProjLoc,EmCost,6)+VLOOKUP(K66,EmBus20,7)*VLOOKUP(ProjLoc,EmCost,7)),0)</f>
        <v>0</v>
      </c>
      <c r="V66" s="802">
        <f>IF(INDEX(HwyTransitModelGroup,A50,1)=PARAMETERS!$J$9,D66*0.00000110231131*(VLOOKUP(L66,EmBus20,2)*VLOOKUP(ProjLoc,EmCost,2)+VLOOKUP(L66,EmBus20,3)*VLOOKUP(ProjLoc,EmCost,3)*(1+CO2Uprater)^($B66-YearCurrent)+VLOOKUP(L66,EmBus20,4)*VLOOKUP(ProjLoc,EmCost,4)+VLOOKUP(L66,EmBus20,5)*VLOOKUP(ProjLoc,EmCost,5)+VLOOKUP(L66,EmBus20,6)*VLOOKUP(ProjLoc,EmCost,6)+VLOOKUP(L66,EmBus20,7)*VLOOKUP(ProjLoc,EmCost,7)),0)</f>
        <v>0</v>
      </c>
      <c r="W66" s="808">
        <f>IF(INDEX(HwyTransitModelGroup,A50,1)=PARAMETERS!$J$10,C66*0.00000110231131*(PARAMETERS!$CQ$29*VLOOKUP(ProjLoc,EmCost,2)+PARAMETERS!$CR$29*VLOOKUP(ProjLoc,EmCost,3)*(1+CO2Uprater)^($B66-YearCurrent)+PARAMETERS!$CS$29*VLOOKUP(ProjLoc,EmCost,4)+PARAMETERS!$CT$29*VLOOKUP(ProjLoc,EmCost,5)+PARAMETERS!$CU$29*VLOOKUP(ProjLoc,EmCost,6)+PARAMETERS!$CV$29*VLOOKUP(ProjLoc,EmCost,7)),0)</f>
        <v>0</v>
      </c>
      <c r="X66" s="844">
        <f>IF(INDEX(HwyTransitModelGroup,A50,1)=PARAMETERS!$J$10,D66*0.00000110231131*(PARAMETERS!$CQ$29*VLOOKUP(ProjLoc,EmCost,2)+PARAMETERS!$CR$29*VLOOKUP(ProjLoc,EmCost,3)*(1+CO2Uprater)^($B66-YearCurrent)+PARAMETERS!$CS$29*VLOOKUP(ProjLoc,EmCost,4)+PARAMETERS!$CT$29*VLOOKUP(ProjLoc,EmCost,5)+PARAMETERS!$CU$29*VLOOKUP(ProjLoc,EmCost,6)+PARAMETERS!$CV$29*VLOOKUP(ProjLoc,EmCost,7)),0)</f>
        <v>0</v>
      </c>
      <c r="Y66" s="808">
        <f>IF(INDEX(HwyTransitModelGroup,A50,1)=PARAMETERS!$J$11,C66*0.00000110231131*(PARAMETERS!$CQ$37*VLOOKUP(ProjLoc,EmCost,2)+PARAMETERS!$CR$37*VLOOKUP(ProjLoc,EmCost,3)*(1+CO2Uprater)^($B66-YearCurrent)+PARAMETERS!$CS$37*VLOOKUP(ProjLoc,EmCost,4)+PARAMETERS!$CT$37*VLOOKUP(ProjLoc,EmCost,5)+PARAMETERS!$CU$37*VLOOKUP(ProjLoc,EmCost,6)+PARAMETERS!$CV$37*VLOOKUP(ProjLoc,EmCost,7)),0)</f>
        <v>0</v>
      </c>
      <c r="Z66" s="844">
        <f>IF(INDEX(HwyTransitModelGroup,A50,1)=PARAMETERS!$J$11,D66*0.00000110231131*(PARAMETERS!$CQ$37*VLOOKUP(ProjLoc,EmCost,2)+PARAMETERS!$CR$37*VLOOKUP(ProjLoc,EmCost,3)*(1+CO2Uprater)^($B66-YearCurrent)+PARAMETERS!$CS$37*VLOOKUP(ProjLoc,EmCost,4)+PARAMETERS!$CT$37*VLOOKUP(ProjLoc,EmCost,5)+PARAMETERS!$CU$37*VLOOKUP(ProjLoc,EmCost,6)+PARAMETERS!$CV$37*VLOOKUP(ProjLoc,EmCost,7)),0)</f>
        <v>0</v>
      </c>
      <c r="AA66" s="369">
        <f t="shared" si="19"/>
        <v>-1196.3458360976765</v>
      </c>
      <c r="AB66" s="370">
        <f t="shared" si="20"/>
        <v>-777.1234426841653</v>
      </c>
      <c r="AC66" s="371"/>
      <c r="AD66" s="401">
        <f>IF(INDEX(HwyTransitModelGroup,A50,1)=Hwy,0.00000110231131*(C66*(1-M66)*VLOOKUP(K66,EmAuto20,2)-D66*(1-N66)*VLOOKUP(L66,EmAuto20,2)+(O66*(1-M66)-P66*(1-N66))*VLOOKUP(0,EmAuto20,2))+0.00000110231131*(C66*M66*VLOOKUP(K66,EmTruck20,2)-D66*N66*VLOOKUP(L66,EmTruck20,2)+(O66*M66-P66*N66)*VLOOKUP(0,EmTruck20,2)),0)</f>
        <v>-1.9361815042512652E-3</v>
      </c>
      <c r="AE66" s="863">
        <f>IF(INDEX(HwyTransitModelGroup,A50,1)=Hwy,0.00000110231131*(C66*(1-M66)*VLOOKUP(K66,EmAuto20,3)-D66*(1-N66)*VLOOKUP(L66,EmAuto20,3)+(O66*(1-M66)-P66*(1-N66))*VLOOKUP(0,EmAuto20,3))+0.00000110231131*(C66*M66*VLOOKUP(K66,EmTruck20,3)-D66*N66*VLOOKUP(L66,EmTruck20,3)+(O66*M66-P66*N66)*VLOOKUP(0,EmTruck20,3)),0)</f>
        <v>-17.44778634233252</v>
      </c>
      <c r="AF66" s="861">
        <f>IF(INDEX(HwyTransitModelGroup,A50,1)=Hwy,0.00000110231131*(C66*(1-M66)*VLOOKUP(K66,EmAuto20,4)-D66*(1-N66)*VLOOKUP(L66,EmAuto20,4)+(O66*(1-M66)-P66*(1-N66))*VLOOKUP(0,EmAuto20,4))+0.00000110231131*(C66*M66*VLOOKUP(K66,EmTruck20,4)-D66*N66*VLOOKUP(L66,EmTruck20,4)+(O66*M66-P66*N66)*VLOOKUP(0,EmTruck20,4)),0)</f>
        <v>-7.5566940216070973E-3</v>
      </c>
      <c r="AG66" s="863">
        <f>IF(INDEX(HwyTransitModelGroup,A50,1)=Hwy,0.00000110231131*(C66*(1-M66)*VLOOKUP(K66,EmAuto20,5)-D66*(1-N66)*VLOOKUP(L66,EmAuto20,5)+(O66*(1-M66)-P66*(1-N66))*VLOOKUP(0,EmAuto20,5))+0.00000110231131*(C66*M66*VLOOKUP(K66,EmTruck20,5)-D66*N66*VLOOKUP(L66,EmTruck20,5)+(O66*M66-P66*N66)*VLOOKUP(0,EmTruck20,5)),0)</f>
        <v>-2.5947349798080126E-4</v>
      </c>
      <c r="AH66" s="861">
        <f>IF(INDEX(HwyTransitModelGroup,A50,1)=Hwy,0.00000110231131*(C66*(1-M66)*VLOOKUP(K66,EmAuto20,6)-D66*(1-N66)*VLOOKUP(L66,EmAuto20,6)+(O66*(1-M66)-P66*(1-N66))*VLOOKUP(0,EmAuto20,6))+0.00000110231131*(C66*M66*VLOOKUP(K66,EmTruck20,6)-D66*N66*VLOOKUP(L66,EmTruck20,6)+(O66*M66-P66*N66)*VLOOKUP(0,EmTruck20,6)),0)</f>
        <v>-1.7642776141250081E-4</v>
      </c>
      <c r="AI66" s="863">
        <f>IF(INDEX(HwyTransitModelGroup,A50,1)=Hwy,0.00000110231131*(C66*(1-M66)*VLOOKUP(K66,EmAuto20,7)-D66*(1-N66)*VLOOKUP(L66,EmAuto20,7)+(O66*(1-M66)-P66*(1-N66))*VLOOKUP(0,EmAuto20,7))+0.00000110231131*(C66*M66*VLOOKUP(K66,EmTruck20,7)-D66*N66*VLOOKUP(L66,EmTruck20,7)+(O66*M66-P66*N66)*VLOOKUP(0,EmTruck20,7)),0)</f>
        <v>-6.9244545435499693E-5</v>
      </c>
      <c r="AJ66" s="861">
        <f>IF(INDEX(HwyTransitModelGroup,A50,1)=Hwy,0.00000110231131*(C66*(1-M66)*VLOOKUP(K66,EmAuto20,8)-D66*(1-N66)*VLOOKUP(L66,EmAuto20,8)+(O66*(1-M66)-P66*(1-N66))*VLOOKUP(0,EmAuto20,8))+0.00000110231131*(C66*M66*VLOOKUP(K66,EmTruck20,8)-D66*N66*VLOOKUP(L66,EmTruck20,8)+(O66*M66-P66*N66)*VLOOKUP(0,EmTruck20,8)),0)</f>
        <v>-2.4192906266914377E-4</v>
      </c>
      <c r="AK66" s="401">
        <f>IF(INDEX(HwyTransitModelGroup,A50,1)=PARAMETERS!$J$9,0.00000110231131*(C66*VLOOKUP(K66,EmBus20,2)-D66*VLOOKUP(L66,EmBus20,2)+(O66-P66)*VLOOKUP(0,EmBus20,2)),0)</f>
        <v>0</v>
      </c>
      <c r="AL66" s="863">
        <f>IF(INDEX(HwyTransitModelGroup,A50,1)=PARAMETERS!$J$9,0.00000110231131*(C66*VLOOKUP(K66,EmBus20,3)-D66*VLOOKUP(L66,EmBus20,3)+(O66-P66)*VLOOKUP(0,EmBus20,3)),0)</f>
        <v>0</v>
      </c>
      <c r="AM66" s="861">
        <f>IF(INDEX(HwyTransitModelGroup,A50,1)=PARAMETERS!$J$9,0.00000110231131*(C66*VLOOKUP(K66,EmBus20,4)-D66*VLOOKUP(L66,EmBus20,4)+(O66-P66)*VLOOKUP(0,EmBus20,4)),0)</f>
        <v>0</v>
      </c>
      <c r="AN66" s="863">
        <f>IF(INDEX(HwyTransitModelGroup,A50,1)=PARAMETERS!$J$9,0.00000110231131*(C66*VLOOKUP(K66,EmBus20,5)-D66*VLOOKUP(L66,EmBus20,5)+(O66-P66)*VLOOKUP(0,EmBus20,5)),0)</f>
        <v>0</v>
      </c>
      <c r="AO66" s="861">
        <f>IF(INDEX(HwyTransitModelGroup,A50,1)=PARAMETERS!$J$9,0.00000110231131*(C66*VLOOKUP(K66,EmBus20,6)-D66*VLOOKUP(L66,EmBus20,6)+(O66-P66)*VLOOKUP(0,EmBus20,6)),0)</f>
        <v>0</v>
      </c>
      <c r="AP66" s="863">
        <f>IF(INDEX(HwyTransitModelGroup,A50,1)=PARAMETERS!$J$9,0.00000110231131*(C66*VLOOKUP(K66,EmBus20,7)-D66*VLOOKUP(L66,EmBus20,7)+(O66-P66)*VLOOKUP(0,EmBus20,7)),0)</f>
        <v>0</v>
      </c>
      <c r="AQ66" s="861">
        <f>IF(INDEX(HwyTransitModelGroup,A50,1)=PARAMETERS!$J$9,0.00000110231131*(C66*VLOOKUP(K66,EmBus20,8)-D66*VLOOKUP(L66,EmBus20,8)+(O66-P66)*VLOOKUP(0,EmBus20,8)),0)</f>
        <v>0</v>
      </c>
      <c r="AR66" s="401">
        <f>IF(INDEX(HwyTransitModelGroup,A50,1)=PARAMETERS!$J$10,0.00000110231131*((C66-D66)*PARAMETERS!$CQ$29),0)</f>
        <v>0</v>
      </c>
      <c r="AS66" s="863">
        <f>IF(INDEX(HwyTransitModelGroup,A50,1)=PARAMETERS!$J$10,0.00000110231131*((C66-D66)*PARAMETERS!$CR$29),0)</f>
        <v>0</v>
      </c>
      <c r="AT66" s="861">
        <f>IF(INDEX(HwyTransitModelGroup,A50,1)=PARAMETERS!$J$10,0.00000110231131*((C66-D66)*PARAMETERS!$CS$29),0)</f>
        <v>0</v>
      </c>
      <c r="AU66" s="863">
        <f>IF(INDEX(HwyTransitModelGroup,A50,1)=PARAMETERS!$J$10,0.00000110231131*((C66-D66)*PARAMETERS!$CT$29),0)</f>
        <v>0</v>
      </c>
      <c r="AV66" s="861">
        <f>IF(INDEX(HwyTransitModelGroup,A50,1)=PARAMETERS!$J$10,0.00000110231131*((C66-D66)*PARAMETERS!$CU$29),0)</f>
        <v>0</v>
      </c>
      <c r="AW66" s="863">
        <f>IF(INDEX(HwyTransitModelGroup,A50,1)=PARAMETERS!$J$10,0.00000110231131*((C66-D66)*PARAMETERS!$CV$29),0)</f>
        <v>0</v>
      </c>
      <c r="AX66" s="861">
        <f>IF(INDEX(HwyTransitModelGroup,A50,1)=PARAMETERS!$J$10,0.00000110231131*((C66-D66)*PARAMETERS!$CW$29),0)</f>
        <v>0</v>
      </c>
      <c r="AY66" s="401">
        <f>IF(INDEX(HwyTransitModelGroup,A50,1)=PARAMETERS!$J$11,0.00000110231131*((C66-D66)*PARAMETERS!$CQ$37),0)</f>
        <v>0</v>
      </c>
      <c r="AZ66" s="863">
        <f>IF(INDEX(HwyTransitModelGroup,A50,1)=PARAMETERS!$J$11,0.00000110231131*((C66-D66)*PARAMETERS!$CR$37),0)</f>
        <v>0</v>
      </c>
      <c r="BA66" s="861">
        <f>IF(INDEX(HwyTransitModelGroup,A50,1)=PARAMETERS!$J$11,0.00000110231131*((C66-D66)*PARAMETERS!$CS$37),0)</f>
        <v>0</v>
      </c>
      <c r="BB66" s="863">
        <f>IF(INDEX(HwyTransitModelGroup,A50,1)=PARAMETERS!$J$11,0.00000110231131*((C66-D66)*PARAMETERS!$CT$37),0)</f>
        <v>0</v>
      </c>
      <c r="BC66" s="861">
        <f>IF(INDEX(HwyTransitModelGroup,A50,1)=PARAMETERS!$J$11,0.00000110231131*((C66-D66)*PARAMETERS!$CU$37),0)</f>
        <v>0</v>
      </c>
      <c r="BD66" s="863">
        <f>IF(INDEX(HwyTransitModelGroup,A50,1)=PARAMETERS!$J$11,0.00000110231131*((C66-D66)*PARAMETERS!$CV$37),0)</f>
        <v>0</v>
      </c>
      <c r="BE66" s="865">
        <f>IF(INDEX(HwyTransitModelGroup,A50,1)=PARAMETERS!$J$11,0.00000110231131*((C66-D66)*PARAMETERS!$CW$37),0)</f>
        <v>0</v>
      </c>
      <c r="BF66" s="729">
        <f t="shared" si="21"/>
        <v>-0.10061652681656849</v>
      </c>
      <c r="BG66" s="867">
        <f t="shared" si="22"/>
        <v>-676.42044983173673</v>
      </c>
      <c r="BH66" s="867">
        <f t="shared" si="23"/>
        <v>-74.121133565621136</v>
      </c>
      <c r="BI66" s="867">
        <f t="shared" si="24"/>
        <v>-19.669672563558482</v>
      </c>
      <c r="BJ66" s="867">
        <f t="shared" si="25"/>
        <v>-6.7616424671053004</v>
      </c>
      <c r="BK66" s="869">
        <f t="shared" si="26"/>
        <v>-4.992772932593028E-2</v>
      </c>
      <c r="BL66" s="392"/>
      <c r="BN66" s="375">
        <f t="shared" si="27"/>
        <v>2034</v>
      </c>
      <c r="BO66" s="871">
        <f t="shared" ca="1" si="17"/>
        <v>-1.1345048404770507E-2</v>
      </c>
      <c r="BP66" s="871">
        <f t="shared" ca="1" si="18"/>
        <v>-1.9680500164749181E-3</v>
      </c>
      <c r="BQ66" s="871">
        <f t="shared" ca="1" si="18"/>
        <v>4.8191849751945431E-2</v>
      </c>
      <c r="BR66" s="871">
        <f t="shared" ca="1" si="18"/>
        <v>0.17321268723306271</v>
      </c>
      <c r="BS66" s="871">
        <f t="shared" ca="1" si="18"/>
        <v>0.69167131141756977</v>
      </c>
      <c r="BT66" s="871">
        <f t="shared" ca="1" si="18"/>
        <v>0.88433931127107879</v>
      </c>
    </row>
    <row r="67" spans="2:76" x14ac:dyDescent="0.25">
      <c r="B67" s="375">
        <f t="shared" si="28"/>
        <v>2034</v>
      </c>
      <c r="C67" s="401">
        <f>MAX(TREND(C56:C57,B56:B57,B67),0)</f>
        <v>625610</v>
      </c>
      <c r="D67" s="402">
        <f>MAX(TREND(D56:D57,B56:B57,B67),0)</f>
        <v>637801</v>
      </c>
      <c r="E67" s="401">
        <f>MAX(TREND(E56:E57,B56:B57,B67),0)</f>
        <v>11826</v>
      </c>
      <c r="F67" s="402">
        <f>MAX(TREND(F56:F57,B56:B57,B67),0)</f>
        <v>11680</v>
      </c>
      <c r="G67" s="401">
        <f>MAX(TREND(G56:G57,B56:B57,B67),0)</f>
        <v>0</v>
      </c>
      <c r="H67" s="402">
        <f>MAX(TREND(H56:H57,B56:B57,B67),0)</f>
        <v>0</v>
      </c>
      <c r="I67" s="401">
        <f>MAX(TREND(I56:I57,B56:B57,B67),0)</f>
        <v>0</v>
      </c>
      <c r="J67" s="402">
        <f>MAX(TREND(J56:J57,B56:B57,B67),0)</f>
        <v>0</v>
      </c>
      <c r="K67" s="435">
        <f>IFERROR(IF(INDEX(HwyTransitModelGroup,A50,1)=Hwy,MAX(5,ROUND(C67/E67,1)),MAX(5,ROUND(G67/I67,1))),55)</f>
        <v>52.9</v>
      </c>
      <c r="L67" s="436">
        <f>IFERROR(IF(INDEX(HwyTransitModelGroup,A50,1)=Hwy,MAX(5,ROUND(D67/F67,1)),MAX(5,ROUND(H67/J67,1))),55)</f>
        <v>54.6</v>
      </c>
      <c r="M67" s="405">
        <f>MIN(MAX(TREND(M56:M57,B56:B57,B67),0),1)</f>
        <v>0.24</v>
      </c>
      <c r="N67" s="406">
        <f>MIN(MAX(TREND(N56:N57,B56:B57,B67),0),1)</f>
        <v>0.24</v>
      </c>
      <c r="O67" s="401">
        <f>MAX(TREND(O56:O57,B56:B57,B67),0)</f>
        <v>0</v>
      </c>
      <c r="P67" s="402">
        <f>MAX(TREND(P56:P57,B56:B57,B67),0)</f>
        <v>0</v>
      </c>
      <c r="Q67" s="729">
        <f>IF(INDEX(HwyTransitModelGroup,A50,1)=Hwy,C67*(1-M67)*0.00000110231131*(VLOOKUP(K67,EmAuto20,2)*VLOOKUP(ProjLoc,EmCost,2)+VLOOKUP(K67,EmAuto20,3)*VLOOKUP(ProjLoc,EmCost,3)*(1+CO2Uprater)^($B67-YearCurrent)+VLOOKUP(K67,EmAuto20,4)*VLOOKUP(ProjLoc,EmCost,4)+VLOOKUP(K67,EmAuto20,5)*VLOOKUP(ProjLoc,EmCost,5)+VLOOKUP(K67,EmAuto20,6)*VLOOKUP(ProjLoc,EmCost,6)+VLOOKUP(K67,EmAuto20,7)*VLOOKUP(ProjLoc,EmCost,7))+C67*M67*0.00000110231131*(VLOOKUP(K67,EmTruck20,2)*VLOOKUP(ProjLoc,EmCost,2)+VLOOKUP(K67,EmTruck20,3)*VLOOKUP(ProjLoc,EmCost,3)*(1+CO2Uprater)^($B67-YearCurrent)+VLOOKUP(K67,EmTruck20,4)*VLOOKUP(ProjLoc,EmCost,4)+VLOOKUP(K67,EmTruck20,5)*VLOOKUP(ProjLoc,EmCost,5)+VLOOKUP(K67,EmTruck20,6)*VLOOKUP(ProjLoc,EmCost,6)+VLOOKUP(K67,EmTruck20,7)*VLOOKUP(ProjLoc,EmCost,7)),0)</f>
        <v>14825.296451726379</v>
      </c>
      <c r="R67" s="802">
        <f>IF(INDEX(HwyTransitModelGroup,A50,1)=Hwy,D67*(1-N67)*0.00000110231131*(VLOOKUP(L67,EmAuto20,2)*VLOOKUP(ProjLoc,EmCost,2)+VLOOKUP(L67,EmAuto20,3)*VLOOKUP(ProjLoc,EmCost,3)*(1+CO2Uprater)^($B67-YearCurrent)+VLOOKUP(L67,EmAuto20,4)*VLOOKUP(ProjLoc,EmCost,4)+VLOOKUP(L67,EmAuto20,5)*VLOOKUP(ProjLoc,EmCost,5)+VLOOKUP(L67,EmAuto20,6)*VLOOKUP(ProjLoc,EmCost,6)+VLOOKUP(L67,EmAuto20,7)*VLOOKUP(ProjLoc,EmCost,7))+D67*N67*0.00000110231131*(VLOOKUP(L67,EmTruck20,2)*VLOOKUP(ProjLoc,EmCost,2)+VLOOKUP(L67,EmTruck20,3)*VLOOKUP(ProjLoc,EmCost,3)*(1+CO2Uprater)^($B67-YearCurrent)+VLOOKUP(L67,EmTruck20,4)*VLOOKUP(ProjLoc,EmCost,4)+VLOOKUP(L67,EmTruck20,5)*VLOOKUP(ProjLoc,EmCost,5)+VLOOKUP(L67,EmTruck20,6)*VLOOKUP(ProjLoc,EmCost,6)+VLOOKUP(L67,EmTruck20,7)*VLOOKUP(ProjLoc,EmCost,7)),0)</f>
        <v>16062.999554672737</v>
      </c>
      <c r="S67" s="729">
        <f>IF(INDEX(HwyTransitModelGroup,A50,1)=Hwy,O67*(1-M67)*0.00000110231131*(VLOOKUP(0,EmAuto20,2)*VLOOKUP(ProjLoc,EmCost,2)+VLOOKUP(0,EmAuto20,3)*VLOOKUP(ProjLoc,EmCost,3)*(1+CO2Uprater)^($B67-YearCurrent)+VLOOKUP(0,EmAuto20,4)*VLOOKUP(ProjLoc,EmCost,4)+VLOOKUP(0,EmAuto20,5)*VLOOKUP(ProjLoc,EmCost,5)+VLOOKUP(0,EmAuto20,6)*VLOOKUP(ProjLoc,EmCost,6)+VLOOKUP(0,EmAuto20,7)*VLOOKUP(ProjLoc,EmCost,7))+O67*M67*0.00000110231131*(VLOOKUP(0,EmTruck20,2)*VLOOKUP(ProjLoc,EmCost,2)+VLOOKUP(0,EmTruck20,3)*VLOOKUP(ProjLoc,EmCost,3)*(1+CO2Uprater)^($B67-YearCurrent)+VLOOKUP(0,EmTruck20,4)*VLOOKUP(ProjLoc,EmCost,4)+VLOOKUP(0,EmTruck20,5)*VLOOKUP(ProjLoc,EmCost,5)+VLOOKUP(0,EmTruck20,6)*VLOOKUP(ProjLoc,EmCost,6)+VLOOKUP(0,EmTruck20,7)*VLOOKUP(ProjLoc,EmCost,7)),0)</f>
        <v>0</v>
      </c>
      <c r="T67" s="802">
        <f>IF(INDEX(HwyTransitModelGroup,A50,1)=Hwy,P67*(1-N67)*0.00000110231131*(VLOOKUP(0,EmAuto20,2)*VLOOKUP(ProjLoc,EmCost,2)+VLOOKUP(0,EmAuto20,3)*VLOOKUP(ProjLoc,EmCost,3)*(1+CO2Uprater)^($B67-YearCurrent)+VLOOKUP(0,EmAuto20,4)*VLOOKUP(ProjLoc,EmCost,4)+VLOOKUP(0,EmAuto20,5)*VLOOKUP(ProjLoc,EmCost,5)+VLOOKUP(0,EmAuto20,6)*VLOOKUP(ProjLoc,EmCost,6)+VLOOKUP(0,EmAuto20,7)*VLOOKUP(ProjLoc,EmCost,7))+P67*N67*0.00000110231131*(VLOOKUP(0,EmTruck20,2)*VLOOKUP(ProjLoc,EmCost,2)+VLOOKUP(0,EmTruck20,3)*VLOOKUP(ProjLoc,EmCost,3)*(1+CO2Uprater)^($B67-YearCurrent)+VLOOKUP(0,EmTruck20,4)*VLOOKUP(ProjLoc,EmCost,4)+VLOOKUP(0,EmTruck20,5)*VLOOKUP(ProjLoc,EmCost,5)+VLOOKUP(0,EmTruck20,6)*VLOOKUP(ProjLoc,EmCost,6)+VLOOKUP(0,EmTruck20,7)*VLOOKUP(ProjLoc,EmCost,7)),0)</f>
        <v>0</v>
      </c>
      <c r="U67" s="729">
        <f>IF(INDEX(HwyTransitModelGroup,A50,1)=PARAMETERS!$J$9,C67*0.00000110231131*(VLOOKUP(K67,EmBus20,2)*VLOOKUP(ProjLoc,EmCost,2)+VLOOKUP(K67,EmBus20,3)*VLOOKUP(ProjLoc,EmCost,3)*(1+CO2Uprater)^($B67-YearCurrent)+VLOOKUP(K67,EmBus20,4)*VLOOKUP(ProjLoc,EmCost,4)+VLOOKUP(K67,EmBus20,5)*VLOOKUP(ProjLoc,EmCost,5)+VLOOKUP(K67,EmBus20,6)*VLOOKUP(ProjLoc,EmCost,6)+VLOOKUP(K67,EmBus20,7)*VLOOKUP(ProjLoc,EmCost,7)),0)</f>
        <v>0</v>
      </c>
      <c r="V67" s="802">
        <f>IF(INDEX(HwyTransitModelGroup,A50,1)=PARAMETERS!$J$9,D67*0.00000110231131*(VLOOKUP(L67,EmBus20,2)*VLOOKUP(ProjLoc,EmCost,2)+VLOOKUP(L67,EmBus20,3)*VLOOKUP(ProjLoc,EmCost,3)*(1+CO2Uprater)^($B67-YearCurrent)+VLOOKUP(L67,EmBus20,4)*VLOOKUP(ProjLoc,EmCost,4)+VLOOKUP(L67,EmBus20,5)*VLOOKUP(ProjLoc,EmCost,5)+VLOOKUP(L67,EmBus20,6)*VLOOKUP(ProjLoc,EmCost,6)+VLOOKUP(L67,EmBus20,7)*VLOOKUP(ProjLoc,EmCost,7)),0)</f>
        <v>0</v>
      </c>
      <c r="W67" s="808">
        <f>IF(INDEX(HwyTransitModelGroup,A50,1)=PARAMETERS!$J$10,C67*0.00000110231131*(PARAMETERS!$CQ$29*VLOOKUP(ProjLoc,EmCost,2)+PARAMETERS!$CR$29*VLOOKUP(ProjLoc,EmCost,3)*(1+CO2Uprater)^($B67-YearCurrent)+PARAMETERS!$CS$29*VLOOKUP(ProjLoc,EmCost,4)+PARAMETERS!$CT$29*VLOOKUP(ProjLoc,EmCost,5)+PARAMETERS!$CU$29*VLOOKUP(ProjLoc,EmCost,6)+PARAMETERS!$CV$29*VLOOKUP(ProjLoc,EmCost,7)),0)</f>
        <v>0</v>
      </c>
      <c r="X67" s="844">
        <f>IF(INDEX(HwyTransitModelGroup,A50,1)=PARAMETERS!$J$10,D67*0.00000110231131*(PARAMETERS!$CQ$29*VLOOKUP(ProjLoc,EmCost,2)+PARAMETERS!$CR$29*VLOOKUP(ProjLoc,EmCost,3)*(1+CO2Uprater)^($B67-YearCurrent)+PARAMETERS!$CS$29*VLOOKUP(ProjLoc,EmCost,4)+PARAMETERS!$CT$29*VLOOKUP(ProjLoc,EmCost,5)+PARAMETERS!$CU$29*VLOOKUP(ProjLoc,EmCost,6)+PARAMETERS!$CV$29*VLOOKUP(ProjLoc,EmCost,7)),0)</f>
        <v>0</v>
      </c>
      <c r="Y67" s="808">
        <f>IF(INDEX(HwyTransitModelGroup,A50,1)=PARAMETERS!$J$11,C67*0.00000110231131*(PARAMETERS!$CQ$37*VLOOKUP(ProjLoc,EmCost,2)+PARAMETERS!$CR$37*VLOOKUP(ProjLoc,EmCost,3)*(1+CO2Uprater)^($B67-YearCurrent)+PARAMETERS!$CS$37*VLOOKUP(ProjLoc,EmCost,4)+PARAMETERS!$CT$37*VLOOKUP(ProjLoc,EmCost,5)+PARAMETERS!$CU$37*VLOOKUP(ProjLoc,EmCost,6)+PARAMETERS!$CV$37*VLOOKUP(ProjLoc,EmCost,7)),0)</f>
        <v>0</v>
      </c>
      <c r="Z67" s="844">
        <f>IF(INDEX(HwyTransitModelGroup,A50,1)=PARAMETERS!$J$11,D67*0.00000110231131*(PARAMETERS!$CQ$37*VLOOKUP(ProjLoc,EmCost,2)+PARAMETERS!$CR$37*VLOOKUP(ProjLoc,EmCost,3)*(1+CO2Uprater)^($B67-YearCurrent)+PARAMETERS!$CS$37*VLOOKUP(ProjLoc,EmCost,4)+PARAMETERS!$CT$37*VLOOKUP(ProjLoc,EmCost,5)+PARAMETERS!$CU$37*VLOOKUP(ProjLoc,EmCost,6)+PARAMETERS!$CV$37*VLOOKUP(ProjLoc,EmCost,7)),0)</f>
        <v>0</v>
      </c>
      <c r="AA67" s="369">
        <f t="shared" si="19"/>
        <v>-1237.7031029463578</v>
      </c>
      <c r="AB67" s="370">
        <f t="shared" si="20"/>
        <v>-773.06570635638673</v>
      </c>
      <c r="AC67" s="371"/>
      <c r="AD67" s="401">
        <f>IF(INDEX(HwyTransitModelGroup,A50,1)=Hwy,0.00000110231131*(C67*(1-M67)*VLOOKUP(K67,EmAuto20,2)-D67*(1-N67)*VLOOKUP(L67,EmAuto20,2)+(O67*(1-M67)-P67*(1-N67))*VLOOKUP(0,EmAuto20,2))+0.00000110231131*(C67*M67*VLOOKUP(K67,EmTruck20,2)-D67*N67*VLOOKUP(L67,EmTruck20,2)+(O67*M67-P67*N67)*VLOOKUP(0,EmTruck20,2)),0)</f>
        <v>-1.9680500164749181E-3</v>
      </c>
      <c r="AE67" s="863">
        <f>IF(INDEX(HwyTransitModelGroup,A50,1)=Hwy,0.00000110231131*(C67*(1-M67)*VLOOKUP(K67,EmAuto20,3)-D67*(1-N67)*VLOOKUP(L67,EmAuto20,3)+(O67*(1-M67)-P67*(1-N67))*VLOOKUP(0,EmAuto20,3))+0.00000110231131*(C67*M67*VLOOKUP(K67,EmTruck20,3)-D67*N67*VLOOKUP(L67,EmTruck20,3)+(O67*M67-P67*N67)*VLOOKUP(0,EmTruck20,3)),0)</f>
        <v>-17.742053345490177</v>
      </c>
      <c r="AF67" s="861">
        <f>IF(INDEX(HwyTransitModelGroup,A50,1)=Hwy,0.00000110231131*(C67*(1-M67)*VLOOKUP(K67,EmAuto20,4)-D67*(1-N67)*VLOOKUP(L67,EmAuto20,4)+(O67*(1-M67)-P67*(1-N67))*VLOOKUP(0,EmAuto20,4))+0.00000110231131*(C67*M67*VLOOKUP(K67,EmTruck20,4)-D67*N67*VLOOKUP(L67,EmTruck20,4)+(O67*M67-P67*N67)*VLOOKUP(0,EmTruck20,4)),0)</f>
        <v>-7.684270507189242E-3</v>
      </c>
      <c r="AG67" s="863">
        <f>IF(INDEX(HwyTransitModelGroup,A50,1)=Hwy,0.00000110231131*(C67*(1-M67)*VLOOKUP(K67,EmAuto20,5)-D67*(1-N67)*VLOOKUP(L67,EmAuto20,5)+(O67*(1-M67)-P67*(1-N67))*VLOOKUP(0,EmAuto20,5))+0.00000110231131*(C67*M67*VLOOKUP(K67,EmTruck20,5)-D67*N67*VLOOKUP(L67,EmTruck20,5)+(O67*M67-P67*N67)*VLOOKUP(0,EmTruck20,5)),0)</f>
        <v>-2.6385566384115968E-4</v>
      </c>
      <c r="AH67" s="861">
        <f>IF(INDEX(HwyTransitModelGroup,A50,1)=Hwy,0.00000110231131*(C67*(1-M67)*VLOOKUP(K67,EmAuto20,6)-D67*(1-N67)*VLOOKUP(L67,EmAuto20,6)+(O67*(1-M67)-P67*(1-N67))*VLOOKUP(0,EmAuto20,6))+0.00000110231131*(C67*M67*VLOOKUP(K67,EmTruck20,6)-D67*N67*VLOOKUP(L67,EmTruck20,6)+(O67*M67-P67*N67)*VLOOKUP(0,EmTruck20,6)),0)</f>
        <v>-1.7940373629247519E-4</v>
      </c>
      <c r="AI67" s="863">
        <f>IF(INDEX(HwyTransitModelGroup,A50,1)=Hwy,0.00000110231131*(C67*(1-M67)*VLOOKUP(K67,EmAuto20,7)-D67*(1-N67)*VLOOKUP(L67,EmAuto20,7)+(O67*(1-M67)-P67*(1-N67))*VLOOKUP(0,EmAuto20,7))+0.00000110231131*(C67*M67*VLOOKUP(K67,EmTruck20,7)-D67*N67*VLOOKUP(L67,EmTruck20,7)+(O67*M67-P67*N67)*VLOOKUP(0,EmTruck20,7)),0)</f>
        <v>-7.0402088053687274E-5</v>
      </c>
      <c r="AJ67" s="861">
        <f>IF(INDEX(HwyTransitModelGroup,A50,1)=Hwy,0.00000110231131*(C67*(1-M67)*VLOOKUP(K67,EmAuto20,8)-D67*(1-N67)*VLOOKUP(L67,EmAuto20,8)+(O67*(1-M67)-P67*(1-N67))*VLOOKUP(0,EmAuto20,8))+0.00000110231131*(C67*M67*VLOOKUP(K67,EmTruck20,8)-D67*N67*VLOOKUP(L67,EmTruck20,8)+(O67*M67-P67*N67)*VLOOKUP(0,EmTruck20,8)),0)</f>
        <v>-2.4601478174428136E-4</v>
      </c>
      <c r="AK67" s="401">
        <f>IF(INDEX(HwyTransitModelGroup,A50,1)=PARAMETERS!$J$9,0.00000110231131*(C67*VLOOKUP(K67,EmBus20,2)-D67*VLOOKUP(L67,EmBus20,2)+(O67-P67)*VLOOKUP(0,EmBus20,2)),0)</f>
        <v>0</v>
      </c>
      <c r="AL67" s="863">
        <f>IF(INDEX(HwyTransitModelGroup,A50,1)=PARAMETERS!$J$9,0.00000110231131*(C67*VLOOKUP(K67,EmBus20,3)-D67*VLOOKUP(L67,EmBus20,3)+(O67-P67)*VLOOKUP(0,EmBus20,3)),0)</f>
        <v>0</v>
      </c>
      <c r="AM67" s="861">
        <f>IF(INDEX(HwyTransitModelGroup,A50,1)=PARAMETERS!$J$9,0.00000110231131*(C67*VLOOKUP(K67,EmBus20,4)-D67*VLOOKUP(L67,EmBus20,4)+(O67-P67)*VLOOKUP(0,EmBus20,4)),0)</f>
        <v>0</v>
      </c>
      <c r="AN67" s="863">
        <f>IF(INDEX(HwyTransitModelGroup,A50,1)=PARAMETERS!$J$9,0.00000110231131*(C67*VLOOKUP(K67,EmBus20,5)-D67*VLOOKUP(L67,EmBus20,5)+(O67-P67)*VLOOKUP(0,EmBus20,5)),0)</f>
        <v>0</v>
      </c>
      <c r="AO67" s="861">
        <f>IF(INDEX(HwyTransitModelGroup,A50,1)=PARAMETERS!$J$9,0.00000110231131*(C67*VLOOKUP(K67,EmBus20,6)-D67*VLOOKUP(L67,EmBus20,6)+(O67-P67)*VLOOKUP(0,EmBus20,6)),0)</f>
        <v>0</v>
      </c>
      <c r="AP67" s="863">
        <f>IF(INDEX(HwyTransitModelGroup,A50,1)=PARAMETERS!$J$9,0.00000110231131*(C67*VLOOKUP(K67,EmBus20,7)-D67*VLOOKUP(L67,EmBus20,7)+(O67-P67)*VLOOKUP(0,EmBus20,7)),0)</f>
        <v>0</v>
      </c>
      <c r="AQ67" s="861">
        <f>IF(INDEX(HwyTransitModelGroup,A50,1)=PARAMETERS!$J$9,0.00000110231131*(C67*VLOOKUP(K67,EmBus20,8)-D67*VLOOKUP(L67,EmBus20,8)+(O67-P67)*VLOOKUP(0,EmBus20,8)),0)</f>
        <v>0</v>
      </c>
      <c r="AR67" s="401">
        <f>IF(INDEX(HwyTransitModelGroup,A50,1)=PARAMETERS!$J$10,0.00000110231131*((C67-D67)*PARAMETERS!$CQ$29),0)</f>
        <v>0</v>
      </c>
      <c r="AS67" s="863">
        <f>IF(INDEX(HwyTransitModelGroup,A50,1)=PARAMETERS!$J$10,0.00000110231131*((C67-D67)*PARAMETERS!$CR$29),0)</f>
        <v>0</v>
      </c>
      <c r="AT67" s="861">
        <f>IF(INDEX(HwyTransitModelGroup,A50,1)=PARAMETERS!$J$10,0.00000110231131*((C67-D67)*PARAMETERS!$CS$29),0)</f>
        <v>0</v>
      </c>
      <c r="AU67" s="863">
        <f>IF(INDEX(HwyTransitModelGroup,A50,1)=PARAMETERS!$J$10,0.00000110231131*((C67-D67)*PARAMETERS!$CT$29),0)</f>
        <v>0</v>
      </c>
      <c r="AV67" s="861">
        <f>IF(INDEX(HwyTransitModelGroup,A50,1)=PARAMETERS!$J$10,0.00000110231131*((C67-D67)*PARAMETERS!$CU$29),0)</f>
        <v>0</v>
      </c>
      <c r="AW67" s="863">
        <f>IF(INDEX(HwyTransitModelGroup,A50,1)=PARAMETERS!$J$10,0.00000110231131*((C67-D67)*PARAMETERS!$CV$29),0)</f>
        <v>0</v>
      </c>
      <c r="AX67" s="861">
        <f>IF(INDEX(HwyTransitModelGroup,A50,1)=PARAMETERS!$J$10,0.00000110231131*((C67-D67)*PARAMETERS!$CW$29),0)</f>
        <v>0</v>
      </c>
      <c r="AY67" s="401">
        <f>IF(INDEX(HwyTransitModelGroup,A50,1)=PARAMETERS!$J$11,0.00000110231131*((C67-D67)*PARAMETERS!$CQ$37),0)</f>
        <v>0</v>
      </c>
      <c r="AZ67" s="863">
        <f>IF(INDEX(HwyTransitModelGroup,A50,1)=PARAMETERS!$J$11,0.00000110231131*((C67-D67)*PARAMETERS!$CR$37),0)</f>
        <v>0</v>
      </c>
      <c r="BA67" s="861">
        <f>IF(INDEX(HwyTransitModelGroup,A50,1)=PARAMETERS!$J$11,0.00000110231131*((C67-D67)*PARAMETERS!$CS$37),0)</f>
        <v>0</v>
      </c>
      <c r="BB67" s="863">
        <f>IF(INDEX(HwyTransitModelGroup,A50,1)=PARAMETERS!$J$11,0.00000110231131*((C67-D67)*PARAMETERS!$CT$37),0)</f>
        <v>0</v>
      </c>
      <c r="BC67" s="861">
        <f>IF(INDEX(HwyTransitModelGroup,A50,1)=PARAMETERS!$J$11,0.00000110231131*((C67-D67)*PARAMETERS!$CU$37),0)</f>
        <v>0</v>
      </c>
      <c r="BD67" s="863">
        <f>IF(INDEX(HwyTransitModelGroup,A50,1)=PARAMETERS!$J$11,0.00000110231131*((C67-D67)*PARAMETERS!$CV$37),0)</f>
        <v>0</v>
      </c>
      <c r="BE67" s="865">
        <f>IF(INDEX(HwyTransitModelGroup,A50,1)=PARAMETERS!$J$11,0.00000110231131*((C67-D67)*PARAMETERS!$CW$37),0)</f>
        <v>0</v>
      </c>
      <c r="BF67" s="729">
        <f t="shared" si="21"/>
        <v>-9.8339058697298587E-2</v>
      </c>
      <c r="BG67" s="867">
        <f t="shared" si="22"/>
        <v>-674.60119729724715</v>
      </c>
      <c r="BH67" s="867">
        <f t="shared" si="23"/>
        <v>-72.473547573179218</v>
      </c>
      <c r="BI67" s="867">
        <f t="shared" si="24"/>
        <v>-19.232564849825749</v>
      </c>
      <c r="BJ67" s="867">
        <f t="shared" si="25"/>
        <v>-6.6112476179432837</v>
      </c>
      <c r="BK67" s="869">
        <f t="shared" si="26"/>
        <v>-4.8809959495696019E-2</v>
      </c>
      <c r="BL67" s="392"/>
      <c r="BN67" s="375">
        <f t="shared" si="27"/>
        <v>2035</v>
      </c>
      <c r="BO67" s="871">
        <f t="shared" ca="1" si="17"/>
        <v>-1.4464053145334462E-2</v>
      </c>
      <c r="BP67" s="871">
        <f t="shared" ca="1" si="18"/>
        <v>-1.9999185286984703E-3</v>
      </c>
      <c r="BQ67" s="871">
        <f t="shared" ca="1" si="18"/>
        <v>4.8987883481959968E-2</v>
      </c>
      <c r="BR67" s="871">
        <f t="shared" ca="1" si="18"/>
        <v>0.17524323433139158</v>
      </c>
      <c r="BS67" s="871">
        <f t="shared" ca="1" si="18"/>
        <v>0.71840654941844362</v>
      </c>
      <c r="BT67" s="871">
        <f t="shared" ca="1" si="18"/>
        <v>0.90610466800364742</v>
      </c>
    </row>
    <row r="68" spans="2:76" x14ac:dyDescent="0.25">
      <c r="B68" s="375">
        <f t="shared" si="28"/>
        <v>2035</v>
      </c>
      <c r="C68" s="401">
        <f>MAX(TREND(C56:C57,B56:B57,B68),0)</f>
        <v>636012.5</v>
      </c>
      <c r="D68" s="402">
        <f>MAX(TREND(D56:D57,B56:B57,B68),0)</f>
        <v>648404.25</v>
      </c>
      <c r="E68" s="401">
        <f>MAX(TREND(E56:E57,B56:B57,B68),0)</f>
        <v>12026.75</v>
      </c>
      <c r="F68" s="402">
        <f>MAX(TREND(F56:F57,B56:B57,B68),0)</f>
        <v>11862.5</v>
      </c>
      <c r="G68" s="401">
        <f>MAX(TREND(G56:G57,B56:B57,B68),0)</f>
        <v>0</v>
      </c>
      <c r="H68" s="402">
        <f>MAX(TREND(H56:H57,B56:B57,B68),0)</f>
        <v>0</v>
      </c>
      <c r="I68" s="401">
        <f>MAX(TREND(I56:I57,B56:B57,B68),0)</f>
        <v>0</v>
      </c>
      <c r="J68" s="402">
        <f>MAX(TREND(J56:J57,B56:B57,B68),0)</f>
        <v>0</v>
      </c>
      <c r="K68" s="435">
        <f>IFERROR(IF(INDEX(HwyTransitModelGroup,A50,1)=Hwy,MAX(5,ROUND(C68/E68,1)),MAX(5,ROUND(G68/I68,1))),55)</f>
        <v>52.9</v>
      </c>
      <c r="L68" s="436">
        <f>IFERROR(IF(INDEX(HwyTransitModelGroup,A50,1)=Hwy,MAX(5,ROUND(D68/F68,1)),MAX(5,ROUND(H68/J68,1))),55)</f>
        <v>54.7</v>
      </c>
      <c r="M68" s="405">
        <f>MIN(MAX(TREND(M56:M57,B56:B57,B68),0),1)</f>
        <v>0.24</v>
      </c>
      <c r="N68" s="406">
        <f>MIN(MAX(TREND(N56:N57,B56:B57,B68),0),1)</f>
        <v>0.24</v>
      </c>
      <c r="O68" s="401">
        <f>MAX(TREND(O56:O57,B56:B57,B68),0)</f>
        <v>0</v>
      </c>
      <c r="P68" s="402">
        <f>MAX(TREND(P56:P57,B56:B57,B68),0)</f>
        <v>0</v>
      </c>
      <c r="Q68" s="729">
        <f>IF(INDEX(HwyTransitModelGroup,A50,1)=Hwy,C68*(1-M68)*0.00000110231131*(VLOOKUP(K68,EmAuto20,2)*VLOOKUP(ProjLoc,EmCost,2)+VLOOKUP(K68,EmAuto20,3)*VLOOKUP(ProjLoc,EmCost,3)*(1+CO2Uprater)^($B68-YearCurrent)+VLOOKUP(K68,EmAuto20,4)*VLOOKUP(ProjLoc,EmCost,4)+VLOOKUP(K68,EmAuto20,5)*VLOOKUP(ProjLoc,EmCost,5)+VLOOKUP(K68,EmAuto20,6)*VLOOKUP(ProjLoc,EmCost,6)+VLOOKUP(K68,EmAuto20,7)*VLOOKUP(ProjLoc,EmCost,7))+C68*M68*0.00000110231131*(VLOOKUP(K68,EmTruck20,2)*VLOOKUP(ProjLoc,EmCost,2)+VLOOKUP(K68,EmTruck20,3)*VLOOKUP(ProjLoc,EmCost,3)*(1+CO2Uprater)^($B68-YearCurrent)+VLOOKUP(K68,EmTruck20,4)*VLOOKUP(ProjLoc,EmCost,4)+VLOOKUP(K68,EmTruck20,5)*VLOOKUP(ProjLoc,EmCost,5)+VLOOKUP(K68,EmTruck20,6)*VLOOKUP(ProjLoc,EmCost,6)+VLOOKUP(K68,EmTruck20,7)*VLOOKUP(ProjLoc,EmCost,7)),0)</f>
        <v>15349.562437248318</v>
      </c>
      <c r="R68" s="802">
        <f>IF(INDEX(HwyTransitModelGroup,A50,1)=Hwy,D68*(1-N68)*0.00000110231131*(VLOOKUP(L68,EmAuto20,2)*VLOOKUP(ProjLoc,EmCost,2)+VLOOKUP(L68,EmAuto20,3)*VLOOKUP(ProjLoc,EmCost,3)*(1+CO2Uprater)^($B68-YearCurrent)+VLOOKUP(L68,EmAuto20,4)*VLOOKUP(ProjLoc,EmCost,4)+VLOOKUP(L68,EmAuto20,5)*VLOOKUP(ProjLoc,EmCost,5)+VLOOKUP(L68,EmAuto20,6)*VLOOKUP(ProjLoc,EmCost,6)+VLOOKUP(L68,EmAuto20,7)*VLOOKUP(ProjLoc,EmCost,7))+D68*N68*0.00000110231131*(VLOOKUP(L68,EmTruck20,2)*VLOOKUP(ProjLoc,EmCost,2)+VLOOKUP(L68,EmTruck20,3)*VLOOKUP(ProjLoc,EmCost,3)*(1+CO2Uprater)^($B68-YearCurrent)+VLOOKUP(L68,EmTruck20,4)*VLOOKUP(ProjLoc,EmCost,4)+VLOOKUP(L68,EmTruck20,5)*VLOOKUP(ProjLoc,EmCost,5)+VLOOKUP(L68,EmTruck20,6)*VLOOKUP(ProjLoc,EmCost,6)+VLOOKUP(L68,EmTruck20,7)*VLOOKUP(ProjLoc,EmCost,7)),0)</f>
        <v>16629.755881612822</v>
      </c>
      <c r="S68" s="729">
        <f>IF(INDEX(HwyTransitModelGroup,A50,1)=Hwy,O68*(1-M68)*0.00000110231131*(VLOOKUP(0,EmAuto20,2)*VLOOKUP(ProjLoc,EmCost,2)+VLOOKUP(0,EmAuto20,3)*VLOOKUP(ProjLoc,EmCost,3)*(1+CO2Uprater)^($B68-YearCurrent)+VLOOKUP(0,EmAuto20,4)*VLOOKUP(ProjLoc,EmCost,4)+VLOOKUP(0,EmAuto20,5)*VLOOKUP(ProjLoc,EmCost,5)+VLOOKUP(0,EmAuto20,6)*VLOOKUP(ProjLoc,EmCost,6)+VLOOKUP(0,EmAuto20,7)*VLOOKUP(ProjLoc,EmCost,7))+O68*M68*0.00000110231131*(VLOOKUP(0,EmTruck20,2)*VLOOKUP(ProjLoc,EmCost,2)+VLOOKUP(0,EmTruck20,3)*VLOOKUP(ProjLoc,EmCost,3)*(1+CO2Uprater)^($B68-YearCurrent)+VLOOKUP(0,EmTruck20,4)*VLOOKUP(ProjLoc,EmCost,4)+VLOOKUP(0,EmTruck20,5)*VLOOKUP(ProjLoc,EmCost,5)+VLOOKUP(0,EmTruck20,6)*VLOOKUP(ProjLoc,EmCost,6)+VLOOKUP(0,EmTruck20,7)*VLOOKUP(ProjLoc,EmCost,7)),0)</f>
        <v>0</v>
      </c>
      <c r="T68" s="802">
        <f>IF(INDEX(HwyTransitModelGroup,A50,1)=Hwy,P68*(1-N68)*0.00000110231131*(VLOOKUP(0,EmAuto20,2)*VLOOKUP(ProjLoc,EmCost,2)+VLOOKUP(0,EmAuto20,3)*VLOOKUP(ProjLoc,EmCost,3)*(1+CO2Uprater)^($B68-YearCurrent)+VLOOKUP(0,EmAuto20,4)*VLOOKUP(ProjLoc,EmCost,4)+VLOOKUP(0,EmAuto20,5)*VLOOKUP(ProjLoc,EmCost,5)+VLOOKUP(0,EmAuto20,6)*VLOOKUP(ProjLoc,EmCost,6)+VLOOKUP(0,EmAuto20,7)*VLOOKUP(ProjLoc,EmCost,7))+P68*N68*0.00000110231131*(VLOOKUP(0,EmTruck20,2)*VLOOKUP(ProjLoc,EmCost,2)+VLOOKUP(0,EmTruck20,3)*VLOOKUP(ProjLoc,EmCost,3)*(1+CO2Uprater)^($B68-YearCurrent)+VLOOKUP(0,EmTruck20,4)*VLOOKUP(ProjLoc,EmCost,4)+VLOOKUP(0,EmTruck20,5)*VLOOKUP(ProjLoc,EmCost,5)+VLOOKUP(0,EmTruck20,6)*VLOOKUP(ProjLoc,EmCost,6)+VLOOKUP(0,EmTruck20,7)*VLOOKUP(ProjLoc,EmCost,7)),0)</f>
        <v>0</v>
      </c>
      <c r="U68" s="729">
        <f>IF(INDEX(HwyTransitModelGroup,A50,1)=PARAMETERS!$J$9,C68*0.00000110231131*(VLOOKUP(K68,EmBus20,2)*VLOOKUP(ProjLoc,EmCost,2)+VLOOKUP(K68,EmBus20,3)*VLOOKUP(ProjLoc,EmCost,3)*(1+CO2Uprater)^($B68-YearCurrent)+VLOOKUP(K68,EmBus20,4)*VLOOKUP(ProjLoc,EmCost,4)+VLOOKUP(K68,EmBus20,5)*VLOOKUP(ProjLoc,EmCost,5)+VLOOKUP(K68,EmBus20,6)*VLOOKUP(ProjLoc,EmCost,6)+VLOOKUP(K68,EmBus20,7)*VLOOKUP(ProjLoc,EmCost,7)),0)</f>
        <v>0</v>
      </c>
      <c r="V68" s="802">
        <f>IF(INDEX(HwyTransitModelGroup,A50,1)=PARAMETERS!$J$9,D68*0.00000110231131*(VLOOKUP(L68,EmBus20,2)*VLOOKUP(ProjLoc,EmCost,2)+VLOOKUP(L68,EmBus20,3)*VLOOKUP(ProjLoc,EmCost,3)*(1+CO2Uprater)^($B68-YearCurrent)+VLOOKUP(L68,EmBus20,4)*VLOOKUP(ProjLoc,EmCost,4)+VLOOKUP(L68,EmBus20,5)*VLOOKUP(ProjLoc,EmCost,5)+VLOOKUP(L68,EmBus20,6)*VLOOKUP(ProjLoc,EmCost,6)+VLOOKUP(L68,EmBus20,7)*VLOOKUP(ProjLoc,EmCost,7)),0)</f>
        <v>0</v>
      </c>
      <c r="W68" s="808">
        <f>IF(INDEX(HwyTransitModelGroup,A50,1)=PARAMETERS!$J$10,C68*0.00000110231131*(PARAMETERS!$CQ$29*VLOOKUP(ProjLoc,EmCost,2)+PARAMETERS!$CR$29*VLOOKUP(ProjLoc,EmCost,3)*(1+CO2Uprater)^($B68-YearCurrent)+PARAMETERS!$CS$29*VLOOKUP(ProjLoc,EmCost,4)+PARAMETERS!$CT$29*VLOOKUP(ProjLoc,EmCost,5)+PARAMETERS!$CU$29*VLOOKUP(ProjLoc,EmCost,6)+PARAMETERS!$CV$29*VLOOKUP(ProjLoc,EmCost,7)),0)</f>
        <v>0</v>
      </c>
      <c r="X68" s="844">
        <f>IF(INDEX(HwyTransitModelGroup,A50,1)=PARAMETERS!$J$10,D68*0.00000110231131*(PARAMETERS!$CQ$29*VLOOKUP(ProjLoc,EmCost,2)+PARAMETERS!$CR$29*VLOOKUP(ProjLoc,EmCost,3)*(1+CO2Uprater)^($B68-YearCurrent)+PARAMETERS!$CS$29*VLOOKUP(ProjLoc,EmCost,4)+PARAMETERS!$CT$29*VLOOKUP(ProjLoc,EmCost,5)+PARAMETERS!$CU$29*VLOOKUP(ProjLoc,EmCost,6)+PARAMETERS!$CV$29*VLOOKUP(ProjLoc,EmCost,7)),0)</f>
        <v>0</v>
      </c>
      <c r="Y68" s="808">
        <f>IF(INDEX(HwyTransitModelGroup,A50,1)=PARAMETERS!$J$11,C68*0.00000110231131*(PARAMETERS!$CQ$37*VLOOKUP(ProjLoc,EmCost,2)+PARAMETERS!$CR$37*VLOOKUP(ProjLoc,EmCost,3)*(1+CO2Uprater)^($B68-YearCurrent)+PARAMETERS!$CS$37*VLOOKUP(ProjLoc,EmCost,4)+PARAMETERS!$CT$37*VLOOKUP(ProjLoc,EmCost,5)+PARAMETERS!$CU$37*VLOOKUP(ProjLoc,EmCost,6)+PARAMETERS!$CV$37*VLOOKUP(ProjLoc,EmCost,7)),0)</f>
        <v>0</v>
      </c>
      <c r="Z68" s="844">
        <f>IF(INDEX(HwyTransitModelGroup,A50,1)=PARAMETERS!$J$11,D68*0.00000110231131*(PARAMETERS!$CQ$37*VLOOKUP(ProjLoc,EmCost,2)+PARAMETERS!$CR$37*VLOOKUP(ProjLoc,EmCost,3)*(1+CO2Uprater)^($B68-YearCurrent)+PARAMETERS!$CS$37*VLOOKUP(ProjLoc,EmCost,4)+PARAMETERS!$CT$37*VLOOKUP(ProjLoc,EmCost,5)+PARAMETERS!$CU$37*VLOOKUP(ProjLoc,EmCost,6)+PARAMETERS!$CV$37*VLOOKUP(ProjLoc,EmCost,7)),0)</f>
        <v>0</v>
      </c>
      <c r="AA68" s="369">
        <f t="shared" si="19"/>
        <v>-1280.1934443645041</v>
      </c>
      <c r="AB68" s="370">
        <f t="shared" si="20"/>
        <v>-768.85100792481785</v>
      </c>
      <c r="AC68" s="371"/>
      <c r="AD68" s="401">
        <f>IF(INDEX(HwyTransitModelGroup,A50,1)=Hwy,0.00000110231131*(C68*(1-M68)*VLOOKUP(K68,EmAuto20,2)-D68*(1-N68)*VLOOKUP(L68,EmAuto20,2)+(O68*(1-M68)-P68*(1-N68))*VLOOKUP(0,EmAuto20,2))+0.00000110231131*(C68*M68*VLOOKUP(K68,EmTruck20,2)-D68*N68*VLOOKUP(L68,EmTruck20,2)+(O68*M68-P68*N68)*VLOOKUP(0,EmTruck20,2)),0)</f>
        <v>-1.9999185286984703E-3</v>
      </c>
      <c r="AE68" s="863">
        <f>IF(INDEX(HwyTransitModelGroup,A50,1)=Hwy,0.00000110231131*(C68*(1-M68)*VLOOKUP(K68,EmAuto20,3)-D68*(1-N68)*VLOOKUP(L68,EmAuto20,3)+(O68*(1-M68)-P68*(1-N68))*VLOOKUP(0,EmAuto20,3))+0.00000110231131*(C68*M68*VLOOKUP(K68,EmTruck20,3)-D68*N68*VLOOKUP(L68,EmTruck20,3)+(O68*M68-P68*N68)*VLOOKUP(0,EmTruck20,3)),0)</f>
        <v>-18.036320348647784</v>
      </c>
      <c r="AF68" s="861">
        <f>IF(INDEX(HwyTransitModelGroup,A50,1)=Hwy,0.00000110231131*(C68*(1-M68)*VLOOKUP(K68,EmAuto20,4)-D68*(1-N68)*VLOOKUP(L68,EmAuto20,4)+(O68*(1-M68)-P68*(1-N68))*VLOOKUP(0,EmAuto20,4))+0.00000110231131*(C68*M68*VLOOKUP(K68,EmTruck20,4)-D68*N68*VLOOKUP(L68,EmTruck20,4)+(O68*M68-P68*N68)*VLOOKUP(0,EmTruck20,4)),0)</f>
        <v>-7.8118469927713746E-3</v>
      </c>
      <c r="AG68" s="863">
        <f>IF(INDEX(HwyTransitModelGroup,A50,1)=Hwy,0.00000110231131*(C68*(1-M68)*VLOOKUP(K68,EmAuto20,5)-D68*(1-N68)*VLOOKUP(L68,EmAuto20,5)+(O68*(1-M68)-P68*(1-N68))*VLOOKUP(0,EmAuto20,5))+0.00000110231131*(C68*M68*VLOOKUP(K68,EmTruck20,5)-D68*N68*VLOOKUP(L68,EmTruck20,5)+(O68*M68-P68*N68)*VLOOKUP(0,EmTruck20,5)),0)</f>
        <v>-2.6823782970151805E-4</v>
      </c>
      <c r="AH68" s="861">
        <f>IF(INDEX(HwyTransitModelGroup,A50,1)=Hwy,0.00000110231131*(C68*(1-M68)*VLOOKUP(K68,EmAuto20,6)-D68*(1-N68)*VLOOKUP(L68,EmAuto20,6)+(O68*(1-M68)-P68*(1-N68))*VLOOKUP(0,EmAuto20,6))+0.00000110231131*(C68*M68*VLOOKUP(K68,EmTruck20,6)-D68*N68*VLOOKUP(L68,EmTruck20,6)+(O68*M68-P68*N68)*VLOOKUP(0,EmTruck20,6)),0)</f>
        <v>-1.8237971117244931E-4</v>
      </c>
      <c r="AI68" s="863">
        <f>IF(INDEX(HwyTransitModelGroup,A50,1)=Hwy,0.00000110231131*(C68*(1-M68)*VLOOKUP(K68,EmAuto20,7)-D68*(1-N68)*VLOOKUP(L68,EmAuto20,7)+(O68*(1-M68)-P68*(1-N68))*VLOOKUP(0,EmAuto20,7))+0.00000110231131*(C68*M68*VLOOKUP(K68,EmTruck20,7)-D68*N68*VLOOKUP(L68,EmTruck20,7)+(O68*M68-P68*N68)*VLOOKUP(0,EmTruck20,7)),0)</f>
        <v>-7.1559630671874598E-5</v>
      </c>
      <c r="AJ68" s="861">
        <f>IF(INDEX(HwyTransitModelGroup,A50,1)=Hwy,0.00000110231131*(C68*(1-M68)*VLOOKUP(K68,EmAuto20,8)-D68*(1-N68)*VLOOKUP(L68,EmAuto20,8)+(O68*(1-M68)-P68*(1-N68))*VLOOKUP(0,EmAuto20,8))+0.00000110231131*(C68*M68*VLOOKUP(K68,EmTruck20,8)-D68*N68*VLOOKUP(L68,EmTruck20,8)+(O68*M68-P68*N68)*VLOOKUP(0,EmTruck20,8)),0)</f>
        <v>-2.5010050081941882E-4</v>
      </c>
      <c r="AK68" s="401">
        <f>IF(INDEX(HwyTransitModelGroup,A50,1)=PARAMETERS!$J$9,0.00000110231131*(C68*VLOOKUP(K68,EmBus20,2)-D68*VLOOKUP(L68,EmBus20,2)+(O68-P68)*VLOOKUP(0,EmBus20,2)),0)</f>
        <v>0</v>
      </c>
      <c r="AL68" s="863">
        <f>IF(INDEX(HwyTransitModelGroup,A50,1)=PARAMETERS!$J$9,0.00000110231131*(C68*VLOOKUP(K68,EmBus20,3)-D68*VLOOKUP(L68,EmBus20,3)+(O68-P68)*VLOOKUP(0,EmBus20,3)),0)</f>
        <v>0</v>
      </c>
      <c r="AM68" s="861">
        <f>IF(INDEX(HwyTransitModelGroup,A50,1)=PARAMETERS!$J$9,0.00000110231131*(C68*VLOOKUP(K68,EmBus20,4)-D68*VLOOKUP(L68,EmBus20,4)+(O68-P68)*VLOOKUP(0,EmBus20,4)),0)</f>
        <v>0</v>
      </c>
      <c r="AN68" s="863">
        <f>IF(INDEX(HwyTransitModelGroup,A50,1)=PARAMETERS!$J$9,0.00000110231131*(C68*VLOOKUP(K68,EmBus20,5)-D68*VLOOKUP(L68,EmBus20,5)+(O68-P68)*VLOOKUP(0,EmBus20,5)),0)</f>
        <v>0</v>
      </c>
      <c r="AO68" s="861">
        <f>IF(INDEX(HwyTransitModelGroup,A50,1)=PARAMETERS!$J$9,0.00000110231131*(C68*VLOOKUP(K68,EmBus20,6)-D68*VLOOKUP(L68,EmBus20,6)+(O68-P68)*VLOOKUP(0,EmBus20,6)),0)</f>
        <v>0</v>
      </c>
      <c r="AP68" s="863">
        <f>IF(INDEX(HwyTransitModelGroup,A50,1)=PARAMETERS!$J$9,0.00000110231131*(C68*VLOOKUP(K68,EmBus20,7)-D68*VLOOKUP(L68,EmBus20,7)+(O68-P68)*VLOOKUP(0,EmBus20,7)),0)</f>
        <v>0</v>
      </c>
      <c r="AQ68" s="861">
        <f>IF(INDEX(HwyTransitModelGroup,A50,1)=PARAMETERS!$J$9,0.00000110231131*(C68*VLOOKUP(K68,EmBus20,8)-D68*VLOOKUP(L68,EmBus20,8)+(O68-P68)*VLOOKUP(0,EmBus20,8)),0)</f>
        <v>0</v>
      </c>
      <c r="AR68" s="401">
        <f>IF(INDEX(HwyTransitModelGroup,A50,1)=PARAMETERS!$J$10,0.00000110231131*((C68-D68)*PARAMETERS!$CQ$29),0)</f>
        <v>0</v>
      </c>
      <c r="AS68" s="863">
        <f>IF(INDEX(HwyTransitModelGroup,A50,1)=PARAMETERS!$J$10,0.00000110231131*((C68-D68)*PARAMETERS!$CR$29),0)</f>
        <v>0</v>
      </c>
      <c r="AT68" s="861">
        <f>IF(INDEX(HwyTransitModelGroup,A50,1)=PARAMETERS!$J$10,0.00000110231131*((C68-D68)*PARAMETERS!$CS$29),0)</f>
        <v>0</v>
      </c>
      <c r="AU68" s="863">
        <f>IF(INDEX(HwyTransitModelGroup,A50,1)=PARAMETERS!$J$10,0.00000110231131*((C68-D68)*PARAMETERS!$CT$29),0)</f>
        <v>0</v>
      </c>
      <c r="AV68" s="861">
        <f>IF(INDEX(HwyTransitModelGroup,A50,1)=PARAMETERS!$J$10,0.00000110231131*((C68-D68)*PARAMETERS!$CU$29),0)</f>
        <v>0</v>
      </c>
      <c r="AW68" s="863">
        <f>IF(INDEX(HwyTransitModelGroup,A50,1)=PARAMETERS!$J$10,0.00000110231131*((C68-D68)*PARAMETERS!$CV$29),0)</f>
        <v>0</v>
      </c>
      <c r="AX68" s="861">
        <f>IF(INDEX(HwyTransitModelGroup,A50,1)=PARAMETERS!$J$10,0.00000110231131*((C68-D68)*PARAMETERS!$CW$29),0)</f>
        <v>0</v>
      </c>
      <c r="AY68" s="401">
        <f>IF(INDEX(HwyTransitModelGroup,A50,1)=PARAMETERS!$J$11,0.00000110231131*((C68-D68)*PARAMETERS!$CQ$37),0)</f>
        <v>0</v>
      </c>
      <c r="AZ68" s="863">
        <f>IF(INDEX(HwyTransitModelGroup,A50,1)=PARAMETERS!$J$11,0.00000110231131*((C68-D68)*PARAMETERS!$CR$37),0)</f>
        <v>0</v>
      </c>
      <c r="BA68" s="861">
        <f>IF(INDEX(HwyTransitModelGroup,A50,1)=PARAMETERS!$J$11,0.00000110231131*((C68-D68)*PARAMETERS!$CS$37),0)</f>
        <v>0</v>
      </c>
      <c r="BB68" s="863">
        <f>IF(INDEX(HwyTransitModelGroup,A50,1)=PARAMETERS!$J$11,0.00000110231131*((C68-D68)*PARAMETERS!$CT$37),0)</f>
        <v>0</v>
      </c>
      <c r="BC68" s="861">
        <f>IF(INDEX(HwyTransitModelGroup,A50,1)=PARAMETERS!$J$11,0.00000110231131*((C68-D68)*PARAMETERS!$CU$37),0)</f>
        <v>0</v>
      </c>
      <c r="BD68" s="863">
        <f>IF(INDEX(HwyTransitModelGroup,A50,1)=PARAMETERS!$J$11,0.00000110231131*((C68-D68)*PARAMETERS!$CV$37),0)</f>
        <v>0</v>
      </c>
      <c r="BE68" s="865">
        <f>IF(INDEX(HwyTransitModelGroup,A50,1)=PARAMETERS!$J$11,0.00000110231131*((C68-D68)*PARAMETERS!$CW$37),0)</f>
        <v>0</v>
      </c>
      <c r="BF68" s="729">
        <f t="shared" si="21"/>
        <v>-9.6087939417351484E-2</v>
      </c>
      <c r="BG68" s="867">
        <f t="shared" si="22"/>
        <v>-672.60176052228041</v>
      </c>
      <c r="BH68" s="867">
        <f t="shared" si="23"/>
        <v>-70.843052317484776</v>
      </c>
      <c r="BI68" s="867">
        <f t="shared" si="24"/>
        <v>-18.799983657617496</v>
      </c>
      <c r="BJ68" s="867">
        <f t="shared" si="25"/>
        <v>-6.4624191736471159</v>
      </c>
      <c r="BK68" s="869">
        <f t="shared" si="26"/>
        <v>-4.7704314372334744E-2</v>
      </c>
      <c r="BL68" s="392"/>
      <c r="BN68" s="375">
        <f t="shared" si="27"/>
        <v>2036</v>
      </c>
      <c r="BO68" s="871">
        <f t="shared" ca="1" si="17"/>
        <v>-1.7583057885898295E-2</v>
      </c>
      <c r="BP68" s="871">
        <f t="shared" ref="BP68:BT77" ca="1" si="29">OFFSET($AD19,MATCH(BP$54,$A:$A),0)+OFFSET($AK19,MATCH(BP$54,$A:$A),0)+OFFSET($AR19,MATCH(BP$54,$A:$A),0)+OFFSET($AY19,MATCH(BP$54,$A:$A),0)</f>
        <v>-2.0317870409220862E-3</v>
      </c>
      <c r="BQ68" s="871">
        <f t="shared" ca="1" si="29"/>
        <v>4.9783917211974407E-2</v>
      </c>
      <c r="BR68" s="871">
        <f t="shared" ca="1" si="29"/>
        <v>0.17727378142972045</v>
      </c>
      <c r="BS68" s="871">
        <f t="shared" ca="1" si="29"/>
        <v>0.74514178741931647</v>
      </c>
      <c r="BT68" s="871">
        <f t="shared" ca="1" si="29"/>
        <v>0.92787002473621405</v>
      </c>
    </row>
    <row r="69" spans="2:76" x14ac:dyDescent="0.25">
      <c r="B69" s="375">
        <f t="shared" si="28"/>
        <v>2036</v>
      </c>
      <c r="C69" s="401">
        <f>MAX(TREND(C56:C57,B56:B57,B69),0)</f>
        <v>646415</v>
      </c>
      <c r="D69" s="402">
        <f>MAX(TREND(D56:D57,B56:B57,B69),0)</f>
        <v>659007.5</v>
      </c>
      <c r="E69" s="401">
        <f>MAX(TREND(E56:E57,B56:B57,B69),0)</f>
        <v>12227.5</v>
      </c>
      <c r="F69" s="402">
        <f>MAX(TREND(F56:F57,B56:B57,B69),0)</f>
        <v>12045</v>
      </c>
      <c r="G69" s="401">
        <f>MAX(TREND(G56:G57,B56:B57,B69),0)</f>
        <v>0</v>
      </c>
      <c r="H69" s="402">
        <f>MAX(TREND(H56:H57,B56:B57,B69),0)</f>
        <v>0</v>
      </c>
      <c r="I69" s="401">
        <f>MAX(TREND(I56:I57,B56:B57,B69),0)</f>
        <v>0</v>
      </c>
      <c r="J69" s="402">
        <f>MAX(TREND(J56:J57,B56:B57,B69),0)</f>
        <v>0</v>
      </c>
      <c r="K69" s="435">
        <f>IFERROR(IF(INDEX(HwyTransitModelGroup,A50,1)=Hwy,MAX(5,ROUND(C69/E69,1)),MAX(5,ROUND(G69/I69,1))),55)</f>
        <v>52.9</v>
      </c>
      <c r="L69" s="436">
        <f>IFERROR(IF(INDEX(HwyTransitModelGroup,A50,1)=Hwy,MAX(5,ROUND(D69/F69,1)),MAX(5,ROUND(H69/J69,1))),55)</f>
        <v>54.7</v>
      </c>
      <c r="M69" s="405">
        <f>MIN(MAX(TREND(M56:M57,B56:B57,B69),0),1)</f>
        <v>0.24</v>
      </c>
      <c r="N69" s="406">
        <f>MIN(MAX(TREND(N56:N57,B56:B57,B69),0),1)</f>
        <v>0.24</v>
      </c>
      <c r="O69" s="401">
        <f>MAX(TREND(O56:O57,B56:B57,B69),0)</f>
        <v>0</v>
      </c>
      <c r="P69" s="402">
        <f>MAX(TREND(P56:P57,B56:B57,B69),0)</f>
        <v>0</v>
      </c>
      <c r="Q69" s="729">
        <f>IF(INDEX(HwyTransitModelGroup,A50,1)=Hwy,C69*(1-M69)*0.00000110231131*(VLOOKUP(K69,EmAuto20,2)*VLOOKUP(ProjLoc,EmCost,2)+VLOOKUP(K69,EmAuto20,3)*VLOOKUP(ProjLoc,EmCost,3)*(1+CO2Uprater)^($B69-YearCurrent)+VLOOKUP(K69,EmAuto20,4)*VLOOKUP(ProjLoc,EmCost,4)+VLOOKUP(K69,EmAuto20,5)*VLOOKUP(ProjLoc,EmCost,5)+VLOOKUP(K69,EmAuto20,6)*VLOOKUP(ProjLoc,EmCost,6)+VLOOKUP(K69,EmAuto20,7)*VLOOKUP(ProjLoc,EmCost,7))+C69*M69*0.00000110231131*(VLOOKUP(K69,EmTruck20,2)*VLOOKUP(ProjLoc,EmCost,2)+VLOOKUP(K69,EmTruck20,3)*VLOOKUP(ProjLoc,EmCost,3)*(1+CO2Uprater)^($B69-YearCurrent)+VLOOKUP(K69,EmTruck20,4)*VLOOKUP(ProjLoc,EmCost,4)+VLOOKUP(K69,EmTruck20,5)*VLOOKUP(ProjLoc,EmCost,5)+VLOOKUP(K69,EmTruck20,6)*VLOOKUP(ProjLoc,EmCost,6)+VLOOKUP(K69,EmTruck20,7)*VLOOKUP(ProjLoc,EmCost,7)),0)</f>
        <v>15888.560162641479</v>
      </c>
      <c r="R69" s="802">
        <f>IF(INDEX(HwyTransitModelGroup,A50,1)=Hwy,D69*(1-N69)*0.00000110231131*(VLOOKUP(L69,EmAuto20,2)*VLOOKUP(ProjLoc,EmCost,2)+VLOOKUP(L69,EmAuto20,3)*VLOOKUP(ProjLoc,EmCost,3)*(1+CO2Uprater)^($B69-YearCurrent)+VLOOKUP(L69,EmAuto20,4)*VLOOKUP(ProjLoc,EmCost,4)+VLOOKUP(L69,EmAuto20,5)*VLOOKUP(ProjLoc,EmCost,5)+VLOOKUP(L69,EmAuto20,6)*VLOOKUP(ProjLoc,EmCost,6)+VLOOKUP(L69,EmAuto20,7)*VLOOKUP(ProjLoc,EmCost,7))+D69*N69*0.00000110231131*(VLOOKUP(L69,EmTruck20,2)*VLOOKUP(ProjLoc,EmCost,2)+VLOOKUP(L69,EmTruck20,3)*VLOOKUP(ProjLoc,EmCost,3)*(1+CO2Uprater)^($B69-YearCurrent)+VLOOKUP(L69,EmTruck20,4)*VLOOKUP(ProjLoc,EmCost,4)+VLOOKUP(L69,EmTruck20,5)*VLOOKUP(ProjLoc,EmCost,5)+VLOOKUP(L69,EmTruck20,6)*VLOOKUP(ProjLoc,EmCost,6)+VLOOKUP(L69,EmTruck20,7)*VLOOKUP(ProjLoc,EmCost,7)),0)</f>
        <v>17212.406849957861</v>
      </c>
      <c r="S69" s="729">
        <f>IF(INDEX(HwyTransitModelGroup,A50,1)=Hwy,O69*(1-M69)*0.00000110231131*(VLOOKUP(0,EmAuto20,2)*VLOOKUP(ProjLoc,EmCost,2)+VLOOKUP(0,EmAuto20,3)*VLOOKUP(ProjLoc,EmCost,3)*(1+CO2Uprater)^($B69-YearCurrent)+VLOOKUP(0,EmAuto20,4)*VLOOKUP(ProjLoc,EmCost,4)+VLOOKUP(0,EmAuto20,5)*VLOOKUP(ProjLoc,EmCost,5)+VLOOKUP(0,EmAuto20,6)*VLOOKUP(ProjLoc,EmCost,6)+VLOOKUP(0,EmAuto20,7)*VLOOKUP(ProjLoc,EmCost,7))+O69*M69*0.00000110231131*(VLOOKUP(0,EmTruck20,2)*VLOOKUP(ProjLoc,EmCost,2)+VLOOKUP(0,EmTruck20,3)*VLOOKUP(ProjLoc,EmCost,3)*(1+CO2Uprater)^($B69-YearCurrent)+VLOOKUP(0,EmTruck20,4)*VLOOKUP(ProjLoc,EmCost,4)+VLOOKUP(0,EmTruck20,5)*VLOOKUP(ProjLoc,EmCost,5)+VLOOKUP(0,EmTruck20,6)*VLOOKUP(ProjLoc,EmCost,6)+VLOOKUP(0,EmTruck20,7)*VLOOKUP(ProjLoc,EmCost,7)),0)</f>
        <v>0</v>
      </c>
      <c r="T69" s="802">
        <f>IF(INDEX(HwyTransitModelGroup,A50,1)=Hwy,P69*(1-N69)*0.00000110231131*(VLOOKUP(0,EmAuto20,2)*VLOOKUP(ProjLoc,EmCost,2)+VLOOKUP(0,EmAuto20,3)*VLOOKUP(ProjLoc,EmCost,3)*(1+CO2Uprater)^($B69-YearCurrent)+VLOOKUP(0,EmAuto20,4)*VLOOKUP(ProjLoc,EmCost,4)+VLOOKUP(0,EmAuto20,5)*VLOOKUP(ProjLoc,EmCost,5)+VLOOKUP(0,EmAuto20,6)*VLOOKUP(ProjLoc,EmCost,6)+VLOOKUP(0,EmAuto20,7)*VLOOKUP(ProjLoc,EmCost,7))+P69*N69*0.00000110231131*(VLOOKUP(0,EmTruck20,2)*VLOOKUP(ProjLoc,EmCost,2)+VLOOKUP(0,EmTruck20,3)*VLOOKUP(ProjLoc,EmCost,3)*(1+CO2Uprater)^($B69-YearCurrent)+VLOOKUP(0,EmTruck20,4)*VLOOKUP(ProjLoc,EmCost,4)+VLOOKUP(0,EmTruck20,5)*VLOOKUP(ProjLoc,EmCost,5)+VLOOKUP(0,EmTruck20,6)*VLOOKUP(ProjLoc,EmCost,6)+VLOOKUP(0,EmTruck20,7)*VLOOKUP(ProjLoc,EmCost,7)),0)</f>
        <v>0</v>
      </c>
      <c r="U69" s="729">
        <f>IF(INDEX(HwyTransitModelGroup,A50,1)=PARAMETERS!$J$9,C69*0.00000110231131*(VLOOKUP(K69,EmBus20,2)*VLOOKUP(ProjLoc,EmCost,2)+VLOOKUP(K69,EmBus20,3)*VLOOKUP(ProjLoc,EmCost,3)*(1+CO2Uprater)^($B69-YearCurrent)+VLOOKUP(K69,EmBus20,4)*VLOOKUP(ProjLoc,EmCost,4)+VLOOKUP(K69,EmBus20,5)*VLOOKUP(ProjLoc,EmCost,5)+VLOOKUP(K69,EmBus20,6)*VLOOKUP(ProjLoc,EmCost,6)+VLOOKUP(K69,EmBus20,7)*VLOOKUP(ProjLoc,EmCost,7)),0)</f>
        <v>0</v>
      </c>
      <c r="V69" s="802">
        <f>IF(INDEX(HwyTransitModelGroup,A50,1)=PARAMETERS!$J$9,D69*0.00000110231131*(VLOOKUP(L69,EmBus20,2)*VLOOKUP(ProjLoc,EmCost,2)+VLOOKUP(L69,EmBus20,3)*VLOOKUP(ProjLoc,EmCost,3)*(1+CO2Uprater)^($B69-YearCurrent)+VLOOKUP(L69,EmBus20,4)*VLOOKUP(ProjLoc,EmCost,4)+VLOOKUP(L69,EmBus20,5)*VLOOKUP(ProjLoc,EmCost,5)+VLOOKUP(L69,EmBus20,6)*VLOOKUP(ProjLoc,EmCost,6)+VLOOKUP(L69,EmBus20,7)*VLOOKUP(ProjLoc,EmCost,7)),0)</f>
        <v>0</v>
      </c>
      <c r="W69" s="808">
        <f>IF(INDEX(HwyTransitModelGroup,A50,1)=PARAMETERS!$J$10,C69*0.00000110231131*(PARAMETERS!$CQ$29*VLOOKUP(ProjLoc,EmCost,2)+PARAMETERS!$CR$29*VLOOKUP(ProjLoc,EmCost,3)*(1+CO2Uprater)^($B69-YearCurrent)+PARAMETERS!$CS$29*VLOOKUP(ProjLoc,EmCost,4)+PARAMETERS!$CT$29*VLOOKUP(ProjLoc,EmCost,5)+PARAMETERS!$CU$29*VLOOKUP(ProjLoc,EmCost,6)+PARAMETERS!$CV$29*VLOOKUP(ProjLoc,EmCost,7)),0)</f>
        <v>0</v>
      </c>
      <c r="X69" s="844">
        <f>IF(INDEX(HwyTransitModelGroup,A50,1)=PARAMETERS!$J$10,D69*0.00000110231131*(PARAMETERS!$CQ$29*VLOOKUP(ProjLoc,EmCost,2)+PARAMETERS!$CR$29*VLOOKUP(ProjLoc,EmCost,3)*(1+CO2Uprater)^($B69-YearCurrent)+PARAMETERS!$CS$29*VLOOKUP(ProjLoc,EmCost,4)+PARAMETERS!$CT$29*VLOOKUP(ProjLoc,EmCost,5)+PARAMETERS!$CU$29*VLOOKUP(ProjLoc,EmCost,6)+PARAMETERS!$CV$29*VLOOKUP(ProjLoc,EmCost,7)),0)</f>
        <v>0</v>
      </c>
      <c r="Y69" s="808">
        <f>IF(INDEX(HwyTransitModelGroup,A50,1)=PARAMETERS!$J$11,C69*0.00000110231131*(PARAMETERS!$CQ$37*VLOOKUP(ProjLoc,EmCost,2)+PARAMETERS!$CR$37*VLOOKUP(ProjLoc,EmCost,3)*(1+CO2Uprater)^($B69-YearCurrent)+PARAMETERS!$CS$37*VLOOKUP(ProjLoc,EmCost,4)+PARAMETERS!$CT$37*VLOOKUP(ProjLoc,EmCost,5)+PARAMETERS!$CU$37*VLOOKUP(ProjLoc,EmCost,6)+PARAMETERS!$CV$37*VLOOKUP(ProjLoc,EmCost,7)),0)</f>
        <v>0</v>
      </c>
      <c r="Z69" s="844">
        <f>IF(INDEX(HwyTransitModelGroup,A50,1)=PARAMETERS!$J$11,D69*0.00000110231131*(PARAMETERS!$CQ$37*VLOOKUP(ProjLoc,EmCost,2)+PARAMETERS!$CR$37*VLOOKUP(ProjLoc,EmCost,3)*(1+CO2Uprater)^($B69-YearCurrent)+PARAMETERS!$CS$37*VLOOKUP(ProjLoc,EmCost,4)+PARAMETERS!$CT$37*VLOOKUP(ProjLoc,EmCost,5)+PARAMETERS!$CU$37*VLOOKUP(ProjLoc,EmCost,6)+PARAMETERS!$CV$37*VLOOKUP(ProjLoc,EmCost,7)),0)</f>
        <v>0</v>
      </c>
      <c r="AA69" s="369">
        <f t="shared" si="19"/>
        <v>-1323.8466873163816</v>
      </c>
      <c r="AB69" s="370">
        <f t="shared" si="20"/>
        <v>-764.48847540140071</v>
      </c>
      <c r="AC69" s="371"/>
      <c r="AD69" s="401">
        <f>IF(INDEX(HwyTransitModelGroup,A50,1)=Hwy,0.00000110231131*(C69*(1-M69)*VLOOKUP(K69,EmAuto20,2)-D69*(1-N69)*VLOOKUP(L69,EmAuto20,2)+(O69*(1-M69)-P69*(1-N69))*VLOOKUP(0,EmAuto20,2))+0.00000110231131*(C69*M69*VLOOKUP(K69,EmTruck20,2)-D69*N69*VLOOKUP(L69,EmTruck20,2)+(O69*M69-P69*N69)*VLOOKUP(0,EmTruck20,2)),0)</f>
        <v>-2.0317870409220862E-3</v>
      </c>
      <c r="AE69" s="863">
        <f>IF(INDEX(HwyTransitModelGroup,A50,1)=Hwy,0.00000110231131*(C69*(1-M69)*VLOOKUP(K69,EmAuto20,3)-D69*(1-N69)*VLOOKUP(L69,EmAuto20,3)+(O69*(1-M69)-P69*(1-N69))*VLOOKUP(0,EmAuto20,3))+0.00000110231131*(C69*M69*VLOOKUP(K69,EmTruck20,3)-D69*N69*VLOOKUP(L69,EmTruck20,3)+(O69*M69-P69*N69)*VLOOKUP(0,EmTruck20,3)),0)</f>
        <v>-18.330587351805409</v>
      </c>
      <c r="AF69" s="861">
        <f>IF(INDEX(HwyTransitModelGroup,A50,1)=Hwy,0.00000110231131*(C69*(1-M69)*VLOOKUP(K69,EmAuto20,4)-D69*(1-N69)*VLOOKUP(L69,EmAuto20,4)+(O69*(1-M69)-P69*(1-N69))*VLOOKUP(0,EmAuto20,4))+0.00000110231131*(C69*M69*VLOOKUP(K69,EmTruck20,4)-D69*N69*VLOOKUP(L69,EmTruck20,4)+(O69*M69-P69*N69)*VLOOKUP(0,EmTruck20,4)),0)</f>
        <v>-7.9394234783535089E-3</v>
      </c>
      <c r="AG69" s="863">
        <f>IF(INDEX(HwyTransitModelGroup,A50,1)=Hwy,0.00000110231131*(C69*(1-M69)*VLOOKUP(K69,EmAuto20,5)-D69*(1-N69)*VLOOKUP(L69,EmAuto20,5)+(O69*(1-M69)-P69*(1-N69))*VLOOKUP(0,EmAuto20,5))+0.00000110231131*(C69*M69*VLOOKUP(K69,EmTruck20,5)-D69*N69*VLOOKUP(L69,EmTruck20,5)+(O69*M69-P69*N69)*VLOOKUP(0,EmTruck20,5)),0)</f>
        <v>-2.7261999556187674E-4</v>
      </c>
      <c r="AH69" s="861">
        <f>IF(INDEX(HwyTransitModelGroup,A50,1)=Hwy,0.00000110231131*(C69*(1-M69)*VLOOKUP(K69,EmAuto20,6)-D69*(1-N69)*VLOOKUP(L69,EmAuto20,6)+(O69*(1-M69)-P69*(1-N69))*VLOOKUP(0,EmAuto20,6))+0.00000110231131*(C69*M69*VLOOKUP(K69,EmTruck20,6)-D69*N69*VLOOKUP(L69,EmTruck20,6)+(O69*M69-P69*N69)*VLOOKUP(0,EmTruck20,6)),0)</f>
        <v>-1.8535568605242332E-4</v>
      </c>
      <c r="AI69" s="863">
        <f>IF(INDEX(HwyTransitModelGroup,A50,1)=Hwy,0.00000110231131*(C69*(1-M69)*VLOOKUP(K69,EmAuto20,7)-D69*(1-N69)*VLOOKUP(L69,EmAuto20,7)+(O69*(1-M69)-P69*(1-N69))*VLOOKUP(0,EmAuto20,7))+0.00000110231131*(C69*M69*VLOOKUP(K69,EmTruck20,7)-D69*N69*VLOOKUP(L69,EmTruck20,7)+(O69*M69-P69*N69)*VLOOKUP(0,EmTruck20,7)),0)</f>
        <v>-7.2717173290062179E-5</v>
      </c>
      <c r="AJ69" s="861">
        <f>IF(INDEX(HwyTransitModelGroup,A50,1)=Hwy,0.00000110231131*(C69*(1-M69)*VLOOKUP(K69,EmAuto20,8)-D69*(1-N69)*VLOOKUP(L69,EmAuto20,8)+(O69*(1-M69)-P69*(1-N69))*VLOOKUP(0,EmAuto20,8))+0.00000110231131*(C69*M69*VLOOKUP(K69,EmTruck20,8)-D69*N69*VLOOKUP(L69,EmTruck20,8)+(O69*M69-P69*N69)*VLOOKUP(0,EmTruck20,8)),0)</f>
        <v>-2.5418621989455644E-4</v>
      </c>
      <c r="AK69" s="401">
        <f>IF(INDEX(HwyTransitModelGroup,A50,1)=PARAMETERS!$J$9,0.00000110231131*(C69*VLOOKUP(K69,EmBus20,2)-D69*VLOOKUP(L69,EmBus20,2)+(O69-P69)*VLOOKUP(0,EmBus20,2)),0)</f>
        <v>0</v>
      </c>
      <c r="AL69" s="863">
        <f>IF(INDEX(HwyTransitModelGroup,A50,1)=PARAMETERS!$J$9,0.00000110231131*(C69*VLOOKUP(K69,EmBus20,3)-D69*VLOOKUP(L69,EmBus20,3)+(O69-P69)*VLOOKUP(0,EmBus20,3)),0)</f>
        <v>0</v>
      </c>
      <c r="AM69" s="861">
        <f>IF(INDEX(HwyTransitModelGroup,A50,1)=PARAMETERS!$J$9,0.00000110231131*(C69*VLOOKUP(K69,EmBus20,4)-D69*VLOOKUP(L69,EmBus20,4)+(O69-P69)*VLOOKUP(0,EmBus20,4)),0)</f>
        <v>0</v>
      </c>
      <c r="AN69" s="863">
        <f>IF(INDEX(HwyTransitModelGroup,A50,1)=PARAMETERS!$J$9,0.00000110231131*(C69*VLOOKUP(K69,EmBus20,5)-D69*VLOOKUP(L69,EmBus20,5)+(O69-P69)*VLOOKUP(0,EmBus20,5)),0)</f>
        <v>0</v>
      </c>
      <c r="AO69" s="861">
        <f>IF(INDEX(HwyTransitModelGroup,A50,1)=PARAMETERS!$J$9,0.00000110231131*(C69*VLOOKUP(K69,EmBus20,6)-D69*VLOOKUP(L69,EmBus20,6)+(O69-P69)*VLOOKUP(0,EmBus20,6)),0)</f>
        <v>0</v>
      </c>
      <c r="AP69" s="863">
        <f>IF(INDEX(HwyTransitModelGroup,A50,1)=PARAMETERS!$J$9,0.00000110231131*(C69*VLOOKUP(K69,EmBus20,7)-D69*VLOOKUP(L69,EmBus20,7)+(O69-P69)*VLOOKUP(0,EmBus20,7)),0)</f>
        <v>0</v>
      </c>
      <c r="AQ69" s="861">
        <f>IF(INDEX(HwyTransitModelGroup,A50,1)=PARAMETERS!$J$9,0.00000110231131*(C69*VLOOKUP(K69,EmBus20,8)-D69*VLOOKUP(L69,EmBus20,8)+(O69-P69)*VLOOKUP(0,EmBus20,8)),0)</f>
        <v>0</v>
      </c>
      <c r="AR69" s="401">
        <f>IF(INDEX(HwyTransitModelGroup,A50,1)=PARAMETERS!$J$10,0.00000110231131*((C69-D69)*PARAMETERS!$CQ$29),0)</f>
        <v>0</v>
      </c>
      <c r="AS69" s="863">
        <f>IF(INDEX(HwyTransitModelGroup,A50,1)=PARAMETERS!$J$10,0.00000110231131*((C69-D69)*PARAMETERS!$CR$29),0)</f>
        <v>0</v>
      </c>
      <c r="AT69" s="861">
        <f>IF(INDEX(HwyTransitModelGroup,A50,1)=PARAMETERS!$J$10,0.00000110231131*((C69-D69)*PARAMETERS!$CS$29),0)</f>
        <v>0</v>
      </c>
      <c r="AU69" s="863">
        <f>IF(INDEX(HwyTransitModelGroup,A50,1)=PARAMETERS!$J$10,0.00000110231131*((C69-D69)*PARAMETERS!$CT$29),0)</f>
        <v>0</v>
      </c>
      <c r="AV69" s="861">
        <f>IF(INDEX(HwyTransitModelGroup,A50,1)=PARAMETERS!$J$10,0.00000110231131*((C69-D69)*PARAMETERS!$CU$29),0)</f>
        <v>0</v>
      </c>
      <c r="AW69" s="863">
        <f>IF(INDEX(HwyTransitModelGroup,A50,1)=PARAMETERS!$J$10,0.00000110231131*((C69-D69)*PARAMETERS!$CV$29),0)</f>
        <v>0</v>
      </c>
      <c r="AX69" s="861">
        <f>IF(INDEX(HwyTransitModelGroup,A50,1)=PARAMETERS!$J$10,0.00000110231131*((C69-D69)*PARAMETERS!$CW$29),0)</f>
        <v>0</v>
      </c>
      <c r="AY69" s="401">
        <f>IF(INDEX(HwyTransitModelGroup,A50,1)=PARAMETERS!$J$11,0.00000110231131*((C69-D69)*PARAMETERS!$CQ$37),0)</f>
        <v>0</v>
      </c>
      <c r="AZ69" s="863">
        <f>IF(INDEX(HwyTransitModelGroup,A50,1)=PARAMETERS!$J$11,0.00000110231131*((C69-D69)*PARAMETERS!$CR$37),0)</f>
        <v>0</v>
      </c>
      <c r="BA69" s="861">
        <f>IF(INDEX(HwyTransitModelGroup,A50,1)=PARAMETERS!$J$11,0.00000110231131*((C69-D69)*PARAMETERS!$CS$37),0)</f>
        <v>0</v>
      </c>
      <c r="BB69" s="863">
        <f>IF(INDEX(HwyTransitModelGroup,A50,1)=PARAMETERS!$J$11,0.00000110231131*((C69-D69)*PARAMETERS!$CT$37),0)</f>
        <v>0</v>
      </c>
      <c r="BC69" s="861">
        <f>IF(INDEX(HwyTransitModelGroup,A50,1)=PARAMETERS!$J$11,0.00000110231131*((C69-D69)*PARAMETERS!$CU$37),0)</f>
        <v>0</v>
      </c>
      <c r="BD69" s="863">
        <f>IF(INDEX(HwyTransitModelGroup,A50,1)=PARAMETERS!$J$11,0.00000110231131*((C69-D69)*PARAMETERS!$CV$37),0)</f>
        <v>0</v>
      </c>
      <c r="BE69" s="865">
        <f>IF(INDEX(HwyTransitModelGroup,A50,1)=PARAMETERS!$J$11,0.00000110231131*((C69-D69)*PARAMETERS!$CW$37),0)</f>
        <v>0</v>
      </c>
      <c r="BF69" s="729">
        <f t="shared" si="21"/>
        <v>-9.3864511178620269E-2</v>
      </c>
      <c r="BG69" s="867">
        <f t="shared" si="22"/>
        <v>-670.42974247042832</v>
      </c>
      <c r="BH69" s="867">
        <f t="shared" si="23"/>
        <v>-69.230770383865689</v>
      </c>
      <c r="BI69" s="867">
        <f t="shared" si="24"/>
        <v>-18.372227402014293</v>
      </c>
      <c r="BJ69" s="867">
        <f t="shared" si="25"/>
        <v>-6.3152591191223308</v>
      </c>
      <c r="BK69" s="869">
        <f t="shared" si="26"/>
        <v>-4.6611514791753343E-2</v>
      </c>
      <c r="BL69" s="392"/>
      <c r="BN69" s="375">
        <f t="shared" si="27"/>
        <v>2037</v>
      </c>
      <c r="BO69" s="871">
        <f t="shared" ca="1" si="17"/>
        <v>-2.0702062626462129E-2</v>
      </c>
      <c r="BP69" s="871">
        <f t="shared" ca="1" si="29"/>
        <v>-2.0636555531456787E-3</v>
      </c>
      <c r="BQ69" s="871">
        <f t="shared" ca="1" si="29"/>
        <v>5.0579950941988902E-2</v>
      </c>
      <c r="BR69" s="871">
        <f t="shared" ca="1" si="29"/>
        <v>0.18670084914894622</v>
      </c>
      <c r="BS69" s="871">
        <f t="shared" ca="1" si="29"/>
        <v>0.77187702542019054</v>
      </c>
      <c r="BT69" s="871">
        <f t="shared" ca="1" si="29"/>
        <v>0.94963538146878279</v>
      </c>
    </row>
    <row r="70" spans="2:76" x14ac:dyDescent="0.25">
      <c r="B70" s="375">
        <f t="shared" si="28"/>
        <v>2037</v>
      </c>
      <c r="C70" s="401">
        <f>MAX(TREND(C56:C57,B56:B57,B70),0)</f>
        <v>656817.5</v>
      </c>
      <c r="D70" s="402">
        <f>MAX(TREND(D56:D57,B56:B57,B70),0)</f>
        <v>669610.75</v>
      </c>
      <c r="E70" s="401">
        <f>MAX(TREND(E56:E57,B56:B57,B70),0)</f>
        <v>12428.25</v>
      </c>
      <c r="F70" s="402">
        <f>MAX(TREND(F56:F57,B56:B57,B70),0)</f>
        <v>12227.5</v>
      </c>
      <c r="G70" s="401">
        <f>MAX(TREND(G56:G57,B56:B57,B70),0)</f>
        <v>0</v>
      </c>
      <c r="H70" s="402">
        <f>MAX(TREND(H56:H57,B56:B57,B70),0)</f>
        <v>0</v>
      </c>
      <c r="I70" s="401">
        <f>MAX(TREND(I56:I57,B56:B57,B70),0)</f>
        <v>0</v>
      </c>
      <c r="J70" s="402">
        <f>MAX(TREND(J56:J57,B56:B57,B70),0)</f>
        <v>0</v>
      </c>
      <c r="K70" s="435">
        <f>IFERROR(IF(INDEX(HwyTransitModelGroup,A50,1)=Hwy,MAX(5,ROUND(C70/E70,1)),MAX(5,ROUND(G70/I70,1))),55)</f>
        <v>52.8</v>
      </c>
      <c r="L70" s="436">
        <f>IFERROR(IF(INDEX(HwyTransitModelGroup,A50,1)=Hwy,MAX(5,ROUND(D70/F70,1)),MAX(5,ROUND(H70/J70,1))),55)</f>
        <v>54.8</v>
      </c>
      <c r="M70" s="405">
        <f>MIN(MAX(TREND(M56:M57,B56:B57,B70),0),1)</f>
        <v>0.24</v>
      </c>
      <c r="N70" s="406">
        <f>MIN(MAX(TREND(N56:N57,B56:B57,B70),0),1)</f>
        <v>0.24</v>
      </c>
      <c r="O70" s="401">
        <f>MAX(TREND(O56:O57,B56:B57,B70),0)</f>
        <v>0</v>
      </c>
      <c r="P70" s="402">
        <f>MAX(TREND(P56:P57,B56:B57,B70),0)</f>
        <v>0</v>
      </c>
      <c r="Q70" s="729">
        <f>IF(INDEX(HwyTransitModelGroup,A50,1)=Hwy,C70*(1-M70)*0.00000110231131*(VLOOKUP(K70,EmAuto20,2)*VLOOKUP(ProjLoc,EmCost,2)+VLOOKUP(K70,EmAuto20,3)*VLOOKUP(ProjLoc,EmCost,3)*(1+CO2Uprater)^($B70-YearCurrent)+VLOOKUP(K70,EmAuto20,4)*VLOOKUP(ProjLoc,EmCost,4)+VLOOKUP(K70,EmAuto20,5)*VLOOKUP(ProjLoc,EmCost,5)+VLOOKUP(K70,EmAuto20,6)*VLOOKUP(ProjLoc,EmCost,6)+VLOOKUP(K70,EmAuto20,7)*VLOOKUP(ProjLoc,EmCost,7))+C70*M70*0.00000110231131*(VLOOKUP(K70,EmTruck20,2)*VLOOKUP(ProjLoc,EmCost,2)+VLOOKUP(K70,EmTruck20,3)*VLOOKUP(ProjLoc,EmCost,3)*(1+CO2Uprater)^($B70-YearCurrent)+VLOOKUP(K70,EmTruck20,4)*VLOOKUP(ProjLoc,EmCost,4)+VLOOKUP(K70,EmTruck20,5)*VLOOKUP(ProjLoc,EmCost,5)+VLOOKUP(K70,EmTruck20,6)*VLOOKUP(ProjLoc,EmCost,6)+VLOOKUP(K70,EmTruck20,7)*VLOOKUP(ProjLoc,EmCost,7)),0)</f>
        <v>16442.676937812143</v>
      </c>
      <c r="R70" s="802">
        <f>IF(INDEX(HwyTransitModelGroup,A50,1)=Hwy,D70*(1-N70)*0.00000110231131*(VLOOKUP(L70,EmAuto20,2)*VLOOKUP(ProjLoc,EmCost,2)+VLOOKUP(L70,EmAuto20,3)*VLOOKUP(ProjLoc,EmCost,3)*(1+CO2Uprater)^($B70-YearCurrent)+VLOOKUP(L70,EmAuto20,4)*VLOOKUP(ProjLoc,EmCost,4)+VLOOKUP(L70,EmAuto20,5)*VLOOKUP(ProjLoc,EmCost,5)+VLOOKUP(L70,EmAuto20,6)*VLOOKUP(ProjLoc,EmCost,6)+VLOOKUP(L70,EmAuto20,7)*VLOOKUP(ProjLoc,EmCost,7))+D70*N70*0.00000110231131*(VLOOKUP(L70,EmTruck20,2)*VLOOKUP(ProjLoc,EmCost,2)+VLOOKUP(L70,EmTruck20,3)*VLOOKUP(ProjLoc,EmCost,3)*(1+CO2Uprater)^($B70-YearCurrent)+VLOOKUP(L70,EmTruck20,4)*VLOOKUP(ProjLoc,EmCost,4)+VLOOKUP(L70,EmTruck20,5)*VLOOKUP(ProjLoc,EmCost,5)+VLOOKUP(L70,EmTruck20,6)*VLOOKUP(ProjLoc,EmCost,6)+VLOOKUP(L70,EmTruck20,7)*VLOOKUP(ProjLoc,EmCost,7)),0)</f>
        <v>17811.370336427139</v>
      </c>
      <c r="S70" s="729">
        <f>IF(INDEX(HwyTransitModelGroup,A50,1)=Hwy,O70*(1-M70)*0.00000110231131*(VLOOKUP(0,EmAuto20,2)*VLOOKUP(ProjLoc,EmCost,2)+VLOOKUP(0,EmAuto20,3)*VLOOKUP(ProjLoc,EmCost,3)*(1+CO2Uprater)^($B70-YearCurrent)+VLOOKUP(0,EmAuto20,4)*VLOOKUP(ProjLoc,EmCost,4)+VLOOKUP(0,EmAuto20,5)*VLOOKUP(ProjLoc,EmCost,5)+VLOOKUP(0,EmAuto20,6)*VLOOKUP(ProjLoc,EmCost,6)+VLOOKUP(0,EmAuto20,7)*VLOOKUP(ProjLoc,EmCost,7))+O70*M70*0.00000110231131*(VLOOKUP(0,EmTruck20,2)*VLOOKUP(ProjLoc,EmCost,2)+VLOOKUP(0,EmTruck20,3)*VLOOKUP(ProjLoc,EmCost,3)*(1+CO2Uprater)^($B70-YearCurrent)+VLOOKUP(0,EmTruck20,4)*VLOOKUP(ProjLoc,EmCost,4)+VLOOKUP(0,EmTruck20,5)*VLOOKUP(ProjLoc,EmCost,5)+VLOOKUP(0,EmTruck20,6)*VLOOKUP(ProjLoc,EmCost,6)+VLOOKUP(0,EmTruck20,7)*VLOOKUP(ProjLoc,EmCost,7)),0)</f>
        <v>0</v>
      </c>
      <c r="T70" s="802">
        <f>IF(INDEX(HwyTransitModelGroup,A50,1)=Hwy,P70*(1-N70)*0.00000110231131*(VLOOKUP(0,EmAuto20,2)*VLOOKUP(ProjLoc,EmCost,2)+VLOOKUP(0,EmAuto20,3)*VLOOKUP(ProjLoc,EmCost,3)*(1+CO2Uprater)^($B70-YearCurrent)+VLOOKUP(0,EmAuto20,4)*VLOOKUP(ProjLoc,EmCost,4)+VLOOKUP(0,EmAuto20,5)*VLOOKUP(ProjLoc,EmCost,5)+VLOOKUP(0,EmAuto20,6)*VLOOKUP(ProjLoc,EmCost,6)+VLOOKUP(0,EmAuto20,7)*VLOOKUP(ProjLoc,EmCost,7))+P70*N70*0.00000110231131*(VLOOKUP(0,EmTruck20,2)*VLOOKUP(ProjLoc,EmCost,2)+VLOOKUP(0,EmTruck20,3)*VLOOKUP(ProjLoc,EmCost,3)*(1+CO2Uprater)^($B70-YearCurrent)+VLOOKUP(0,EmTruck20,4)*VLOOKUP(ProjLoc,EmCost,4)+VLOOKUP(0,EmTruck20,5)*VLOOKUP(ProjLoc,EmCost,5)+VLOOKUP(0,EmTruck20,6)*VLOOKUP(ProjLoc,EmCost,6)+VLOOKUP(0,EmTruck20,7)*VLOOKUP(ProjLoc,EmCost,7)),0)</f>
        <v>0</v>
      </c>
      <c r="U70" s="729">
        <f>IF(INDEX(HwyTransitModelGroup,A50,1)=PARAMETERS!$J$9,C70*0.00000110231131*(VLOOKUP(K70,EmBus20,2)*VLOOKUP(ProjLoc,EmCost,2)+VLOOKUP(K70,EmBus20,3)*VLOOKUP(ProjLoc,EmCost,3)*(1+CO2Uprater)^($B70-YearCurrent)+VLOOKUP(K70,EmBus20,4)*VLOOKUP(ProjLoc,EmCost,4)+VLOOKUP(K70,EmBus20,5)*VLOOKUP(ProjLoc,EmCost,5)+VLOOKUP(K70,EmBus20,6)*VLOOKUP(ProjLoc,EmCost,6)+VLOOKUP(K70,EmBus20,7)*VLOOKUP(ProjLoc,EmCost,7)),0)</f>
        <v>0</v>
      </c>
      <c r="V70" s="802">
        <f>IF(INDEX(HwyTransitModelGroup,A50,1)=PARAMETERS!$J$9,D70*0.00000110231131*(VLOOKUP(L70,EmBus20,2)*VLOOKUP(ProjLoc,EmCost,2)+VLOOKUP(L70,EmBus20,3)*VLOOKUP(ProjLoc,EmCost,3)*(1+CO2Uprater)^($B70-YearCurrent)+VLOOKUP(L70,EmBus20,4)*VLOOKUP(ProjLoc,EmCost,4)+VLOOKUP(L70,EmBus20,5)*VLOOKUP(ProjLoc,EmCost,5)+VLOOKUP(L70,EmBus20,6)*VLOOKUP(ProjLoc,EmCost,6)+VLOOKUP(L70,EmBus20,7)*VLOOKUP(ProjLoc,EmCost,7)),0)</f>
        <v>0</v>
      </c>
      <c r="W70" s="808">
        <f>IF(INDEX(HwyTransitModelGroup,A50,1)=PARAMETERS!$J$10,C70*0.00000110231131*(PARAMETERS!$CQ$29*VLOOKUP(ProjLoc,EmCost,2)+PARAMETERS!$CR$29*VLOOKUP(ProjLoc,EmCost,3)*(1+CO2Uprater)^($B70-YearCurrent)+PARAMETERS!$CS$29*VLOOKUP(ProjLoc,EmCost,4)+PARAMETERS!$CT$29*VLOOKUP(ProjLoc,EmCost,5)+PARAMETERS!$CU$29*VLOOKUP(ProjLoc,EmCost,6)+PARAMETERS!$CV$29*VLOOKUP(ProjLoc,EmCost,7)),0)</f>
        <v>0</v>
      </c>
      <c r="X70" s="844">
        <f>IF(INDEX(HwyTransitModelGroup,A50,1)=PARAMETERS!$J$10,D70*0.00000110231131*(PARAMETERS!$CQ$29*VLOOKUP(ProjLoc,EmCost,2)+PARAMETERS!$CR$29*VLOOKUP(ProjLoc,EmCost,3)*(1+CO2Uprater)^($B70-YearCurrent)+PARAMETERS!$CS$29*VLOOKUP(ProjLoc,EmCost,4)+PARAMETERS!$CT$29*VLOOKUP(ProjLoc,EmCost,5)+PARAMETERS!$CU$29*VLOOKUP(ProjLoc,EmCost,6)+PARAMETERS!$CV$29*VLOOKUP(ProjLoc,EmCost,7)),0)</f>
        <v>0</v>
      </c>
      <c r="Y70" s="808">
        <f>IF(INDEX(HwyTransitModelGroup,A50,1)=PARAMETERS!$J$11,C70*0.00000110231131*(PARAMETERS!$CQ$37*VLOOKUP(ProjLoc,EmCost,2)+PARAMETERS!$CR$37*VLOOKUP(ProjLoc,EmCost,3)*(1+CO2Uprater)^($B70-YearCurrent)+PARAMETERS!$CS$37*VLOOKUP(ProjLoc,EmCost,4)+PARAMETERS!$CT$37*VLOOKUP(ProjLoc,EmCost,5)+PARAMETERS!$CU$37*VLOOKUP(ProjLoc,EmCost,6)+PARAMETERS!$CV$37*VLOOKUP(ProjLoc,EmCost,7)),0)</f>
        <v>0</v>
      </c>
      <c r="Z70" s="844">
        <f>IF(INDEX(HwyTransitModelGroup,A50,1)=PARAMETERS!$J$11,D70*0.00000110231131*(PARAMETERS!$CQ$37*VLOOKUP(ProjLoc,EmCost,2)+PARAMETERS!$CR$37*VLOOKUP(ProjLoc,EmCost,3)*(1+CO2Uprater)^($B70-YearCurrent)+PARAMETERS!$CS$37*VLOOKUP(ProjLoc,EmCost,4)+PARAMETERS!$CT$37*VLOOKUP(ProjLoc,EmCost,5)+PARAMETERS!$CU$37*VLOOKUP(ProjLoc,EmCost,6)+PARAMETERS!$CV$37*VLOOKUP(ProjLoc,EmCost,7)),0)</f>
        <v>0</v>
      </c>
      <c r="AA70" s="369">
        <f t="shared" si="19"/>
        <v>-1368.6933986149961</v>
      </c>
      <c r="AB70" s="370">
        <f t="shared" si="20"/>
        <v>-759.98685934889784</v>
      </c>
      <c r="AC70" s="371"/>
      <c r="AD70" s="401">
        <f>IF(INDEX(HwyTransitModelGroup,A50,1)=Hwy,0.00000110231131*(C70*(1-M70)*VLOOKUP(K70,EmAuto20,2)-D70*(1-N70)*VLOOKUP(L70,EmAuto20,2)+(O70*(1-M70)-P70*(1-N70))*VLOOKUP(0,EmAuto20,2))+0.00000110231131*(C70*M70*VLOOKUP(K70,EmTruck20,2)-D70*N70*VLOOKUP(L70,EmTruck20,2)+(O70*M70-P70*N70)*VLOOKUP(0,EmTruck20,2)),0)</f>
        <v>-2.0636555531456787E-3</v>
      </c>
      <c r="AE70" s="863">
        <f>IF(INDEX(HwyTransitModelGroup,A50,1)=Hwy,0.00000110231131*(C70*(1-M70)*VLOOKUP(K70,EmAuto20,3)-D70*(1-N70)*VLOOKUP(L70,EmAuto20,3)+(O70*(1-M70)-P70*(1-N70))*VLOOKUP(0,EmAuto20,3))+0.00000110231131*(C70*M70*VLOOKUP(K70,EmTruck20,3)-D70*N70*VLOOKUP(L70,EmTruck20,3)+(O70*M70-P70*N70)*VLOOKUP(0,EmTruck20,3)),0)</f>
        <v>-18.624854354963066</v>
      </c>
      <c r="AF70" s="861">
        <f>IF(INDEX(HwyTransitModelGroup,A50,1)=Hwy,0.00000110231131*(C70*(1-M70)*VLOOKUP(K70,EmAuto20,4)-D70*(1-N70)*VLOOKUP(L70,EmAuto20,4)+(O70*(1-M70)-P70*(1-N70))*VLOOKUP(0,EmAuto20,4))+0.00000110231131*(C70*M70*VLOOKUP(K70,EmTruck20,4)-D70*N70*VLOOKUP(L70,EmTruck20,4)+(O70*M70-P70*N70)*VLOOKUP(0,EmTruck20,4)),0)</f>
        <v>-8.0669999639356518E-3</v>
      </c>
      <c r="AG70" s="863">
        <f>IF(INDEX(HwyTransitModelGroup,A50,1)=Hwy,0.00000110231131*(C70*(1-M70)*VLOOKUP(K70,EmAuto20,5)-D70*(1-N70)*VLOOKUP(L70,EmAuto20,5)+(O70*(1-M70)-P70*(1-N70))*VLOOKUP(0,EmAuto20,5))+0.00000110231131*(C70*M70*VLOOKUP(K70,EmTruck20,5)-D70*N70*VLOOKUP(L70,EmTruck20,5)+(O70*M70-P70*N70)*VLOOKUP(0,EmTruck20,5)),0)</f>
        <v>-2.7700216142223538E-4</v>
      </c>
      <c r="AH70" s="861">
        <f>IF(INDEX(HwyTransitModelGroup,A50,1)=Hwy,0.00000110231131*(C70*(1-M70)*VLOOKUP(K70,EmAuto20,6)-D70*(1-N70)*VLOOKUP(L70,EmAuto20,6)+(O70*(1-M70)-P70*(1-N70))*VLOOKUP(0,EmAuto20,6))+0.00000110231131*(C70*M70*VLOOKUP(K70,EmTruck20,6)-D70*N70*VLOOKUP(L70,EmTruck20,6)+(O70*M70-P70*N70)*VLOOKUP(0,EmTruck20,6)),0)</f>
        <v>-1.8833166093239797E-4</v>
      </c>
      <c r="AI70" s="863">
        <f>IF(INDEX(HwyTransitModelGroup,A50,1)=Hwy,0.00000110231131*(C70*(1-M70)*VLOOKUP(K70,EmAuto20,7)-D70*(1-N70)*VLOOKUP(L70,EmAuto20,7)+(O70*(1-M70)-P70*(1-N70))*VLOOKUP(0,EmAuto20,7))+0.00000110231131*(C70*M70*VLOOKUP(K70,EmTruck20,7)-D70*N70*VLOOKUP(L70,EmTruck20,7)+(O70*M70-P70*N70)*VLOOKUP(0,EmTruck20,7)),0)</f>
        <v>-7.3874715908249774E-5</v>
      </c>
      <c r="AJ70" s="861">
        <f>IF(INDEX(HwyTransitModelGroup,A50,1)=Hwy,0.00000110231131*(C70*(1-M70)*VLOOKUP(K70,EmAuto20,8)-D70*(1-N70)*VLOOKUP(L70,EmAuto20,8)+(O70*(1-M70)-P70*(1-N70))*VLOOKUP(0,EmAuto20,8))+0.00000110231131*(C70*M70*VLOOKUP(K70,EmTruck20,8)-D70*N70*VLOOKUP(L70,EmTruck20,8)+(O70*M70-P70*N70)*VLOOKUP(0,EmTruck20,8)),0)</f>
        <v>-2.5827193896969423E-4</v>
      </c>
      <c r="AK70" s="401">
        <f>IF(INDEX(HwyTransitModelGroup,A50,1)=PARAMETERS!$J$9,0.00000110231131*(C70*VLOOKUP(K70,EmBus20,2)-D70*VLOOKUP(L70,EmBus20,2)+(O70-P70)*VLOOKUP(0,EmBus20,2)),0)</f>
        <v>0</v>
      </c>
      <c r="AL70" s="863">
        <f>IF(INDEX(HwyTransitModelGroup,A50,1)=PARAMETERS!$J$9,0.00000110231131*(C70*VLOOKUP(K70,EmBus20,3)-D70*VLOOKUP(L70,EmBus20,3)+(O70-P70)*VLOOKUP(0,EmBus20,3)),0)</f>
        <v>0</v>
      </c>
      <c r="AM70" s="861">
        <f>IF(INDEX(HwyTransitModelGroup,A50,1)=PARAMETERS!$J$9,0.00000110231131*(C70*VLOOKUP(K70,EmBus20,4)-D70*VLOOKUP(L70,EmBus20,4)+(O70-P70)*VLOOKUP(0,EmBus20,4)),0)</f>
        <v>0</v>
      </c>
      <c r="AN70" s="863">
        <f>IF(INDEX(HwyTransitModelGroup,A50,1)=PARAMETERS!$J$9,0.00000110231131*(C70*VLOOKUP(K70,EmBus20,5)-D70*VLOOKUP(L70,EmBus20,5)+(O70-P70)*VLOOKUP(0,EmBus20,5)),0)</f>
        <v>0</v>
      </c>
      <c r="AO70" s="861">
        <f>IF(INDEX(HwyTransitModelGroup,A50,1)=PARAMETERS!$J$9,0.00000110231131*(C70*VLOOKUP(K70,EmBus20,6)-D70*VLOOKUP(L70,EmBus20,6)+(O70-P70)*VLOOKUP(0,EmBus20,6)),0)</f>
        <v>0</v>
      </c>
      <c r="AP70" s="863">
        <f>IF(INDEX(HwyTransitModelGroup,A50,1)=PARAMETERS!$J$9,0.00000110231131*(C70*VLOOKUP(K70,EmBus20,7)-D70*VLOOKUP(L70,EmBus20,7)+(O70-P70)*VLOOKUP(0,EmBus20,7)),0)</f>
        <v>0</v>
      </c>
      <c r="AQ70" s="861">
        <f>IF(INDEX(HwyTransitModelGroup,A50,1)=PARAMETERS!$J$9,0.00000110231131*(C70*VLOOKUP(K70,EmBus20,8)-D70*VLOOKUP(L70,EmBus20,8)+(O70-P70)*VLOOKUP(0,EmBus20,8)),0)</f>
        <v>0</v>
      </c>
      <c r="AR70" s="401">
        <f>IF(INDEX(HwyTransitModelGroup,A50,1)=PARAMETERS!$J$10,0.00000110231131*((C70-D70)*PARAMETERS!$CQ$29),0)</f>
        <v>0</v>
      </c>
      <c r="AS70" s="863">
        <f>IF(INDEX(HwyTransitModelGroup,A50,1)=PARAMETERS!$J$10,0.00000110231131*((C70-D70)*PARAMETERS!$CR$29),0)</f>
        <v>0</v>
      </c>
      <c r="AT70" s="861">
        <f>IF(INDEX(HwyTransitModelGroup,A50,1)=PARAMETERS!$J$10,0.00000110231131*((C70-D70)*PARAMETERS!$CS$29),0)</f>
        <v>0</v>
      </c>
      <c r="AU70" s="863">
        <f>IF(INDEX(HwyTransitModelGroup,A50,1)=PARAMETERS!$J$10,0.00000110231131*((C70-D70)*PARAMETERS!$CT$29),0)</f>
        <v>0</v>
      </c>
      <c r="AV70" s="861">
        <f>IF(INDEX(HwyTransitModelGroup,A50,1)=PARAMETERS!$J$10,0.00000110231131*((C70-D70)*PARAMETERS!$CU$29),0)</f>
        <v>0</v>
      </c>
      <c r="AW70" s="863">
        <f>IF(INDEX(HwyTransitModelGroup,A50,1)=PARAMETERS!$J$10,0.00000110231131*((C70-D70)*PARAMETERS!$CV$29),0)</f>
        <v>0</v>
      </c>
      <c r="AX70" s="861">
        <f>IF(INDEX(HwyTransitModelGroup,A50,1)=PARAMETERS!$J$10,0.00000110231131*((C70-D70)*PARAMETERS!$CW$29),0)</f>
        <v>0</v>
      </c>
      <c r="AY70" s="401">
        <f>IF(INDEX(HwyTransitModelGroup,A50,1)=PARAMETERS!$J$11,0.00000110231131*((C70-D70)*PARAMETERS!$CQ$37),0)</f>
        <v>0</v>
      </c>
      <c r="AZ70" s="863">
        <f>IF(INDEX(HwyTransitModelGroup,A50,1)=PARAMETERS!$J$11,0.00000110231131*((C70-D70)*PARAMETERS!$CR$37),0)</f>
        <v>0</v>
      </c>
      <c r="BA70" s="861">
        <f>IF(INDEX(HwyTransitModelGroup,A50,1)=PARAMETERS!$J$11,0.00000110231131*((C70-D70)*PARAMETERS!$CS$37),0)</f>
        <v>0</v>
      </c>
      <c r="BB70" s="863">
        <f>IF(INDEX(HwyTransitModelGroup,A50,1)=PARAMETERS!$J$11,0.00000110231131*((C70-D70)*PARAMETERS!$CT$37),0)</f>
        <v>0</v>
      </c>
      <c r="BC70" s="861">
        <f>IF(INDEX(HwyTransitModelGroup,A50,1)=PARAMETERS!$J$11,0.00000110231131*((C70-D70)*PARAMETERS!$CU$37),0)</f>
        <v>0</v>
      </c>
      <c r="BD70" s="863">
        <f>IF(INDEX(HwyTransitModelGroup,A50,1)=PARAMETERS!$J$11,0.00000110231131*((C70-D70)*PARAMETERS!$CV$37),0)</f>
        <v>0</v>
      </c>
      <c r="BE70" s="865">
        <f>IF(INDEX(HwyTransitModelGroup,A50,1)=PARAMETERS!$J$11,0.00000110231131*((C70-D70)*PARAMETERS!$CW$37),0)</f>
        <v>0</v>
      </c>
      <c r="BF70" s="729">
        <f t="shared" si="21"/>
        <v>-9.1669973959113873E-2</v>
      </c>
      <c r="BG70" s="867">
        <f t="shared" si="22"/>
        <v>-668.09252031978633</v>
      </c>
      <c r="BH70" s="867">
        <f t="shared" si="23"/>
        <v>-67.637712722777309</v>
      </c>
      <c r="BI70" s="867">
        <f t="shared" si="24"/>
        <v>-17.949564847052731</v>
      </c>
      <c r="BJ70" s="867">
        <f t="shared" si="25"/>
        <v>-6.1698592771147895</v>
      </c>
      <c r="BK70" s="869">
        <f t="shared" si="26"/>
        <v>-4.5532208204985422E-2</v>
      </c>
      <c r="BL70" s="392"/>
      <c r="BN70" s="375">
        <f t="shared" si="27"/>
        <v>2038</v>
      </c>
      <c r="BO70" s="871">
        <f t="shared" ca="1" si="17"/>
        <v>-2.3821067367026022E-2</v>
      </c>
      <c r="BP70" s="871">
        <f t="shared" ca="1" si="29"/>
        <v>-2.095524065369299E-3</v>
      </c>
      <c r="BQ70" s="871">
        <f t="shared" ca="1" si="29"/>
        <v>5.1375984672003397E-2</v>
      </c>
      <c r="BR70" s="871">
        <f t="shared" ca="1" si="29"/>
        <v>0.18881480159857827</v>
      </c>
      <c r="BS70" s="871">
        <f t="shared" ca="1" si="29"/>
        <v>0.79861226342106539</v>
      </c>
      <c r="BT70" s="871">
        <f t="shared" ca="1" si="29"/>
        <v>0.97140073820135131</v>
      </c>
    </row>
    <row r="71" spans="2:76" x14ac:dyDescent="0.25">
      <c r="B71" s="375">
        <f t="shared" si="28"/>
        <v>2038</v>
      </c>
      <c r="C71" s="401">
        <f>MAX(TREND(C56:C57,B56:B57,B71),0)</f>
        <v>667220</v>
      </c>
      <c r="D71" s="402">
        <f>MAX(TREND(D56:D57,B56:B57,B71),0)</f>
        <v>680214</v>
      </c>
      <c r="E71" s="401">
        <f>MAX(TREND(E56:E57,B56:B57,B71),0)</f>
        <v>12629</v>
      </c>
      <c r="F71" s="402">
        <f>MAX(TREND(F56:F57,B56:B57,B71),0)</f>
        <v>12410</v>
      </c>
      <c r="G71" s="401">
        <f>MAX(TREND(G56:G57,B56:B57,B71),0)</f>
        <v>0</v>
      </c>
      <c r="H71" s="402">
        <f>MAX(TREND(H56:H57,B56:B57,B71),0)</f>
        <v>0</v>
      </c>
      <c r="I71" s="401">
        <f>MAX(TREND(I56:I57,B56:B57,B71),0)</f>
        <v>0</v>
      </c>
      <c r="J71" s="402">
        <f>MAX(TREND(J56:J57,B56:B57,B71),0)</f>
        <v>0</v>
      </c>
      <c r="K71" s="435">
        <f>IFERROR(IF(INDEX(HwyTransitModelGroup,A50,1)=Hwy,MAX(5,ROUND(C71/E71,1)),MAX(5,ROUND(G71/I71,1))),55)</f>
        <v>52.8</v>
      </c>
      <c r="L71" s="436">
        <f>IFERROR(IF(INDEX(HwyTransitModelGroup,A50,1)=Hwy,MAX(5,ROUND(D71/F71,1)),MAX(5,ROUND(H71/J71,1))),55)</f>
        <v>54.8</v>
      </c>
      <c r="M71" s="405">
        <f>MIN(MAX(TREND(M56:M57,B56:B57,B71),0),1)</f>
        <v>0.24</v>
      </c>
      <c r="N71" s="406">
        <f>MIN(MAX(TREND(N56:N57,B56:B57,B71),0),1)</f>
        <v>0.24</v>
      </c>
      <c r="O71" s="401">
        <f>MAX(TREND(O56:O57,B56:B57,B71),0)</f>
        <v>0</v>
      </c>
      <c r="P71" s="402">
        <f>MAX(TREND(P56:P57,B56:B57,B71),0)</f>
        <v>0</v>
      </c>
      <c r="Q71" s="729">
        <f>IF(INDEX(HwyTransitModelGroup,A50,1)=Hwy,C71*(1-M71)*0.00000110231131*(VLOOKUP(K71,EmAuto20,2)*VLOOKUP(ProjLoc,EmCost,2)+VLOOKUP(K71,EmAuto20,3)*VLOOKUP(ProjLoc,EmCost,3)*(1+CO2Uprater)^($B71-YearCurrent)+VLOOKUP(K71,EmAuto20,4)*VLOOKUP(ProjLoc,EmCost,4)+VLOOKUP(K71,EmAuto20,5)*VLOOKUP(ProjLoc,EmCost,5)+VLOOKUP(K71,EmAuto20,6)*VLOOKUP(ProjLoc,EmCost,6)+VLOOKUP(K71,EmAuto20,7)*VLOOKUP(ProjLoc,EmCost,7))+C71*M71*0.00000110231131*(VLOOKUP(K71,EmTruck20,2)*VLOOKUP(ProjLoc,EmCost,2)+VLOOKUP(K71,EmTruck20,3)*VLOOKUP(ProjLoc,EmCost,3)*(1+CO2Uprater)^($B71-YearCurrent)+VLOOKUP(K71,EmTruck20,4)*VLOOKUP(ProjLoc,EmCost,4)+VLOOKUP(K71,EmTruck20,5)*VLOOKUP(ProjLoc,EmCost,5)+VLOOKUP(K71,EmTruck20,6)*VLOOKUP(ProjLoc,EmCost,6)+VLOOKUP(K71,EmTruck20,7)*VLOOKUP(ProjLoc,EmCost,7)),0)</f>
        <v>17012.309672366919</v>
      </c>
      <c r="R71" s="802">
        <f>IF(INDEX(HwyTransitModelGroup,A50,1)=Hwy,D71*(1-N71)*0.00000110231131*(VLOOKUP(L71,EmAuto20,2)*VLOOKUP(ProjLoc,EmCost,2)+VLOOKUP(L71,EmAuto20,3)*VLOOKUP(ProjLoc,EmCost,3)*(1+CO2Uprater)^($B71-YearCurrent)+VLOOKUP(L71,EmAuto20,4)*VLOOKUP(ProjLoc,EmCost,4)+VLOOKUP(L71,EmAuto20,5)*VLOOKUP(ProjLoc,EmCost,5)+VLOOKUP(L71,EmAuto20,6)*VLOOKUP(ProjLoc,EmCost,6)+VLOOKUP(L71,EmAuto20,7)*VLOOKUP(ProjLoc,EmCost,7))+D71*N71*0.00000110231131*(VLOOKUP(L71,EmTruck20,2)*VLOOKUP(ProjLoc,EmCost,2)+VLOOKUP(L71,EmTruck20,3)*VLOOKUP(ProjLoc,EmCost,3)*(1+CO2Uprater)^($B71-YearCurrent)+VLOOKUP(L71,EmTruck20,4)*VLOOKUP(ProjLoc,EmCost,4)+VLOOKUP(L71,EmTruck20,5)*VLOOKUP(ProjLoc,EmCost,5)+VLOOKUP(L71,EmTruck20,6)*VLOOKUP(ProjLoc,EmCost,6)+VLOOKUP(L71,EmTruck20,7)*VLOOKUP(ProjLoc,EmCost,7)),0)</f>
        <v>18427.074574952167</v>
      </c>
      <c r="S71" s="729">
        <f>IF(INDEX(HwyTransitModelGroup,A50,1)=Hwy,O71*(1-M71)*0.00000110231131*(VLOOKUP(0,EmAuto20,2)*VLOOKUP(ProjLoc,EmCost,2)+VLOOKUP(0,EmAuto20,3)*VLOOKUP(ProjLoc,EmCost,3)*(1+CO2Uprater)^($B71-YearCurrent)+VLOOKUP(0,EmAuto20,4)*VLOOKUP(ProjLoc,EmCost,4)+VLOOKUP(0,EmAuto20,5)*VLOOKUP(ProjLoc,EmCost,5)+VLOOKUP(0,EmAuto20,6)*VLOOKUP(ProjLoc,EmCost,6)+VLOOKUP(0,EmAuto20,7)*VLOOKUP(ProjLoc,EmCost,7))+O71*M71*0.00000110231131*(VLOOKUP(0,EmTruck20,2)*VLOOKUP(ProjLoc,EmCost,2)+VLOOKUP(0,EmTruck20,3)*VLOOKUP(ProjLoc,EmCost,3)*(1+CO2Uprater)^($B71-YearCurrent)+VLOOKUP(0,EmTruck20,4)*VLOOKUP(ProjLoc,EmCost,4)+VLOOKUP(0,EmTruck20,5)*VLOOKUP(ProjLoc,EmCost,5)+VLOOKUP(0,EmTruck20,6)*VLOOKUP(ProjLoc,EmCost,6)+VLOOKUP(0,EmTruck20,7)*VLOOKUP(ProjLoc,EmCost,7)),0)</f>
        <v>0</v>
      </c>
      <c r="T71" s="802">
        <f>IF(INDEX(HwyTransitModelGroup,A50,1)=Hwy,P71*(1-N71)*0.00000110231131*(VLOOKUP(0,EmAuto20,2)*VLOOKUP(ProjLoc,EmCost,2)+VLOOKUP(0,EmAuto20,3)*VLOOKUP(ProjLoc,EmCost,3)*(1+CO2Uprater)^($B71-YearCurrent)+VLOOKUP(0,EmAuto20,4)*VLOOKUP(ProjLoc,EmCost,4)+VLOOKUP(0,EmAuto20,5)*VLOOKUP(ProjLoc,EmCost,5)+VLOOKUP(0,EmAuto20,6)*VLOOKUP(ProjLoc,EmCost,6)+VLOOKUP(0,EmAuto20,7)*VLOOKUP(ProjLoc,EmCost,7))+P71*N71*0.00000110231131*(VLOOKUP(0,EmTruck20,2)*VLOOKUP(ProjLoc,EmCost,2)+VLOOKUP(0,EmTruck20,3)*VLOOKUP(ProjLoc,EmCost,3)*(1+CO2Uprater)^($B71-YearCurrent)+VLOOKUP(0,EmTruck20,4)*VLOOKUP(ProjLoc,EmCost,4)+VLOOKUP(0,EmTruck20,5)*VLOOKUP(ProjLoc,EmCost,5)+VLOOKUP(0,EmTruck20,6)*VLOOKUP(ProjLoc,EmCost,6)+VLOOKUP(0,EmTruck20,7)*VLOOKUP(ProjLoc,EmCost,7)),0)</f>
        <v>0</v>
      </c>
      <c r="U71" s="729">
        <f>IF(INDEX(HwyTransitModelGroup,A50,1)=PARAMETERS!$J$9,C71*0.00000110231131*(VLOOKUP(K71,EmBus20,2)*VLOOKUP(ProjLoc,EmCost,2)+VLOOKUP(K71,EmBus20,3)*VLOOKUP(ProjLoc,EmCost,3)*(1+CO2Uprater)^($B71-YearCurrent)+VLOOKUP(K71,EmBus20,4)*VLOOKUP(ProjLoc,EmCost,4)+VLOOKUP(K71,EmBus20,5)*VLOOKUP(ProjLoc,EmCost,5)+VLOOKUP(K71,EmBus20,6)*VLOOKUP(ProjLoc,EmCost,6)+VLOOKUP(K71,EmBus20,7)*VLOOKUP(ProjLoc,EmCost,7)),0)</f>
        <v>0</v>
      </c>
      <c r="V71" s="802">
        <f>IF(INDEX(HwyTransitModelGroup,A50,1)=PARAMETERS!$J$9,D71*0.00000110231131*(VLOOKUP(L71,EmBus20,2)*VLOOKUP(ProjLoc,EmCost,2)+VLOOKUP(L71,EmBus20,3)*VLOOKUP(ProjLoc,EmCost,3)*(1+CO2Uprater)^($B71-YearCurrent)+VLOOKUP(L71,EmBus20,4)*VLOOKUP(ProjLoc,EmCost,4)+VLOOKUP(L71,EmBus20,5)*VLOOKUP(ProjLoc,EmCost,5)+VLOOKUP(L71,EmBus20,6)*VLOOKUP(ProjLoc,EmCost,6)+VLOOKUP(L71,EmBus20,7)*VLOOKUP(ProjLoc,EmCost,7)),0)</f>
        <v>0</v>
      </c>
      <c r="W71" s="808">
        <f>IF(INDEX(HwyTransitModelGroup,A50,1)=PARAMETERS!$J$10,C71*0.00000110231131*(PARAMETERS!$CQ$29*VLOOKUP(ProjLoc,EmCost,2)+PARAMETERS!$CR$29*VLOOKUP(ProjLoc,EmCost,3)*(1+CO2Uprater)^($B71-YearCurrent)+PARAMETERS!$CS$29*VLOOKUP(ProjLoc,EmCost,4)+PARAMETERS!$CT$29*VLOOKUP(ProjLoc,EmCost,5)+PARAMETERS!$CU$29*VLOOKUP(ProjLoc,EmCost,6)+PARAMETERS!$CV$29*VLOOKUP(ProjLoc,EmCost,7)),0)</f>
        <v>0</v>
      </c>
      <c r="X71" s="844">
        <f>IF(INDEX(HwyTransitModelGroup,A50,1)=PARAMETERS!$J$10,D71*0.00000110231131*(PARAMETERS!$CQ$29*VLOOKUP(ProjLoc,EmCost,2)+PARAMETERS!$CR$29*VLOOKUP(ProjLoc,EmCost,3)*(1+CO2Uprater)^($B71-YearCurrent)+PARAMETERS!$CS$29*VLOOKUP(ProjLoc,EmCost,4)+PARAMETERS!$CT$29*VLOOKUP(ProjLoc,EmCost,5)+PARAMETERS!$CU$29*VLOOKUP(ProjLoc,EmCost,6)+PARAMETERS!$CV$29*VLOOKUP(ProjLoc,EmCost,7)),0)</f>
        <v>0</v>
      </c>
      <c r="Y71" s="808">
        <f>IF(INDEX(HwyTransitModelGroup,A50,1)=PARAMETERS!$J$11,C71*0.00000110231131*(PARAMETERS!$CQ$37*VLOOKUP(ProjLoc,EmCost,2)+PARAMETERS!$CR$37*VLOOKUP(ProjLoc,EmCost,3)*(1+CO2Uprater)^($B71-YearCurrent)+PARAMETERS!$CS$37*VLOOKUP(ProjLoc,EmCost,4)+PARAMETERS!$CT$37*VLOOKUP(ProjLoc,EmCost,5)+PARAMETERS!$CU$37*VLOOKUP(ProjLoc,EmCost,6)+PARAMETERS!$CV$37*VLOOKUP(ProjLoc,EmCost,7)),0)</f>
        <v>0</v>
      </c>
      <c r="Z71" s="844">
        <f>IF(INDEX(HwyTransitModelGroup,A50,1)=PARAMETERS!$J$11,D71*0.00000110231131*(PARAMETERS!$CQ$37*VLOOKUP(ProjLoc,EmCost,2)+PARAMETERS!$CR$37*VLOOKUP(ProjLoc,EmCost,3)*(1+CO2Uprater)^($B71-YearCurrent)+PARAMETERS!$CS$37*VLOOKUP(ProjLoc,EmCost,4)+PARAMETERS!$CT$37*VLOOKUP(ProjLoc,EmCost,5)+PARAMETERS!$CU$37*VLOOKUP(ProjLoc,EmCost,6)+PARAMETERS!$CV$37*VLOOKUP(ProjLoc,EmCost,7)),0)</f>
        <v>0</v>
      </c>
      <c r="AA71" s="369">
        <f t="shared" si="19"/>
        <v>-1414.7649025852479</v>
      </c>
      <c r="AB71" s="370">
        <f t="shared" si="20"/>
        <v>-755.35454816364631</v>
      </c>
      <c r="AC71" s="371"/>
      <c r="AD71" s="401">
        <f>IF(INDEX(HwyTransitModelGroup,A50,1)=Hwy,0.00000110231131*(C71*(1-M71)*VLOOKUP(K71,EmAuto20,2)-D71*(1-N71)*VLOOKUP(L71,EmAuto20,2)+(O71*(1-M71)-P71*(1-N71))*VLOOKUP(0,EmAuto20,2))+0.00000110231131*(C71*M71*VLOOKUP(K71,EmTruck20,2)-D71*N71*VLOOKUP(L71,EmTruck20,2)+(O71*M71-P71*N71)*VLOOKUP(0,EmTruck20,2)),0)</f>
        <v>-2.095524065369299E-3</v>
      </c>
      <c r="AE71" s="863">
        <f>IF(INDEX(HwyTransitModelGroup,A50,1)=Hwy,0.00000110231131*(C71*(1-M71)*VLOOKUP(K71,EmAuto20,3)-D71*(1-N71)*VLOOKUP(L71,EmAuto20,3)+(O71*(1-M71)-P71*(1-N71))*VLOOKUP(0,EmAuto20,3))+0.00000110231131*(C71*M71*VLOOKUP(K71,EmTruck20,3)-D71*N71*VLOOKUP(L71,EmTruck20,3)+(O71*M71-P71*N71)*VLOOKUP(0,EmTruck20,3)),0)</f>
        <v>-18.919121358120673</v>
      </c>
      <c r="AF71" s="861">
        <f>IF(INDEX(HwyTransitModelGroup,A50,1)=Hwy,0.00000110231131*(C71*(1-M71)*VLOOKUP(K71,EmAuto20,4)-D71*(1-N71)*VLOOKUP(L71,EmAuto20,4)+(O71*(1-M71)-P71*(1-N71))*VLOOKUP(0,EmAuto20,4))+0.00000110231131*(C71*M71*VLOOKUP(K71,EmTruck20,4)-D71*N71*VLOOKUP(L71,EmTruck20,4)+(O71*M71-P71*N71)*VLOOKUP(0,EmTruck20,4)),0)</f>
        <v>-8.1945764495177861E-3</v>
      </c>
      <c r="AG71" s="863">
        <f>IF(INDEX(HwyTransitModelGroup,A50,1)=Hwy,0.00000110231131*(C71*(1-M71)*VLOOKUP(K71,EmAuto20,5)-D71*(1-N71)*VLOOKUP(L71,EmAuto20,5)+(O71*(1-M71)-P71*(1-N71))*VLOOKUP(0,EmAuto20,5))+0.00000110231131*(C71*M71*VLOOKUP(K71,EmTruck20,5)-D71*N71*VLOOKUP(L71,EmTruck20,5)+(O71*M71-P71*N71)*VLOOKUP(0,EmTruck20,5)),0)</f>
        <v>-2.8138432728259401E-4</v>
      </c>
      <c r="AH71" s="861">
        <f>IF(INDEX(HwyTransitModelGroup,A50,1)=Hwy,0.00000110231131*(C71*(1-M71)*VLOOKUP(K71,EmAuto20,6)-D71*(1-N71)*VLOOKUP(L71,EmAuto20,6)+(O71*(1-M71)-P71*(1-N71))*VLOOKUP(0,EmAuto20,6))+0.00000110231131*(C71*M71*VLOOKUP(K71,EmTruck20,6)-D71*N71*VLOOKUP(L71,EmTruck20,6)+(O71*M71-P71*N71)*VLOOKUP(0,EmTruck20,6)),0)</f>
        <v>-1.9130763581237209E-4</v>
      </c>
      <c r="AI71" s="863">
        <f>IF(INDEX(HwyTransitModelGroup,A50,1)=Hwy,0.00000110231131*(C71*(1-M71)*VLOOKUP(K71,EmAuto20,7)-D71*(1-N71)*VLOOKUP(L71,EmAuto20,7)+(O71*(1-M71)-P71*(1-N71))*VLOOKUP(0,EmAuto20,7))+0.00000110231131*(C71*M71*VLOOKUP(K71,EmTruck20,7)-D71*N71*VLOOKUP(L71,EmTruck20,7)+(O71*M71-P71*N71)*VLOOKUP(0,EmTruck20,7)),0)</f>
        <v>-7.5032258526437599E-5</v>
      </c>
      <c r="AJ71" s="861">
        <f>IF(INDEX(HwyTransitModelGroup,A50,1)=Hwy,0.00000110231131*(C71*(1-M71)*VLOOKUP(K71,EmAuto20,8)-D71*(1-N71)*VLOOKUP(L71,EmAuto20,8)+(O71*(1-M71)-P71*(1-N71))*VLOOKUP(0,EmAuto20,8))+0.00000110231131*(C71*M71*VLOOKUP(K71,EmTruck20,8)-D71*N71*VLOOKUP(L71,EmTruck20,8)+(O71*M71-P71*N71)*VLOOKUP(0,EmTruck20,8)),0)</f>
        <v>-2.6235765804483174E-4</v>
      </c>
      <c r="AK71" s="401">
        <f>IF(INDEX(HwyTransitModelGroup,A50,1)=PARAMETERS!$J$9,0.00000110231131*(C71*VLOOKUP(K71,EmBus20,2)-D71*VLOOKUP(L71,EmBus20,2)+(O71-P71)*VLOOKUP(0,EmBus20,2)),0)</f>
        <v>0</v>
      </c>
      <c r="AL71" s="863">
        <f>IF(INDEX(HwyTransitModelGroup,A50,1)=PARAMETERS!$J$9,0.00000110231131*(C71*VLOOKUP(K71,EmBus20,3)-D71*VLOOKUP(L71,EmBus20,3)+(O71-P71)*VLOOKUP(0,EmBus20,3)),0)</f>
        <v>0</v>
      </c>
      <c r="AM71" s="861">
        <f>IF(INDEX(HwyTransitModelGroup,A50,1)=PARAMETERS!$J$9,0.00000110231131*(C71*VLOOKUP(K71,EmBus20,4)-D71*VLOOKUP(L71,EmBus20,4)+(O71-P71)*VLOOKUP(0,EmBus20,4)),0)</f>
        <v>0</v>
      </c>
      <c r="AN71" s="863">
        <f>IF(INDEX(HwyTransitModelGroup,A50,1)=PARAMETERS!$J$9,0.00000110231131*(C71*VLOOKUP(K71,EmBus20,5)-D71*VLOOKUP(L71,EmBus20,5)+(O71-P71)*VLOOKUP(0,EmBus20,5)),0)</f>
        <v>0</v>
      </c>
      <c r="AO71" s="861">
        <f>IF(INDEX(HwyTransitModelGroup,A50,1)=PARAMETERS!$J$9,0.00000110231131*(C71*VLOOKUP(K71,EmBus20,6)-D71*VLOOKUP(L71,EmBus20,6)+(O71-P71)*VLOOKUP(0,EmBus20,6)),0)</f>
        <v>0</v>
      </c>
      <c r="AP71" s="863">
        <f>IF(INDEX(HwyTransitModelGroup,A50,1)=PARAMETERS!$J$9,0.00000110231131*(C71*VLOOKUP(K71,EmBus20,7)-D71*VLOOKUP(L71,EmBus20,7)+(O71-P71)*VLOOKUP(0,EmBus20,7)),0)</f>
        <v>0</v>
      </c>
      <c r="AQ71" s="861">
        <f>IF(INDEX(HwyTransitModelGroup,A50,1)=PARAMETERS!$J$9,0.00000110231131*(C71*VLOOKUP(K71,EmBus20,8)-D71*VLOOKUP(L71,EmBus20,8)+(O71-P71)*VLOOKUP(0,EmBus20,8)),0)</f>
        <v>0</v>
      </c>
      <c r="AR71" s="401">
        <f>IF(INDEX(HwyTransitModelGroup,A50,1)=PARAMETERS!$J$10,0.00000110231131*((C71-D71)*PARAMETERS!$CQ$29),0)</f>
        <v>0</v>
      </c>
      <c r="AS71" s="863">
        <f>IF(INDEX(HwyTransitModelGroup,A50,1)=PARAMETERS!$J$10,0.00000110231131*((C71-D71)*PARAMETERS!$CR$29),0)</f>
        <v>0</v>
      </c>
      <c r="AT71" s="861">
        <f>IF(INDEX(HwyTransitModelGroup,A50,1)=PARAMETERS!$J$10,0.00000110231131*((C71-D71)*PARAMETERS!$CS$29),0)</f>
        <v>0</v>
      </c>
      <c r="AU71" s="863">
        <f>IF(INDEX(HwyTransitModelGroup,A50,1)=PARAMETERS!$J$10,0.00000110231131*((C71-D71)*PARAMETERS!$CT$29),0)</f>
        <v>0</v>
      </c>
      <c r="AV71" s="861">
        <f>IF(INDEX(HwyTransitModelGroup,A50,1)=PARAMETERS!$J$10,0.00000110231131*((C71-D71)*PARAMETERS!$CU$29),0)</f>
        <v>0</v>
      </c>
      <c r="AW71" s="863">
        <f>IF(INDEX(HwyTransitModelGroup,A50,1)=PARAMETERS!$J$10,0.00000110231131*((C71-D71)*PARAMETERS!$CV$29),0)</f>
        <v>0</v>
      </c>
      <c r="AX71" s="861">
        <f>IF(INDEX(HwyTransitModelGroup,A50,1)=PARAMETERS!$J$10,0.00000110231131*((C71-D71)*PARAMETERS!$CW$29),0)</f>
        <v>0</v>
      </c>
      <c r="AY71" s="401">
        <f>IF(INDEX(HwyTransitModelGroup,A50,1)=PARAMETERS!$J$11,0.00000110231131*((C71-D71)*PARAMETERS!$CQ$37),0)</f>
        <v>0</v>
      </c>
      <c r="AZ71" s="863">
        <f>IF(INDEX(HwyTransitModelGroup,A50,1)=PARAMETERS!$J$11,0.00000110231131*((C71-D71)*PARAMETERS!$CR$37),0)</f>
        <v>0</v>
      </c>
      <c r="BA71" s="861">
        <f>IF(INDEX(HwyTransitModelGroup,A50,1)=PARAMETERS!$J$11,0.00000110231131*((C71-D71)*PARAMETERS!$CS$37),0)</f>
        <v>0</v>
      </c>
      <c r="BB71" s="863">
        <f>IF(INDEX(HwyTransitModelGroup,A50,1)=PARAMETERS!$J$11,0.00000110231131*((C71-D71)*PARAMETERS!$CT$37),0)</f>
        <v>0</v>
      </c>
      <c r="BC71" s="861">
        <f>IF(INDEX(HwyTransitModelGroup,A50,1)=PARAMETERS!$J$11,0.00000110231131*((C71-D71)*PARAMETERS!$CU$37),0)</f>
        <v>0</v>
      </c>
      <c r="BD71" s="863">
        <f>IF(INDEX(HwyTransitModelGroup,A50,1)=PARAMETERS!$J$11,0.00000110231131*((C71-D71)*PARAMETERS!$CV$37),0)</f>
        <v>0</v>
      </c>
      <c r="BE71" s="865">
        <f>IF(INDEX(HwyTransitModelGroup,A50,1)=PARAMETERS!$J$11,0.00000110231131*((C71-D71)*PARAMETERS!$CW$37),0)</f>
        <v>0</v>
      </c>
      <c r="BF71" s="729">
        <f t="shared" si="21"/>
        <v>-8.9505394467767965E-2</v>
      </c>
      <c r="BG71" s="867">
        <f t="shared" si="22"/>
        <v>-665.5972513352657</v>
      </c>
      <c r="BH71" s="867">
        <f t="shared" si="23"/>
        <v>-66.064785576470982</v>
      </c>
      <c r="BI71" s="867">
        <f t="shared" si="24"/>
        <v>-17.532236945132567</v>
      </c>
      <c r="BJ71" s="867">
        <f t="shared" si="25"/>
        <v>-6.0263019390499366</v>
      </c>
      <c r="BK71" s="869">
        <f t="shared" si="26"/>
        <v>-4.4466973256856945E-2</v>
      </c>
      <c r="BL71" s="392"/>
      <c r="BN71" s="375">
        <f t="shared" si="27"/>
        <v>2039</v>
      </c>
      <c r="BO71" s="871">
        <f t="shared" ca="1" si="17"/>
        <v>-2.6940072107589846E-2</v>
      </c>
      <c r="BP71" s="871">
        <f t="shared" ca="1" si="29"/>
        <v>-2.1273925775928833E-3</v>
      </c>
      <c r="BQ71" s="871">
        <f t="shared" ca="1" si="29"/>
        <v>5.2172018402017892E-2</v>
      </c>
      <c r="BR71" s="871">
        <f t="shared" ca="1" si="29"/>
        <v>0.19092875404821041</v>
      </c>
      <c r="BS71" s="871">
        <f t="shared" ca="1" si="29"/>
        <v>0.82534750142193847</v>
      </c>
      <c r="BT71" s="871">
        <f t="shared" ca="1" si="29"/>
        <v>0.99316609493391894</v>
      </c>
    </row>
    <row r="72" spans="2:76" x14ac:dyDescent="0.25">
      <c r="B72" s="375">
        <f t="shared" si="28"/>
        <v>2039</v>
      </c>
      <c r="C72" s="401">
        <f>MAX(TREND(C56:C57,B56:B57,B72),0)</f>
        <v>677622.5</v>
      </c>
      <c r="D72" s="402">
        <f>MAX(TREND(D56:D57,B56:B57,B72),0)</f>
        <v>690817.25</v>
      </c>
      <c r="E72" s="401">
        <f>MAX(TREND(E56:E57,B56:B57,B72),0)</f>
        <v>12829.75</v>
      </c>
      <c r="F72" s="402">
        <f>MAX(TREND(F56:F57,B56:B57,B72),0)</f>
        <v>12592.5</v>
      </c>
      <c r="G72" s="401">
        <f>MAX(TREND(G56:G57,B56:B57,B72),0)</f>
        <v>0</v>
      </c>
      <c r="H72" s="402">
        <f>MAX(TREND(H56:H57,B56:B57,B72),0)</f>
        <v>0</v>
      </c>
      <c r="I72" s="401">
        <f>MAX(TREND(I56:I57,B56:B57,B72),0)</f>
        <v>0</v>
      </c>
      <c r="J72" s="402">
        <f>MAX(TREND(J56:J57,B56:B57,B72),0)</f>
        <v>0</v>
      </c>
      <c r="K72" s="435">
        <f>IFERROR(IF(INDEX(HwyTransitModelGroup,A50,1)=Hwy,MAX(5,ROUND(C72/E72,1)),MAX(5,ROUND(G72/I72,1))),55)</f>
        <v>52.8</v>
      </c>
      <c r="L72" s="436">
        <f>IFERROR(IF(INDEX(HwyTransitModelGroup,A50,1)=Hwy,MAX(5,ROUND(D72/F72,1)),MAX(5,ROUND(H72/J72,1))),55)</f>
        <v>54.9</v>
      </c>
      <c r="M72" s="405">
        <f>MIN(MAX(TREND(M56:M57,B56:B57,B72),0),1)</f>
        <v>0.24</v>
      </c>
      <c r="N72" s="406">
        <f>MIN(MAX(TREND(N56:N57,B56:B57,B72),0),1)</f>
        <v>0.24</v>
      </c>
      <c r="O72" s="401">
        <f>MAX(TREND(O56:O57,B56:B57,B72),0)</f>
        <v>0</v>
      </c>
      <c r="P72" s="402">
        <f>MAX(TREND(P56:P57,B56:B57,B72),0)</f>
        <v>0</v>
      </c>
      <c r="Q72" s="729">
        <f>IF(INDEX(HwyTransitModelGroup,A50,1)=Hwy,C72*(1-M72)*0.00000110231131*(VLOOKUP(K72,EmAuto20,2)*VLOOKUP(ProjLoc,EmCost,2)+VLOOKUP(K72,EmAuto20,3)*VLOOKUP(ProjLoc,EmCost,3)*(1+CO2Uprater)^($B72-YearCurrent)+VLOOKUP(K72,EmAuto20,4)*VLOOKUP(ProjLoc,EmCost,4)+VLOOKUP(K72,EmAuto20,5)*VLOOKUP(ProjLoc,EmCost,5)+VLOOKUP(K72,EmAuto20,6)*VLOOKUP(ProjLoc,EmCost,6)+VLOOKUP(K72,EmAuto20,7)*VLOOKUP(ProjLoc,EmCost,7))+C72*M72*0.00000110231131*(VLOOKUP(K72,EmTruck20,2)*VLOOKUP(ProjLoc,EmCost,2)+VLOOKUP(K72,EmTruck20,3)*VLOOKUP(ProjLoc,EmCost,3)*(1+CO2Uprater)^($B72-YearCurrent)+VLOOKUP(K72,EmTruck20,4)*VLOOKUP(ProjLoc,EmCost,4)+VLOOKUP(K72,EmTruck20,5)*VLOOKUP(ProjLoc,EmCost,5)+VLOOKUP(K72,EmTruck20,6)*VLOOKUP(ProjLoc,EmCost,6)+VLOOKUP(K72,EmTruck20,7)*VLOOKUP(ProjLoc,EmCost,7)),0)</f>
        <v>17597.865104676741</v>
      </c>
      <c r="R72" s="802">
        <f>IF(INDEX(HwyTransitModelGroup,A50,1)=Hwy,D72*(1-N72)*0.00000110231131*(VLOOKUP(L72,EmAuto20,2)*VLOOKUP(ProjLoc,EmCost,2)+VLOOKUP(L72,EmAuto20,3)*VLOOKUP(ProjLoc,EmCost,3)*(1+CO2Uprater)^($B72-YearCurrent)+VLOOKUP(L72,EmAuto20,4)*VLOOKUP(ProjLoc,EmCost,4)+VLOOKUP(L72,EmAuto20,5)*VLOOKUP(ProjLoc,EmCost,5)+VLOOKUP(L72,EmAuto20,6)*VLOOKUP(ProjLoc,EmCost,6)+VLOOKUP(L72,EmAuto20,7)*VLOOKUP(ProjLoc,EmCost,7))+D72*N72*0.00000110231131*(VLOOKUP(L72,EmTruck20,2)*VLOOKUP(ProjLoc,EmCost,2)+VLOOKUP(L72,EmTruck20,3)*VLOOKUP(ProjLoc,EmCost,3)*(1+CO2Uprater)^($B72-YearCurrent)+VLOOKUP(L72,EmTruck20,4)*VLOOKUP(ProjLoc,EmCost,4)+VLOOKUP(L72,EmTruck20,5)*VLOOKUP(ProjLoc,EmCost,5)+VLOOKUP(L72,EmTruck20,6)*VLOOKUP(ProjLoc,EmCost,6)+VLOOKUP(L72,EmTruck20,7)*VLOOKUP(ProjLoc,EmCost,7)),0)</f>
        <v>19059.958403814453</v>
      </c>
      <c r="S72" s="729">
        <f>IF(INDEX(HwyTransitModelGroup,A50,1)=Hwy,O72*(1-M72)*0.00000110231131*(VLOOKUP(0,EmAuto20,2)*VLOOKUP(ProjLoc,EmCost,2)+VLOOKUP(0,EmAuto20,3)*VLOOKUP(ProjLoc,EmCost,3)*(1+CO2Uprater)^($B72-YearCurrent)+VLOOKUP(0,EmAuto20,4)*VLOOKUP(ProjLoc,EmCost,4)+VLOOKUP(0,EmAuto20,5)*VLOOKUP(ProjLoc,EmCost,5)+VLOOKUP(0,EmAuto20,6)*VLOOKUP(ProjLoc,EmCost,6)+VLOOKUP(0,EmAuto20,7)*VLOOKUP(ProjLoc,EmCost,7))+O72*M72*0.00000110231131*(VLOOKUP(0,EmTruck20,2)*VLOOKUP(ProjLoc,EmCost,2)+VLOOKUP(0,EmTruck20,3)*VLOOKUP(ProjLoc,EmCost,3)*(1+CO2Uprater)^($B72-YearCurrent)+VLOOKUP(0,EmTruck20,4)*VLOOKUP(ProjLoc,EmCost,4)+VLOOKUP(0,EmTruck20,5)*VLOOKUP(ProjLoc,EmCost,5)+VLOOKUP(0,EmTruck20,6)*VLOOKUP(ProjLoc,EmCost,6)+VLOOKUP(0,EmTruck20,7)*VLOOKUP(ProjLoc,EmCost,7)),0)</f>
        <v>0</v>
      </c>
      <c r="T72" s="802">
        <f>IF(INDEX(HwyTransitModelGroup,A50,1)=Hwy,P72*(1-N72)*0.00000110231131*(VLOOKUP(0,EmAuto20,2)*VLOOKUP(ProjLoc,EmCost,2)+VLOOKUP(0,EmAuto20,3)*VLOOKUP(ProjLoc,EmCost,3)*(1+CO2Uprater)^($B72-YearCurrent)+VLOOKUP(0,EmAuto20,4)*VLOOKUP(ProjLoc,EmCost,4)+VLOOKUP(0,EmAuto20,5)*VLOOKUP(ProjLoc,EmCost,5)+VLOOKUP(0,EmAuto20,6)*VLOOKUP(ProjLoc,EmCost,6)+VLOOKUP(0,EmAuto20,7)*VLOOKUP(ProjLoc,EmCost,7))+P72*N72*0.00000110231131*(VLOOKUP(0,EmTruck20,2)*VLOOKUP(ProjLoc,EmCost,2)+VLOOKUP(0,EmTruck20,3)*VLOOKUP(ProjLoc,EmCost,3)*(1+CO2Uprater)^($B72-YearCurrent)+VLOOKUP(0,EmTruck20,4)*VLOOKUP(ProjLoc,EmCost,4)+VLOOKUP(0,EmTruck20,5)*VLOOKUP(ProjLoc,EmCost,5)+VLOOKUP(0,EmTruck20,6)*VLOOKUP(ProjLoc,EmCost,6)+VLOOKUP(0,EmTruck20,7)*VLOOKUP(ProjLoc,EmCost,7)),0)</f>
        <v>0</v>
      </c>
      <c r="U72" s="729">
        <f>IF(INDEX(HwyTransitModelGroup,A50,1)=PARAMETERS!$J$9,C72*0.00000110231131*(VLOOKUP(K72,EmBus20,2)*VLOOKUP(ProjLoc,EmCost,2)+VLOOKUP(K72,EmBus20,3)*VLOOKUP(ProjLoc,EmCost,3)*(1+CO2Uprater)^($B72-YearCurrent)+VLOOKUP(K72,EmBus20,4)*VLOOKUP(ProjLoc,EmCost,4)+VLOOKUP(K72,EmBus20,5)*VLOOKUP(ProjLoc,EmCost,5)+VLOOKUP(K72,EmBus20,6)*VLOOKUP(ProjLoc,EmCost,6)+VLOOKUP(K72,EmBus20,7)*VLOOKUP(ProjLoc,EmCost,7)),0)</f>
        <v>0</v>
      </c>
      <c r="V72" s="802">
        <f>IF(INDEX(HwyTransitModelGroup,A50,1)=PARAMETERS!$J$9,D72*0.00000110231131*(VLOOKUP(L72,EmBus20,2)*VLOOKUP(ProjLoc,EmCost,2)+VLOOKUP(L72,EmBus20,3)*VLOOKUP(ProjLoc,EmCost,3)*(1+CO2Uprater)^($B72-YearCurrent)+VLOOKUP(L72,EmBus20,4)*VLOOKUP(ProjLoc,EmCost,4)+VLOOKUP(L72,EmBus20,5)*VLOOKUP(ProjLoc,EmCost,5)+VLOOKUP(L72,EmBus20,6)*VLOOKUP(ProjLoc,EmCost,6)+VLOOKUP(L72,EmBus20,7)*VLOOKUP(ProjLoc,EmCost,7)),0)</f>
        <v>0</v>
      </c>
      <c r="W72" s="808">
        <f>IF(INDEX(HwyTransitModelGroup,A50,1)=PARAMETERS!$J$10,C72*0.00000110231131*(PARAMETERS!$CQ$29*VLOOKUP(ProjLoc,EmCost,2)+PARAMETERS!$CR$29*VLOOKUP(ProjLoc,EmCost,3)*(1+CO2Uprater)^($B72-YearCurrent)+PARAMETERS!$CS$29*VLOOKUP(ProjLoc,EmCost,4)+PARAMETERS!$CT$29*VLOOKUP(ProjLoc,EmCost,5)+PARAMETERS!$CU$29*VLOOKUP(ProjLoc,EmCost,6)+PARAMETERS!$CV$29*VLOOKUP(ProjLoc,EmCost,7)),0)</f>
        <v>0</v>
      </c>
      <c r="X72" s="844">
        <f>IF(INDEX(HwyTransitModelGroup,A50,1)=PARAMETERS!$J$10,D72*0.00000110231131*(PARAMETERS!$CQ$29*VLOOKUP(ProjLoc,EmCost,2)+PARAMETERS!$CR$29*VLOOKUP(ProjLoc,EmCost,3)*(1+CO2Uprater)^($B72-YearCurrent)+PARAMETERS!$CS$29*VLOOKUP(ProjLoc,EmCost,4)+PARAMETERS!$CT$29*VLOOKUP(ProjLoc,EmCost,5)+PARAMETERS!$CU$29*VLOOKUP(ProjLoc,EmCost,6)+PARAMETERS!$CV$29*VLOOKUP(ProjLoc,EmCost,7)),0)</f>
        <v>0</v>
      </c>
      <c r="Y72" s="808">
        <f>IF(INDEX(HwyTransitModelGroup,A50,1)=PARAMETERS!$J$11,C72*0.00000110231131*(PARAMETERS!$CQ$37*VLOOKUP(ProjLoc,EmCost,2)+PARAMETERS!$CR$37*VLOOKUP(ProjLoc,EmCost,3)*(1+CO2Uprater)^($B72-YearCurrent)+PARAMETERS!$CS$37*VLOOKUP(ProjLoc,EmCost,4)+PARAMETERS!$CT$37*VLOOKUP(ProjLoc,EmCost,5)+PARAMETERS!$CU$37*VLOOKUP(ProjLoc,EmCost,6)+PARAMETERS!$CV$37*VLOOKUP(ProjLoc,EmCost,7)),0)</f>
        <v>0</v>
      </c>
      <c r="Z72" s="844">
        <f>IF(INDEX(HwyTransitModelGroup,A50,1)=PARAMETERS!$J$11,D72*0.00000110231131*(PARAMETERS!$CQ$37*VLOOKUP(ProjLoc,EmCost,2)+PARAMETERS!$CR$37*VLOOKUP(ProjLoc,EmCost,3)*(1+CO2Uprater)^($B72-YearCurrent)+PARAMETERS!$CS$37*VLOOKUP(ProjLoc,EmCost,4)+PARAMETERS!$CT$37*VLOOKUP(ProjLoc,EmCost,5)+PARAMETERS!$CU$37*VLOOKUP(ProjLoc,EmCost,6)+PARAMETERS!$CV$37*VLOOKUP(ProjLoc,EmCost,7)),0)</f>
        <v>0</v>
      </c>
      <c r="AA72" s="369">
        <f t="shared" si="19"/>
        <v>-1462.0932991377122</v>
      </c>
      <c r="AB72" s="370">
        <f t="shared" si="20"/>
        <v>-750.59958271645053</v>
      </c>
      <c r="AC72" s="371"/>
      <c r="AD72" s="401">
        <f>IF(INDEX(HwyTransitModelGroup,A50,1)=Hwy,0.00000110231131*(C72*(1-M72)*VLOOKUP(K72,EmAuto20,2)-D72*(1-N72)*VLOOKUP(L72,EmAuto20,2)+(O72*(1-M72)-P72*(1-N72))*VLOOKUP(0,EmAuto20,2))+0.00000110231131*(C72*M72*VLOOKUP(K72,EmTruck20,2)-D72*N72*VLOOKUP(L72,EmTruck20,2)+(O72*M72-P72*N72)*VLOOKUP(0,EmTruck20,2)),0)</f>
        <v>-2.1273925775928833E-3</v>
      </c>
      <c r="AE72" s="863">
        <f>IF(INDEX(HwyTransitModelGroup,A50,1)=Hwy,0.00000110231131*(C72*(1-M72)*VLOOKUP(K72,EmAuto20,3)-D72*(1-N72)*VLOOKUP(L72,EmAuto20,3)+(O72*(1-M72)-P72*(1-N72))*VLOOKUP(0,EmAuto20,3))+0.00000110231131*(C72*M72*VLOOKUP(K72,EmTruck20,3)-D72*N72*VLOOKUP(L72,EmTruck20,3)+(O72*M72-P72*N72)*VLOOKUP(0,EmTruck20,3)),0)</f>
        <v>-19.213388361278298</v>
      </c>
      <c r="AF72" s="861">
        <f>IF(INDEX(HwyTransitModelGroup,A50,1)=Hwy,0.00000110231131*(C72*(1-M72)*VLOOKUP(K72,EmAuto20,4)-D72*(1-N72)*VLOOKUP(L72,EmAuto20,4)+(O72*(1-M72)-P72*(1-N72))*VLOOKUP(0,EmAuto20,4))+0.00000110231131*(C72*M72*VLOOKUP(K72,EmTruck20,4)-D72*N72*VLOOKUP(L72,EmTruck20,4)+(O72*M72-P72*N72)*VLOOKUP(0,EmTruck20,4)),0)</f>
        <v>-8.3221529350999204E-3</v>
      </c>
      <c r="AG72" s="863">
        <f>IF(INDEX(HwyTransitModelGroup,A50,1)=Hwy,0.00000110231131*(C72*(1-M72)*VLOOKUP(K72,EmAuto20,5)-D72*(1-N72)*VLOOKUP(L72,EmAuto20,5)+(O72*(1-M72)-P72*(1-N72))*VLOOKUP(0,EmAuto20,5))+0.00000110231131*(C72*M72*VLOOKUP(K72,EmTruck20,5)-D72*N72*VLOOKUP(L72,EmTruck20,5)+(O72*M72-P72*N72)*VLOOKUP(0,EmTruck20,5)),0)</f>
        <v>-2.8576649314295232E-4</v>
      </c>
      <c r="AH72" s="861">
        <f>IF(INDEX(HwyTransitModelGroup,A50,1)=Hwy,0.00000110231131*(C72*(1-M72)*VLOOKUP(K72,EmAuto20,6)-D72*(1-N72)*VLOOKUP(L72,EmAuto20,6)+(O72*(1-M72)-P72*(1-N72))*VLOOKUP(0,EmAuto20,6))+0.00000110231131*(C72*M72*VLOOKUP(K72,EmTruck20,6)-D72*N72*VLOOKUP(L72,EmTruck20,6)+(O72*M72-P72*N72)*VLOOKUP(0,EmTruck20,6)),0)</f>
        <v>-1.9428361069234626E-4</v>
      </c>
      <c r="AI72" s="863">
        <f>IF(INDEX(HwyTransitModelGroup,A50,1)=Hwy,0.00000110231131*(C72*(1-M72)*VLOOKUP(K72,EmAuto20,7)-D72*(1-N72)*VLOOKUP(L72,EmAuto20,7)+(O72*(1-M72)-P72*(1-N72))*VLOOKUP(0,EmAuto20,7))+0.00000110231131*(C72*M72*VLOOKUP(K72,EmTruck20,7)-D72*N72*VLOOKUP(L72,EmTruck20,7)+(O72*M72-P72*N72)*VLOOKUP(0,EmTruck20,7)),0)</f>
        <v>-7.6189801144624678E-5</v>
      </c>
      <c r="AJ72" s="861">
        <f>IF(INDEX(HwyTransitModelGroup,A50,1)=Hwy,0.00000110231131*(C72*(1-M72)*VLOOKUP(K72,EmAuto20,8)-D72*(1-N72)*VLOOKUP(L72,EmAuto20,8)+(O72*(1-M72)-P72*(1-N72))*VLOOKUP(0,EmAuto20,8))+0.00000110231131*(C72*M72*VLOOKUP(K72,EmTruck20,8)-D72*N72*VLOOKUP(L72,EmTruck20,8)+(O72*M72-P72*N72)*VLOOKUP(0,EmTruck20,8)),0)</f>
        <v>-2.664433771199692E-4</v>
      </c>
      <c r="AK72" s="401">
        <f>IF(INDEX(HwyTransitModelGroup,A50,1)=PARAMETERS!$J$9,0.00000110231131*(C72*VLOOKUP(K72,EmBus20,2)-D72*VLOOKUP(L72,EmBus20,2)+(O72-P72)*VLOOKUP(0,EmBus20,2)),0)</f>
        <v>0</v>
      </c>
      <c r="AL72" s="863">
        <f>IF(INDEX(HwyTransitModelGroup,A50,1)=PARAMETERS!$J$9,0.00000110231131*(C72*VLOOKUP(K72,EmBus20,3)-D72*VLOOKUP(L72,EmBus20,3)+(O72-P72)*VLOOKUP(0,EmBus20,3)),0)</f>
        <v>0</v>
      </c>
      <c r="AM72" s="861">
        <f>IF(INDEX(HwyTransitModelGroup,A50,1)=PARAMETERS!$J$9,0.00000110231131*(C72*VLOOKUP(K72,EmBus20,4)-D72*VLOOKUP(L72,EmBus20,4)+(O72-P72)*VLOOKUP(0,EmBus20,4)),0)</f>
        <v>0</v>
      </c>
      <c r="AN72" s="863">
        <f>IF(INDEX(HwyTransitModelGroup,A50,1)=PARAMETERS!$J$9,0.00000110231131*(C72*VLOOKUP(K72,EmBus20,5)-D72*VLOOKUP(L72,EmBus20,5)+(O72-P72)*VLOOKUP(0,EmBus20,5)),0)</f>
        <v>0</v>
      </c>
      <c r="AO72" s="861">
        <f>IF(INDEX(HwyTransitModelGroup,A50,1)=PARAMETERS!$J$9,0.00000110231131*(C72*VLOOKUP(K72,EmBus20,6)-D72*VLOOKUP(L72,EmBus20,6)+(O72-P72)*VLOOKUP(0,EmBus20,6)),0)</f>
        <v>0</v>
      </c>
      <c r="AP72" s="863">
        <f>IF(INDEX(HwyTransitModelGroup,A50,1)=PARAMETERS!$J$9,0.00000110231131*(C72*VLOOKUP(K72,EmBus20,7)-D72*VLOOKUP(L72,EmBus20,7)+(O72-P72)*VLOOKUP(0,EmBus20,7)),0)</f>
        <v>0</v>
      </c>
      <c r="AQ72" s="861">
        <f>IF(INDEX(HwyTransitModelGroup,A50,1)=PARAMETERS!$J$9,0.00000110231131*(C72*VLOOKUP(K72,EmBus20,8)-D72*VLOOKUP(L72,EmBus20,8)+(O72-P72)*VLOOKUP(0,EmBus20,8)),0)</f>
        <v>0</v>
      </c>
      <c r="AR72" s="401">
        <f>IF(INDEX(HwyTransitModelGroup,A50,1)=PARAMETERS!$J$10,0.00000110231131*((C72-D72)*PARAMETERS!$CQ$29),0)</f>
        <v>0</v>
      </c>
      <c r="AS72" s="863">
        <f>IF(INDEX(HwyTransitModelGroup,A50,1)=PARAMETERS!$J$10,0.00000110231131*((C72-D72)*PARAMETERS!$CR$29),0)</f>
        <v>0</v>
      </c>
      <c r="AT72" s="861">
        <f>IF(INDEX(HwyTransitModelGroup,A50,1)=PARAMETERS!$J$10,0.00000110231131*((C72-D72)*PARAMETERS!$CS$29),0)</f>
        <v>0</v>
      </c>
      <c r="AU72" s="863">
        <f>IF(INDEX(HwyTransitModelGroup,A50,1)=PARAMETERS!$J$10,0.00000110231131*((C72-D72)*PARAMETERS!$CT$29),0)</f>
        <v>0</v>
      </c>
      <c r="AV72" s="861">
        <f>IF(INDEX(HwyTransitModelGroup,A50,1)=PARAMETERS!$J$10,0.00000110231131*((C72-D72)*PARAMETERS!$CU$29),0)</f>
        <v>0</v>
      </c>
      <c r="AW72" s="863">
        <f>IF(INDEX(HwyTransitModelGroup,A50,1)=PARAMETERS!$J$10,0.00000110231131*((C72-D72)*PARAMETERS!$CV$29),0)</f>
        <v>0</v>
      </c>
      <c r="AX72" s="861">
        <f>IF(INDEX(HwyTransitModelGroup,A50,1)=PARAMETERS!$J$10,0.00000110231131*((C72-D72)*PARAMETERS!$CW$29),0)</f>
        <v>0</v>
      </c>
      <c r="AY72" s="401">
        <f>IF(INDEX(HwyTransitModelGroup,A50,1)=PARAMETERS!$J$11,0.00000110231131*((C72-D72)*PARAMETERS!$CQ$37),0)</f>
        <v>0</v>
      </c>
      <c r="AZ72" s="863">
        <f>IF(INDEX(HwyTransitModelGroup,A50,1)=PARAMETERS!$J$11,0.00000110231131*((C72-D72)*PARAMETERS!$CR$37),0)</f>
        <v>0</v>
      </c>
      <c r="BA72" s="861">
        <f>IF(INDEX(HwyTransitModelGroup,A50,1)=PARAMETERS!$J$11,0.00000110231131*((C72-D72)*PARAMETERS!$CS$37),0)</f>
        <v>0</v>
      </c>
      <c r="BB72" s="863">
        <f>IF(INDEX(HwyTransitModelGroup,A50,1)=PARAMETERS!$J$11,0.00000110231131*((C72-D72)*PARAMETERS!$CT$37),0)</f>
        <v>0</v>
      </c>
      <c r="BC72" s="861">
        <f>IF(INDEX(HwyTransitModelGroup,A50,1)=PARAMETERS!$J$11,0.00000110231131*((C72-D72)*PARAMETERS!$CU$37),0)</f>
        <v>0</v>
      </c>
      <c r="BD72" s="863">
        <f>IF(INDEX(HwyTransitModelGroup,A50,1)=PARAMETERS!$J$11,0.00000110231131*((C72-D72)*PARAMETERS!$CV$37),0)</f>
        <v>0</v>
      </c>
      <c r="BE72" s="865">
        <f>IF(INDEX(HwyTransitModelGroup,A50,1)=PARAMETERS!$J$11,0.00000110231131*((C72-D72)*PARAMETERS!$CW$37),0)</f>
        <v>0</v>
      </c>
      <c r="BF72" s="729">
        <f t="shared" si="21"/>
        <v>-8.7371714620785801E-2</v>
      </c>
      <c r="BG72" s="867">
        <f t="shared" si="22"/>
        <v>-662.95087859855289</v>
      </c>
      <c r="BH72" s="867">
        <f t="shared" si="23"/>
        <v>-64.512797037982949</v>
      </c>
      <c r="BI72" s="867">
        <f t="shared" si="24"/>
        <v>-17.120458578793439</v>
      </c>
      <c r="BJ72" s="867">
        <f t="shared" si="25"/>
        <v>-5.8846604623789585</v>
      </c>
      <c r="BK72" s="869">
        <f t="shared" si="26"/>
        <v>-4.3416324121002749E-2</v>
      </c>
      <c r="BL72" s="392"/>
      <c r="BN72" s="375">
        <f t="shared" si="27"/>
        <v>2040</v>
      </c>
      <c r="BO72" s="871">
        <f t="shared" ca="1" si="17"/>
        <v>-3.0059076848153739E-2</v>
      </c>
      <c r="BP72" s="871">
        <f t="shared" ca="1" si="29"/>
        <v>-2.1592610898165036E-3</v>
      </c>
      <c r="BQ72" s="871">
        <f t="shared" ca="1" si="29"/>
        <v>5.2968052132032366E-2</v>
      </c>
      <c r="BR72" s="871">
        <f t="shared" ca="1" si="29"/>
        <v>0.19304270649784239</v>
      </c>
      <c r="BS72" s="871">
        <f t="shared" ca="1" si="29"/>
        <v>0.85208273942281221</v>
      </c>
      <c r="BT72" s="871">
        <f t="shared" ca="1" si="29"/>
        <v>1.0149314516664867</v>
      </c>
    </row>
    <row r="73" spans="2:76" x14ac:dyDescent="0.25">
      <c r="B73" s="375">
        <f t="shared" si="28"/>
        <v>2040</v>
      </c>
      <c r="C73" s="401">
        <f>MAX(TREND(C56:C57,B56:B57,B73),0)</f>
        <v>688025</v>
      </c>
      <c r="D73" s="402">
        <f>MAX(TREND(D56:D57,B56:B57,B73),0)</f>
        <v>701420.5</v>
      </c>
      <c r="E73" s="401">
        <f>MAX(TREND(E56:E57,B56:B57,B73),0)</f>
        <v>13030.5</v>
      </c>
      <c r="F73" s="402">
        <f>MAX(TREND(F56:F57,B56:B57,B73),0)</f>
        <v>12775</v>
      </c>
      <c r="G73" s="401">
        <f>MAX(TREND(G56:G57,B56:B57,B73),0)</f>
        <v>0</v>
      </c>
      <c r="H73" s="402">
        <f>MAX(TREND(H56:H57,B56:B57,B73),0)</f>
        <v>0</v>
      </c>
      <c r="I73" s="401">
        <f>MAX(TREND(I56:I57,B56:B57,B73),0)</f>
        <v>0</v>
      </c>
      <c r="J73" s="402">
        <f>MAX(TREND(J56:J57,B56:B57,B73),0)</f>
        <v>0</v>
      </c>
      <c r="K73" s="435">
        <f>IFERROR(IF(INDEX(HwyTransitModelGroup,A50,1)=Hwy,MAX(5,ROUND(C73/E73,1)),MAX(5,ROUND(G73/I73,1))),55)</f>
        <v>52.8</v>
      </c>
      <c r="L73" s="436">
        <f>IFERROR(IF(INDEX(HwyTransitModelGroup,A50,1)=Hwy,MAX(5,ROUND(D73/F73,1)),MAX(5,ROUND(H73/J73,1))),55)</f>
        <v>54.9</v>
      </c>
      <c r="M73" s="405">
        <f>MIN(MAX(TREND(M56:M57,B56:B57,B73),0),1)</f>
        <v>0.24</v>
      </c>
      <c r="N73" s="406">
        <f>MIN(MAX(TREND(N56:N57,B56:B57,B73),0),1)</f>
        <v>0.24</v>
      </c>
      <c r="O73" s="401">
        <f>MAX(TREND(O56:O57,B56:B57,B73),0)</f>
        <v>0</v>
      </c>
      <c r="P73" s="402">
        <f>MAX(TREND(P56:P57,B56:B57,B73),0)</f>
        <v>0</v>
      </c>
      <c r="Q73" s="729">
        <f>IF(INDEX(HwyTransitModelGroup,A50,1)=Hwy,C73*(1-M73)*0.00000110231131*(VLOOKUP(K73,EmAuto20,2)*VLOOKUP(ProjLoc,EmCost,2)+VLOOKUP(K73,EmAuto20,3)*VLOOKUP(ProjLoc,EmCost,3)*(1+CO2Uprater)^($B73-YearCurrent)+VLOOKUP(K73,EmAuto20,4)*VLOOKUP(ProjLoc,EmCost,4)+VLOOKUP(K73,EmAuto20,5)*VLOOKUP(ProjLoc,EmCost,5)+VLOOKUP(K73,EmAuto20,6)*VLOOKUP(ProjLoc,EmCost,6)+VLOOKUP(K73,EmAuto20,7)*VLOOKUP(ProjLoc,EmCost,7))+C73*M73*0.00000110231131*(VLOOKUP(K73,EmTruck20,2)*VLOOKUP(ProjLoc,EmCost,2)+VLOOKUP(K73,EmTruck20,3)*VLOOKUP(ProjLoc,EmCost,3)*(1+CO2Uprater)^($B73-YearCurrent)+VLOOKUP(K73,EmTruck20,4)*VLOOKUP(ProjLoc,EmCost,4)+VLOOKUP(K73,EmTruck20,5)*VLOOKUP(ProjLoc,EmCost,5)+VLOOKUP(K73,EmTruck20,6)*VLOOKUP(ProjLoc,EmCost,6)+VLOOKUP(K73,EmTruck20,7)*VLOOKUP(ProjLoc,EmCost,7)),0)</f>
        <v>18199.760036263626</v>
      </c>
      <c r="R73" s="802">
        <f>IF(INDEX(HwyTransitModelGroup,A50,1)=Hwy,D73*(1-N73)*0.00000110231131*(VLOOKUP(L73,EmAuto20,2)*VLOOKUP(ProjLoc,EmCost,2)+VLOOKUP(L73,EmAuto20,3)*VLOOKUP(ProjLoc,EmCost,3)*(1+CO2Uprater)^($B73-YearCurrent)+VLOOKUP(L73,EmAuto20,4)*VLOOKUP(ProjLoc,EmCost,4)+VLOOKUP(L73,EmAuto20,5)*VLOOKUP(ProjLoc,EmCost,5)+VLOOKUP(L73,EmAuto20,6)*VLOOKUP(ProjLoc,EmCost,6)+VLOOKUP(L73,EmAuto20,7)*VLOOKUP(ProjLoc,EmCost,7))+D73*N73*0.00000110231131*(VLOOKUP(L73,EmTruck20,2)*VLOOKUP(ProjLoc,EmCost,2)+VLOOKUP(L73,EmTruck20,3)*VLOOKUP(ProjLoc,EmCost,3)*(1+CO2Uprater)^($B73-YearCurrent)+VLOOKUP(L73,EmTruck20,4)*VLOOKUP(ProjLoc,EmCost,4)+VLOOKUP(L73,EmTruck20,5)*VLOOKUP(ProjLoc,EmCost,5)+VLOOKUP(L73,EmTruck20,6)*VLOOKUP(ProjLoc,EmCost,6)+VLOOKUP(L73,EmTruck20,7)*VLOOKUP(ProjLoc,EmCost,7)),0)</f>
        <v>19710.471518525945</v>
      </c>
      <c r="S73" s="729">
        <f>IF(INDEX(HwyTransitModelGroup,A50,1)=Hwy,O73*(1-M73)*0.00000110231131*(VLOOKUP(0,EmAuto20,2)*VLOOKUP(ProjLoc,EmCost,2)+VLOOKUP(0,EmAuto20,3)*VLOOKUP(ProjLoc,EmCost,3)*(1+CO2Uprater)^($B73-YearCurrent)+VLOOKUP(0,EmAuto20,4)*VLOOKUP(ProjLoc,EmCost,4)+VLOOKUP(0,EmAuto20,5)*VLOOKUP(ProjLoc,EmCost,5)+VLOOKUP(0,EmAuto20,6)*VLOOKUP(ProjLoc,EmCost,6)+VLOOKUP(0,EmAuto20,7)*VLOOKUP(ProjLoc,EmCost,7))+O73*M73*0.00000110231131*(VLOOKUP(0,EmTruck20,2)*VLOOKUP(ProjLoc,EmCost,2)+VLOOKUP(0,EmTruck20,3)*VLOOKUP(ProjLoc,EmCost,3)*(1+CO2Uprater)^($B73-YearCurrent)+VLOOKUP(0,EmTruck20,4)*VLOOKUP(ProjLoc,EmCost,4)+VLOOKUP(0,EmTruck20,5)*VLOOKUP(ProjLoc,EmCost,5)+VLOOKUP(0,EmTruck20,6)*VLOOKUP(ProjLoc,EmCost,6)+VLOOKUP(0,EmTruck20,7)*VLOOKUP(ProjLoc,EmCost,7)),0)</f>
        <v>0</v>
      </c>
      <c r="T73" s="802">
        <f>IF(INDEX(HwyTransitModelGroup,A50,1)=Hwy,P73*(1-N73)*0.00000110231131*(VLOOKUP(0,EmAuto20,2)*VLOOKUP(ProjLoc,EmCost,2)+VLOOKUP(0,EmAuto20,3)*VLOOKUP(ProjLoc,EmCost,3)*(1+CO2Uprater)^($B73-YearCurrent)+VLOOKUP(0,EmAuto20,4)*VLOOKUP(ProjLoc,EmCost,4)+VLOOKUP(0,EmAuto20,5)*VLOOKUP(ProjLoc,EmCost,5)+VLOOKUP(0,EmAuto20,6)*VLOOKUP(ProjLoc,EmCost,6)+VLOOKUP(0,EmAuto20,7)*VLOOKUP(ProjLoc,EmCost,7))+P73*N73*0.00000110231131*(VLOOKUP(0,EmTruck20,2)*VLOOKUP(ProjLoc,EmCost,2)+VLOOKUP(0,EmTruck20,3)*VLOOKUP(ProjLoc,EmCost,3)*(1+CO2Uprater)^($B73-YearCurrent)+VLOOKUP(0,EmTruck20,4)*VLOOKUP(ProjLoc,EmCost,4)+VLOOKUP(0,EmTruck20,5)*VLOOKUP(ProjLoc,EmCost,5)+VLOOKUP(0,EmTruck20,6)*VLOOKUP(ProjLoc,EmCost,6)+VLOOKUP(0,EmTruck20,7)*VLOOKUP(ProjLoc,EmCost,7)),0)</f>
        <v>0</v>
      </c>
      <c r="U73" s="729">
        <f>IF(INDEX(HwyTransitModelGroup,A50,1)=PARAMETERS!$J$9,C73*0.00000110231131*(VLOOKUP(K73,EmBus20,2)*VLOOKUP(ProjLoc,EmCost,2)+VLOOKUP(K73,EmBus20,3)*VLOOKUP(ProjLoc,EmCost,3)*(1+CO2Uprater)^($B73-YearCurrent)+VLOOKUP(K73,EmBus20,4)*VLOOKUP(ProjLoc,EmCost,4)+VLOOKUP(K73,EmBus20,5)*VLOOKUP(ProjLoc,EmCost,5)+VLOOKUP(K73,EmBus20,6)*VLOOKUP(ProjLoc,EmCost,6)+VLOOKUP(K73,EmBus20,7)*VLOOKUP(ProjLoc,EmCost,7)),0)</f>
        <v>0</v>
      </c>
      <c r="V73" s="802">
        <f>IF(INDEX(HwyTransitModelGroup,A50,1)=PARAMETERS!$J$9,D73*0.00000110231131*(VLOOKUP(L73,EmBus20,2)*VLOOKUP(ProjLoc,EmCost,2)+VLOOKUP(L73,EmBus20,3)*VLOOKUP(ProjLoc,EmCost,3)*(1+CO2Uprater)^($B73-YearCurrent)+VLOOKUP(L73,EmBus20,4)*VLOOKUP(ProjLoc,EmCost,4)+VLOOKUP(L73,EmBus20,5)*VLOOKUP(ProjLoc,EmCost,5)+VLOOKUP(L73,EmBus20,6)*VLOOKUP(ProjLoc,EmCost,6)+VLOOKUP(L73,EmBus20,7)*VLOOKUP(ProjLoc,EmCost,7)),0)</f>
        <v>0</v>
      </c>
      <c r="W73" s="808">
        <f>IF(INDEX(HwyTransitModelGroup,A50,1)=PARAMETERS!$J$10,C73*0.00000110231131*(PARAMETERS!$CQ$29*VLOOKUP(ProjLoc,EmCost,2)+PARAMETERS!$CR$29*VLOOKUP(ProjLoc,EmCost,3)*(1+CO2Uprater)^($B73-YearCurrent)+PARAMETERS!$CS$29*VLOOKUP(ProjLoc,EmCost,4)+PARAMETERS!$CT$29*VLOOKUP(ProjLoc,EmCost,5)+PARAMETERS!$CU$29*VLOOKUP(ProjLoc,EmCost,6)+PARAMETERS!$CV$29*VLOOKUP(ProjLoc,EmCost,7)),0)</f>
        <v>0</v>
      </c>
      <c r="X73" s="844">
        <f>IF(INDEX(HwyTransitModelGroup,A50,1)=PARAMETERS!$J$10,D73*0.00000110231131*(PARAMETERS!$CQ$29*VLOOKUP(ProjLoc,EmCost,2)+PARAMETERS!$CR$29*VLOOKUP(ProjLoc,EmCost,3)*(1+CO2Uprater)^($B73-YearCurrent)+PARAMETERS!$CS$29*VLOOKUP(ProjLoc,EmCost,4)+PARAMETERS!$CT$29*VLOOKUP(ProjLoc,EmCost,5)+PARAMETERS!$CU$29*VLOOKUP(ProjLoc,EmCost,6)+PARAMETERS!$CV$29*VLOOKUP(ProjLoc,EmCost,7)),0)</f>
        <v>0</v>
      </c>
      <c r="Y73" s="808">
        <f>IF(INDEX(HwyTransitModelGroup,A50,1)=PARAMETERS!$J$11,C73*0.00000110231131*(PARAMETERS!$CQ$37*VLOOKUP(ProjLoc,EmCost,2)+PARAMETERS!$CR$37*VLOOKUP(ProjLoc,EmCost,3)*(1+CO2Uprater)^($B73-YearCurrent)+PARAMETERS!$CS$37*VLOOKUP(ProjLoc,EmCost,4)+PARAMETERS!$CT$37*VLOOKUP(ProjLoc,EmCost,5)+PARAMETERS!$CU$37*VLOOKUP(ProjLoc,EmCost,6)+PARAMETERS!$CV$37*VLOOKUP(ProjLoc,EmCost,7)),0)</f>
        <v>0</v>
      </c>
      <c r="Z73" s="844">
        <f>IF(INDEX(HwyTransitModelGroup,A50,1)=PARAMETERS!$J$11,D73*0.00000110231131*(PARAMETERS!$CQ$37*VLOOKUP(ProjLoc,EmCost,2)+PARAMETERS!$CR$37*VLOOKUP(ProjLoc,EmCost,3)*(1+CO2Uprater)^($B73-YearCurrent)+PARAMETERS!$CS$37*VLOOKUP(ProjLoc,EmCost,4)+PARAMETERS!$CT$37*VLOOKUP(ProjLoc,EmCost,5)+PARAMETERS!$CU$37*VLOOKUP(ProjLoc,EmCost,6)+PARAMETERS!$CV$37*VLOOKUP(ProjLoc,EmCost,7)),0)</f>
        <v>0</v>
      </c>
      <c r="AA73" s="369">
        <f t="shared" si="19"/>
        <v>-1510.7114822623189</v>
      </c>
      <c r="AB73" s="370">
        <f t="shared" si="20"/>
        <v>-745.72967037937076</v>
      </c>
      <c r="AC73" s="371"/>
      <c r="AD73" s="401">
        <f>IF(INDEX(HwyTransitModelGroup,A50,1)=Hwy,0.00000110231131*(C73*(1-M73)*VLOOKUP(K73,EmAuto20,2)-D73*(1-N73)*VLOOKUP(L73,EmAuto20,2)+(O73*(1-M73)-P73*(1-N73))*VLOOKUP(0,EmAuto20,2))+0.00000110231131*(C73*M73*VLOOKUP(K73,EmTruck20,2)-D73*N73*VLOOKUP(L73,EmTruck20,2)+(O73*M73-P73*N73)*VLOOKUP(0,EmTruck20,2)),0)</f>
        <v>-2.1592610898165036E-3</v>
      </c>
      <c r="AE73" s="863">
        <f>IF(INDEX(HwyTransitModelGroup,A50,1)=Hwy,0.00000110231131*(C73*(1-M73)*VLOOKUP(K73,EmAuto20,3)-D73*(1-N73)*VLOOKUP(L73,EmAuto20,3)+(O73*(1-M73)-P73*(1-N73))*VLOOKUP(0,EmAuto20,3))+0.00000110231131*(C73*M73*VLOOKUP(K73,EmTruck20,3)-D73*N73*VLOOKUP(L73,EmTruck20,3)+(O73*M73-P73*N73)*VLOOKUP(0,EmTruck20,3)),0)</f>
        <v>-19.507655364435923</v>
      </c>
      <c r="AF73" s="861">
        <f>IF(INDEX(HwyTransitModelGroup,A50,1)=Hwy,0.00000110231131*(C73*(1-M73)*VLOOKUP(K73,EmAuto20,4)-D73*(1-N73)*VLOOKUP(L73,EmAuto20,4)+(O73*(1-M73)-P73*(1-N73))*VLOOKUP(0,EmAuto20,4))+0.00000110231131*(C73*M73*VLOOKUP(K73,EmTruck20,4)-D73*N73*VLOOKUP(L73,EmTruck20,4)+(O73*M73-P73*N73)*VLOOKUP(0,EmTruck20,4)),0)</f>
        <v>-8.4497294206820634E-3</v>
      </c>
      <c r="AG73" s="863">
        <f>IF(INDEX(HwyTransitModelGroup,A50,1)=Hwy,0.00000110231131*(C73*(1-M73)*VLOOKUP(K73,EmAuto20,5)-D73*(1-N73)*VLOOKUP(L73,EmAuto20,5)+(O73*(1-M73)-P73*(1-N73))*VLOOKUP(0,EmAuto20,5))+0.00000110231131*(C73*M73*VLOOKUP(K73,EmTruck20,5)-D73*N73*VLOOKUP(L73,EmTruck20,5)+(O73*M73-P73*N73)*VLOOKUP(0,EmTruck20,5)),0)</f>
        <v>-2.901486590033108E-4</v>
      </c>
      <c r="AH73" s="861">
        <f>IF(INDEX(HwyTransitModelGroup,A50,1)=Hwy,0.00000110231131*(C73*(1-M73)*VLOOKUP(K73,EmAuto20,6)-D73*(1-N73)*VLOOKUP(L73,EmAuto20,6)+(O73*(1-M73)-P73*(1-N73))*VLOOKUP(0,EmAuto20,6))+0.00000110231131*(C73*M73*VLOOKUP(K73,EmTruck20,6)-D73*N73*VLOOKUP(L73,EmTruck20,6)+(O73*M73-P73*N73)*VLOOKUP(0,EmTruck20,6)),0)</f>
        <v>-1.9725958557232037E-4</v>
      </c>
      <c r="AI73" s="863">
        <f>IF(INDEX(HwyTransitModelGroup,A50,1)=Hwy,0.00000110231131*(C73*(1-M73)*VLOOKUP(K73,EmAuto20,7)-D73*(1-N73)*VLOOKUP(L73,EmAuto20,7)+(O73*(1-M73)-P73*(1-N73))*VLOOKUP(0,EmAuto20,7))+0.00000110231131*(C73*M73*VLOOKUP(K73,EmTruck20,7)-D73*N73*VLOOKUP(L73,EmTruck20,7)+(O73*M73-P73*N73)*VLOOKUP(0,EmTruck20,7)),0)</f>
        <v>-7.7347343762812016E-5</v>
      </c>
      <c r="AJ73" s="861">
        <f>IF(INDEX(HwyTransitModelGroup,A50,1)=Hwy,0.00000110231131*(C73*(1-M73)*VLOOKUP(K73,EmAuto20,8)-D73*(1-N73)*VLOOKUP(L73,EmAuto20,8)+(O73*(1-M73)-P73*(1-N73))*VLOOKUP(0,EmAuto20,8))+0.00000110231131*(C73*M73*VLOOKUP(K73,EmTruck20,8)-D73*N73*VLOOKUP(L73,EmTruck20,8)+(O73*M73-P73*N73)*VLOOKUP(0,EmTruck20,8)),0)</f>
        <v>-2.7052909619510677E-4</v>
      </c>
      <c r="AK73" s="401">
        <f>IF(INDEX(HwyTransitModelGroup,A50,1)=PARAMETERS!$J$9,0.00000110231131*(C73*VLOOKUP(K73,EmBus20,2)-D73*VLOOKUP(L73,EmBus20,2)+(O73-P73)*VLOOKUP(0,EmBus20,2)),0)</f>
        <v>0</v>
      </c>
      <c r="AL73" s="863">
        <f>IF(INDEX(HwyTransitModelGroup,A50,1)=PARAMETERS!$J$9,0.00000110231131*(C73*VLOOKUP(K73,EmBus20,3)-D73*VLOOKUP(L73,EmBus20,3)+(O73-P73)*VLOOKUP(0,EmBus20,3)),0)</f>
        <v>0</v>
      </c>
      <c r="AM73" s="861">
        <f>IF(INDEX(HwyTransitModelGroup,A50,1)=PARAMETERS!$J$9,0.00000110231131*(C73*VLOOKUP(K73,EmBus20,4)-D73*VLOOKUP(L73,EmBus20,4)+(O73-P73)*VLOOKUP(0,EmBus20,4)),0)</f>
        <v>0</v>
      </c>
      <c r="AN73" s="863">
        <f>IF(INDEX(HwyTransitModelGroup,A50,1)=PARAMETERS!$J$9,0.00000110231131*(C73*VLOOKUP(K73,EmBus20,5)-D73*VLOOKUP(L73,EmBus20,5)+(O73-P73)*VLOOKUP(0,EmBus20,5)),0)</f>
        <v>0</v>
      </c>
      <c r="AO73" s="861">
        <f>IF(INDEX(HwyTransitModelGroup,A50,1)=PARAMETERS!$J$9,0.00000110231131*(C73*VLOOKUP(K73,EmBus20,6)-D73*VLOOKUP(L73,EmBus20,6)+(O73-P73)*VLOOKUP(0,EmBus20,6)),0)</f>
        <v>0</v>
      </c>
      <c r="AP73" s="863">
        <f>IF(INDEX(HwyTransitModelGroup,A50,1)=PARAMETERS!$J$9,0.00000110231131*(C73*VLOOKUP(K73,EmBus20,7)-D73*VLOOKUP(L73,EmBus20,7)+(O73-P73)*VLOOKUP(0,EmBus20,7)),0)</f>
        <v>0</v>
      </c>
      <c r="AQ73" s="861">
        <f>IF(INDEX(HwyTransitModelGroup,A50,1)=PARAMETERS!$J$9,0.00000110231131*(C73*VLOOKUP(K73,EmBus20,8)-D73*VLOOKUP(L73,EmBus20,8)+(O73-P73)*VLOOKUP(0,EmBus20,8)),0)</f>
        <v>0</v>
      </c>
      <c r="AR73" s="401">
        <f>IF(INDEX(HwyTransitModelGroup,A50,1)=PARAMETERS!$J$10,0.00000110231131*((C73-D73)*PARAMETERS!$CQ$29),0)</f>
        <v>0</v>
      </c>
      <c r="AS73" s="863">
        <f>IF(INDEX(HwyTransitModelGroup,A50,1)=PARAMETERS!$J$10,0.00000110231131*((C73-D73)*PARAMETERS!$CR$29),0)</f>
        <v>0</v>
      </c>
      <c r="AT73" s="861">
        <f>IF(INDEX(HwyTransitModelGroup,A50,1)=PARAMETERS!$J$10,0.00000110231131*((C73-D73)*PARAMETERS!$CS$29),0)</f>
        <v>0</v>
      </c>
      <c r="AU73" s="863">
        <f>IF(INDEX(HwyTransitModelGroup,A50,1)=PARAMETERS!$J$10,0.00000110231131*((C73-D73)*PARAMETERS!$CT$29),0)</f>
        <v>0</v>
      </c>
      <c r="AV73" s="861">
        <f>IF(INDEX(HwyTransitModelGroup,A50,1)=PARAMETERS!$J$10,0.00000110231131*((C73-D73)*PARAMETERS!$CU$29),0)</f>
        <v>0</v>
      </c>
      <c r="AW73" s="863">
        <f>IF(INDEX(HwyTransitModelGroup,A50,1)=PARAMETERS!$J$10,0.00000110231131*((C73-D73)*PARAMETERS!$CV$29),0)</f>
        <v>0</v>
      </c>
      <c r="AX73" s="861">
        <f>IF(INDEX(HwyTransitModelGroup,A50,1)=PARAMETERS!$J$10,0.00000110231131*((C73-D73)*PARAMETERS!$CW$29),0)</f>
        <v>0</v>
      </c>
      <c r="AY73" s="401">
        <f>IF(INDEX(HwyTransitModelGroup,A50,1)=PARAMETERS!$J$11,0.00000110231131*((C73-D73)*PARAMETERS!$CQ$37),0)</f>
        <v>0</v>
      </c>
      <c r="AZ73" s="863">
        <f>IF(INDEX(HwyTransitModelGroup,A50,1)=PARAMETERS!$J$11,0.00000110231131*((C73-D73)*PARAMETERS!$CR$37),0)</f>
        <v>0</v>
      </c>
      <c r="BA73" s="861">
        <f>IF(INDEX(HwyTransitModelGroup,A50,1)=PARAMETERS!$J$11,0.00000110231131*((C73-D73)*PARAMETERS!$CS$37),0)</f>
        <v>0</v>
      </c>
      <c r="BB73" s="863">
        <f>IF(INDEX(HwyTransitModelGroup,A50,1)=PARAMETERS!$J$11,0.00000110231131*((C73-D73)*PARAMETERS!$CT$37),0)</f>
        <v>0</v>
      </c>
      <c r="BC73" s="861">
        <f>IF(INDEX(HwyTransitModelGroup,A50,1)=PARAMETERS!$J$11,0.00000110231131*((C73-D73)*PARAMETERS!$CU$37),0)</f>
        <v>0</v>
      </c>
      <c r="BD73" s="863">
        <f>IF(INDEX(HwyTransitModelGroup,A50,1)=PARAMETERS!$J$11,0.00000110231131*((C73-D73)*PARAMETERS!$CV$37),0)</f>
        <v>0</v>
      </c>
      <c r="BE73" s="865">
        <f>IF(INDEX(HwyTransitModelGroup,A50,1)=PARAMETERS!$J$11,0.00000110231131*((C73-D73)*PARAMETERS!$CW$37),0)</f>
        <v>0</v>
      </c>
      <c r="BF73" s="729">
        <f t="shared" si="21"/>
        <v>-8.5269759563117623E-2</v>
      </c>
      <c r="BG73" s="867">
        <f t="shared" si="22"/>
        <v>-660.16013659900091</v>
      </c>
      <c r="BH73" s="867">
        <f t="shared" si="23"/>
        <v>-62.982463260478561</v>
      </c>
      <c r="BI73" s="867">
        <f t="shared" si="24"/>
        <v>-16.714420209650335</v>
      </c>
      <c r="BJ73" s="867">
        <f t="shared" si="25"/>
        <v>-5.744999836074606</v>
      </c>
      <c r="BK73" s="869">
        <f t="shared" si="26"/>
        <v>-4.2380714603207213E-2</v>
      </c>
      <c r="BL73" s="392"/>
      <c r="BN73" s="375">
        <f t="shared" si="27"/>
        <v>2041</v>
      </c>
      <c r="BO73" s="871">
        <f t="shared" ca="1" si="17"/>
        <v>-3.317808158871758E-2</v>
      </c>
      <c r="BP73" s="871">
        <f t="shared" ca="1" si="29"/>
        <v>-2.6976335580203704E-4</v>
      </c>
      <c r="BQ73" s="871">
        <f t="shared" ca="1" si="29"/>
        <v>5.3764085862046763E-2</v>
      </c>
      <c r="BR73" s="871">
        <f t="shared" ca="1" si="29"/>
        <v>0.19515665894747444</v>
      </c>
      <c r="BS73" s="871">
        <f t="shared" ca="1" si="29"/>
        <v>0.87881797742368617</v>
      </c>
      <c r="BT73" s="871">
        <f t="shared" ca="1" si="29"/>
        <v>1.0366968083990542</v>
      </c>
    </row>
    <row r="74" spans="2:76" x14ac:dyDescent="0.25">
      <c r="B74" s="375">
        <f t="shared" si="28"/>
        <v>2041</v>
      </c>
      <c r="C74" s="401">
        <f>MAX(TREND(C56:C57,B56:B57,B74),0)</f>
        <v>698427.5</v>
      </c>
      <c r="D74" s="402">
        <f>MAX(TREND(D56:D57,B56:B57,B74),0)</f>
        <v>712023.75</v>
      </c>
      <c r="E74" s="401">
        <f>MAX(TREND(E56:E57,B56:B57,B74),0)</f>
        <v>13231.25</v>
      </c>
      <c r="F74" s="402">
        <f>MAX(TREND(F56:F57,B56:B57,B74),0)</f>
        <v>12957.5</v>
      </c>
      <c r="G74" s="401">
        <f>MAX(TREND(G56:G57,B56:B57,B74),0)</f>
        <v>0</v>
      </c>
      <c r="H74" s="402">
        <f>MAX(TREND(H56:H57,B56:B57,B74),0)</f>
        <v>0</v>
      </c>
      <c r="I74" s="401">
        <f>MAX(TREND(I56:I57,B56:B57,B74),0)</f>
        <v>0</v>
      </c>
      <c r="J74" s="402">
        <f>MAX(TREND(J56:J57,B56:B57,B74),0)</f>
        <v>0</v>
      </c>
      <c r="K74" s="435">
        <f>IFERROR(IF(INDEX(HwyTransitModelGroup,A50,1)=Hwy,MAX(5,ROUND(C74/E74,1)),MAX(5,ROUND(G74/I74,1))),55)</f>
        <v>52.8</v>
      </c>
      <c r="L74" s="436">
        <f>IFERROR(IF(INDEX(HwyTransitModelGroup,A50,1)=Hwy,MAX(5,ROUND(D74/F74,1)),MAX(5,ROUND(H74/J74,1))),55)</f>
        <v>55</v>
      </c>
      <c r="M74" s="405">
        <f>MIN(MAX(TREND(M56:M57,B56:B57,B74),0),1)</f>
        <v>0.24</v>
      </c>
      <c r="N74" s="406">
        <f>MIN(MAX(TREND(N56:N57,B56:B57,B74),0),1)</f>
        <v>0.24</v>
      </c>
      <c r="O74" s="401">
        <f>MAX(TREND(O56:O57,B56:B57,B74),0)</f>
        <v>0</v>
      </c>
      <c r="P74" s="402">
        <f>MAX(TREND(P56:P57,B56:B57,B74),0)</f>
        <v>0</v>
      </c>
      <c r="Q74" s="729">
        <f>IF(INDEX(HwyTransitModelGroup,A50,1)=Hwy,C74*(1-M74)*0.00000110231131*(VLOOKUP(K74,EmAuto20,2)*VLOOKUP(ProjLoc,EmCost,2)+VLOOKUP(K74,EmAuto20,3)*VLOOKUP(ProjLoc,EmCost,3)*(1+CO2Uprater)^($B74-YearCurrent)+VLOOKUP(K74,EmAuto20,4)*VLOOKUP(ProjLoc,EmCost,4)+VLOOKUP(K74,EmAuto20,5)*VLOOKUP(ProjLoc,EmCost,5)+VLOOKUP(K74,EmAuto20,6)*VLOOKUP(ProjLoc,EmCost,6)+VLOOKUP(K74,EmAuto20,7)*VLOOKUP(ProjLoc,EmCost,7))+C74*M74*0.00000110231131*(VLOOKUP(K74,EmTruck20,2)*VLOOKUP(ProjLoc,EmCost,2)+VLOOKUP(K74,EmTruck20,3)*VLOOKUP(ProjLoc,EmCost,3)*(1+CO2Uprater)^($B74-YearCurrent)+VLOOKUP(K74,EmTruck20,4)*VLOOKUP(ProjLoc,EmCost,4)+VLOOKUP(K74,EmTruck20,5)*VLOOKUP(ProjLoc,EmCost,5)+VLOOKUP(K74,EmTruck20,6)*VLOOKUP(ProjLoc,EmCost,6)+VLOOKUP(K74,EmTruck20,7)*VLOOKUP(ProjLoc,EmCost,7)),0)</f>
        <v>18818.421571631392</v>
      </c>
      <c r="R74" s="802">
        <f>IF(INDEX(HwyTransitModelGroup,A50,1)=Hwy,D74*(1-N74)*0.00000110231131*(VLOOKUP(L74,EmAuto20,2)*VLOOKUP(ProjLoc,EmCost,2)+VLOOKUP(L74,EmAuto20,3)*VLOOKUP(ProjLoc,EmCost,3)*(1+CO2Uprater)^($B74-YearCurrent)+VLOOKUP(L74,EmAuto20,4)*VLOOKUP(ProjLoc,EmCost,4)+VLOOKUP(L74,EmAuto20,5)*VLOOKUP(ProjLoc,EmCost,5)+VLOOKUP(L74,EmAuto20,6)*VLOOKUP(ProjLoc,EmCost,6)+VLOOKUP(L74,EmAuto20,7)*VLOOKUP(ProjLoc,EmCost,7))+D74*N74*0.00000110231131*(VLOOKUP(L74,EmTruck20,2)*VLOOKUP(ProjLoc,EmCost,2)+VLOOKUP(L74,EmTruck20,3)*VLOOKUP(ProjLoc,EmCost,3)*(1+CO2Uprater)^($B74-YearCurrent)+VLOOKUP(L74,EmTruck20,4)*VLOOKUP(ProjLoc,EmCost,4)+VLOOKUP(L74,EmTruck20,5)*VLOOKUP(ProjLoc,EmCost,5)+VLOOKUP(L74,EmTruck20,6)*VLOOKUP(ProjLoc,EmCost,6)+VLOOKUP(L74,EmTruck20,7)*VLOOKUP(ProjLoc,EmCost,7)),0)</f>
        <v>21014.994166691249</v>
      </c>
      <c r="S74" s="729">
        <f>IF(INDEX(HwyTransitModelGroup,A50,1)=Hwy,O74*(1-M74)*0.00000110231131*(VLOOKUP(0,EmAuto20,2)*VLOOKUP(ProjLoc,EmCost,2)+VLOOKUP(0,EmAuto20,3)*VLOOKUP(ProjLoc,EmCost,3)*(1+CO2Uprater)^($B74-YearCurrent)+VLOOKUP(0,EmAuto20,4)*VLOOKUP(ProjLoc,EmCost,4)+VLOOKUP(0,EmAuto20,5)*VLOOKUP(ProjLoc,EmCost,5)+VLOOKUP(0,EmAuto20,6)*VLOOKUP(ProjLoc,EmCost,6)+VLOOKUP(0,EmAuto20,7)*VLOOKUP(ProjLoc,EmCost,7))+O74*M74*0.00000110231131*(VLOOKUP(0,EmTruck20,2)*VLOOKUP(ProjLoc,EmCost,2)+VLOOKUP(0,EmTruck20,3)*VLOOKUP(ProjLoc,EmCost,3)*(1+CO2Uprater)^($B74-YearCurrent)+VLOOKUP(0,EmTruck20,4)*VLOOKUP(ProjLoc,EmCost,4)+VLOOKUP(0,EmTruck20,5)*VLOOKUP(ProjLoc,EmCost,5)+VLOOKUP(0,EmTruck20,6)*VLOOKUP(ProjLoc,EmCost,6)+VLOOKUP(0,EmTruck20,7)*VLOOKUP(ProjLoc,EmCost,7)),0)</f>
        <v>0</v>
      </c>
      <c r="T74" s="802">
        <f>IF(INDEX(HwyTransitModelGroup,A50,1)=Hwy,P74*(1-N74)*0.00000110231131*(VLOOKUP(0,EmAuto20,2)*VLOOKUP(ProjLoc,EmCost,2)+VLOOKUP(0,EmAuto20,3)*VLOOKUP(ProjLoc,EmCost,3)*(1+CO2Uprater)^($B74-YearCurrent)+VLOOKUP(0,EmAuto20,4)*VLOOKUP(ProjLoc,EmCost,4)+VLOOKUP(0,EmAuto20,5)*VLOOKUP(ProjLoc,EmCost,5)+VLOOKUP(0,EmAuto20,6)*VLOOKUP(ProjLoc,EmCost,6)+VLOOKUP(0,EmAuto20,7)*VLOOKUP(ProjLoc,EmCost,7))+P74*N74*0.00000110231131*(VLOOKUP(0,EmTruck20,2)*VLOOKUP(ProjLoc,EmCost,2)+VLOOKUP(0,EmTruck20,3)*VLOOKUP(ProjLoc,EmCost,3)*(1+CO2Uprater)^($B74-YearCurrent)+VLOOKUP(0,EmTruck20,4)*VLOOKUP(ProjLoc,EmCost,4)+VLOOKUP(0,EmTruck20,5)*VLOOKUP(ProjLoc,EmCost,5)+VLOOKUP(0,EmTruck20,6)*VLOOKUP(ProjLoc,EmCost,6)+VLOOKUP(0,EmTruck20,7)*VLOOKUP(ProjLoc,EmCost,7)),0)</f>
        <v>0</v>
      </c>
      <c r="U74" s="729">
        <f>IF(INDEX(HwyTransitModelGroup,A50,1)=PARAMETERS!$J$9,C74*0.00000110231131*(VLOOKUP(K74,EmBus20,2)*VLOOKUP(ProjLoc,EmCost,2)+VLOOKUP(K74,EmBus20,3)*VLOOKUP(ProjLoc,EmCost,3)*(1+CO2Uprater)^($B74-YearCurrent)+VLOOKUP(K74,EmBus20,4)*VLOOKUP(ProjLoc,EmCost,4)+VLOOKUP(K74,EmBus20,5)*VLOOKUP(ProjLoc,EmCost,5)+VLOOKUP(K74,EmBus20,6)*VLOOKUP(ProjLoc,EmCost,6)+VLOOKUP(K74,EmBus20,7)*VLOOKUP(ProjLoc,EmCost,7)),0)</f>
        <v>0</v>
      </c>
      <c r="V74" s="802">
        <f>IF(INDEX(HwyTransitModelGroup,A50,1)=PARAMETERS!$J$9,D74*0.00000110231131*(VLOOKUP(L74,EmBus20,2)*VLOOKUP(ProjLoc,EmCost,2)+VLOOKUP(L74,EmBus20,3)*VLOOKUP(ProjLoc,EmCost,3)*(1+CO2Uprater)^($B74-YearCurrent)+VLOOKUP(L74,EmBus20,4)*VLOOKUP(ProjLoc,EmCost,4)+VLOOKUP(L74,EmBus20,5)*VLOOKUP(ProjLoc,EmCost,5)+VLOOKUP(L74,EmBus20,6)*VLOOKUP(ProjLoc,EmCost,6)+VLOOKUP(L74,EmBus20,7)*VLOOKUP(ProjLoc,EmCost,7)),0)</f>
        <v>0</v>
      </c>
      <c r="W74" s="808">
        <f>IF(INDEX(HwyTransitModelGroup,A50,1)=PARAMETERS!$J$10,C74*0.00000110231131*(PARAMETERS!$CQ$29*VLOOKUP(ProjLoc,EmCost,2)+PARAMETERS!$CR$29*VLOOKUP(ProjLoc,EmCost,3)*(1+CO2Uprater)^($B74-YearCurrent)+PARAMETERS!$CS$29*VLOOKUP(ProjLoc,EmCost,4)+PARAMETERS!$CT$29*VLOOKUP(ProjLoc,EmCost,5)+PARAMETERS!$CU$29*VLOOKUP(ProjLoc,EmCost,6)+PARAMETERS!$CV$29*VLOOKUP(ProjLoc,EmCost,7)),0)</f>
        <v>0</v>
      </c>
      <c r="X74" s="844">
        <f>IF(INDEX(HwyTransitModelGroup,A50,1)=PARAMETERS!$J$10,D74*0.00000110231131*(PARAMETERS!$CQ$29*VLOOKUP(ProjLoc,EmCost,2)+PARAMETERS!$CR$29*VLOOKUP(ProjLoc,EmCost,3)*(1+CO2Uprater)^($B74-YearCurrent)+PARAMETERS!$CS$29*VLOOKUP(ProjLoc,EmCost,4)+PARAMETERS!$CT$29*VLOOKUP(ProjLoc,EmCost,5)+PARAMETERS!$CU$29*VLOOKUP(ProjLoc,EmCost,6)+PARAMETERS!$CV$29*VLOOKUP(ProjLoc,EmCost,7)),0)</f>
        <v>0</v>
      </c>
      <c r="Y74" s="808">
        <f>IF(INDEX(HwyTransitModelGroup,A50,1)=PARAMETERS!$J$11,C74*0.00000110231131*(PARAMETERS!$CQ$37*VLOOKUP(ProjLoc,EmCost,2)+PARAMETERS!$CR$37*VLOOKUP(ProjLoc,EmCost,3)*(1+CO2Uprater)^($B74-YearCurrent)+PARAMETERS!$CS$37*VLOOKUP(ProjLoc,EmCost,4)+PARAMETERS!$CT$37*VLOOKUP(ProjLoc,EmCost,5)+PARAMETERS!$CU$37*VLOOKUP(ProjLoc,EmCost,6)+PARAMETERS!$CV$37*VLOOKUP(ProjLoc,EmCost,7)),0)</f>
        <v>0</v>
      </c>
      <c r="Z74" s="844">
        <f>IF(INDEX(HwyTransitModelGroup,A50,1)=PARAMETERS!$J$11,D74*0.00000110231131*(PARAMETERS!$CQ$37*VLOOKUP(ProjLoc,EmCost,2)+PARAMETERS!$CR$37*VLOOKUP(ProjLoc,EmCost,3)*(1+CO2Uprater)^($B74-YearCurrent)+PARAMETERS!$CS$37*VLOOKUP(ProjLoc,EmCost,4)+PARAMETERS!$CT$37*VLOOKUP(ProjLoc,EmCost,5)+PARAMETERS!$CU$37*VLOOKUP(ProjLoc,EmCost,6)+PARAMETERS!$CV$37*VLOOKUP(ProjLoc,EmCost,7)),0)</f>
        <v>0</v>
      </c>
      <c r="AA74" s="369">
        <f t="shared" si="19"/>
        <v>-2196.5725950598571</v>
      </c>
      <c r="AB74" s="370">
        <f t="shared" si="20"/>
        <v>-1042.5865411195682</v>
      </c>
      <c r="AC74" s="371"/>
      <c r="AD74" s="401">
        <f>IF(INDEX(HwyTransitModelGroup,A50,1)=Hwy,0.00000110231131*(C74*(1-M74)*VLOOKUP(K74,EmAuto20,2)-D74*(1-N74)*VLOOKUP(L74,EmAuto20,2)+(O74*(1-M74)-P74*(1-N74))*VLOOKUP(0,EmAuto20,2))+0.00000110231131*(C74*M74*VLOOKUP(K74,EmTruck20,2)-D74*N74*VLOOKUP(L74,EmTruck20,2)+(O74*M74-P74*N74)*VLOOKUP(0,EmTruck20,2)),0)</f>
        <v>-2.6976335580203704E-4</v>
      </c>
      <c r="AE74" s="863">
        <f>IF(INDEX(HwyTransitModelGroup,A50,1)=Hwy,0.00000110231131*(C74*(1-M74)*VLOOKUP(K74,EmAuto20,3)-D74*(1-N74)*VLOOKUP(L74,EmAuto20,3)+(O74*(1-M74)-P74*(1-N74))*VLOOKUP(0,EmAuto20,3))+0.00000110231131*(C74*M74*VLOOKUP(K74,EmTruck20,3)-D74*N74*VLOOKUP(L74,EmTruck20,3)+(O74*M74-P74*N74)*VLOOKUP(0,EmTruck20,3)),0)</f>
        <v>-27.673671972785897</v>
      </c>
      <c r="AF74" s="861">
        <f>IF(INDEX(HwyTransitModelGroup,A50,1)=Hwy,0.00000110231131*(C74*(1-M74)*VLOOKUP(K74,EmAuto20,4)-D74*(1-N74)*VLOOKUP(L74,EmAuto20,4)+(O74*(1-M74)-P74*(1-N74))*VLOOKUP(0,EmAuto20,4))+0.00000110231131*(C74*M74*VLOOKUP(K74,EmTruck20,4)-D74*N74*VLOOKUP(L74,EmTruck20,4)+(O74*M74-P74*N74)*VLOOKUP(0,EmTruck20,4)),0)</f>
        <v>-1.2633523537211347E-2</v>
      </c>
      <c r="AG74" s="863">
        <f>IF(INDEX(HwyTransitModelGroup,A50,1)=Hwy,0.00000110231131*(C74*(1-M74)*VLOOKUP(K74,EmAuto20,5)-D74*(1-N74)*VLOOKUP(L74,EmAuto20,5)+(O74*(1-M74)-P74*(1-N74))*VLOOKUP(0,EmAuto20,5))+0.00000110231131*(C74*M74*VLOOKUP(K74,EmTruck20,5)-D74*N74*VLOOKUP(L74,EmTruck20,5)+(O74*M74-P74*N74)*VLOOKUP(0,EmTruck20,5)),0)</f>
        <v>-4.4522621672548306E-4</v>
      </c>
      <c r="AH74" s="861">
        <f>IF(INDEX(HwyTransitModelGroup,A50,1)=Hwy,0.00000110231131*(C74*(1-M74)*VLOOKUP(K74,EmAuto20,6)-D74*(1-N74)*VLOOKUP(L74,EmAuto20,6)+(O74*(1-M74)-P74*(1-N74))*VLOOKUP(0,EmAuto20,6))+0.00000110231131*(C74*M74*VLOOKUP(K74,EmTruck20,6)-D74*N74*VLOOKUP(L74,EmTruck20,6)+(O74*M74-P74*N74)*VLOOKUP(0,EmTruck20,6)),0)</f>
        <v>-3.163965916791095E-4</v>
      </c>
      <c r="AI74" s="863">
        <f>IF(INDEX(HwyTransitModelGroup,A50,1)=Hwy,0.00000110231131*(C74*(1-M74)*VLOOKUP(K74,EmAuto20,7)-D74*(1-N74)*VLOOKUP(L74,EmAuto20,7)+(O74*(1-M74)-P74*(1-N74))*VLOOKUP(0,EmAuto20,7))+0.00000110231131*(C74*M74*VLOOKUP(K74,EmTruck20,7)-D74*N74*VLOOKUP(L74,EmTruck20,7)+(O74*M74-P74*N74)*VLOOKUP(0,EmTruck20,7)),0)</f>
        <v>-2.1994114432820106E-5</v>
      </c>
      <c r="AJ74" s="861">
        <f>IF(INDEX(HwyTransitModelGroup,A50,1)=Hwy,0.00000110231131*(C74*(1-M74)*VLOOKUP(K74,EmAuto20,8)-D74*(1-N74)*VLOOKUP(L74,EmAuto20,8)+(O74*(1-M74)-P74*(1-N74))*VLOOKUP(0,EmAuto20,8))+0.00000110231131*(C74*M74*VLOOKUP(K74,EmTruck20,8)-D74*N74*VLOOKUP(L74,EmTruck20,8)+(O74*M74-P74*N74)*VLOOKUP(0,EmTruck20,8)),0)</f>
        <v>-4.2531020713205796E-4</v>
      </c>
      <c r="AK74" s="401">
        <f>IF(INDEX(HwyTransitModelGroup,A50,1)=PARAMETERS!$J$9,0.00000110231131*(C74*VLOOKUP(K74,EmBus20,2)-D74*VLOOKUP(L74,EmBus20,2)+(O74-P74)*VLOOKUP(0,EmBus20,2)),0)</f>
        <v>0</v>
      </c>
      <c r="AL74" s="863">
        <f>IF(INDEX(HwyTransitModelGroup,A50,1)=PARAMETERS!$J$9,0.00000110231131*(C74*VLOOKUP(K74,EmBus20,3)-D74*VLOOKUP(L74,EmBus20,3)+(O74-P74)*VLOOKUP(0,EmBus20,3)),0)</f>
        <v>0</v>
      </c>
      <c r="AM74" s="861">
        <f>IF(INDEX(HwyTransitModelGroup,A50,1)=PARAMETERS!$J$9,0.00000110231131*(C74*VLOOKUP(K74,EmBus20,4)-D74*VLOOKUP(L74,EmBus20,4)+(O74-P74)*VLOOKUP(0,EmBus20,4)),0)</f>
        <v>0</v>
      </c>
      <c r="AN74" s="863">
        <f>IF(INDEX(HwyTransitModelGroup,A50,1)=PARAMETERS!$J$9,0.00000110231131*(C74*VLOOKUP(K74,EmBus20,5)-D74*VLOOKUP(L74,EmBus20,5)+(O74-P74)*VLOOKUP(0,EmBus20,5)),0)</f>
        <v>0</v>
      </c>
      <c r="AO74" s="861">
        <f>IF(INDEX(HwyTransitModelGroup,A50,1)=PARAMETERS!$J$9,0.00000110231131*(C74*VLOOKUP(K74,EmBus20,6)-D74*VLOOKUP(L74,EmBus20,6)+(O74-P74)*VLOOKUP(0,EmBus20,6)),0)</f>
        <v>0</v>
      </c>
      <c r="AP74" s="863">
        <f>IF(INDEX(HwyTransitModelGroup,A50,1)=PARAMETERS!$J$9,0.00000110231131*(C74*VLOOKUP(K74,EmBus20,7)-D74*VLOOKUP(L74,EmBus20,7)+(O74-P74)*VLOOKUP(0,EmBus20,7)),0)</f>
        <v>0</v>
      </c>
      <c r="AQ74" s="861">
        <f>IF(INDEX(HwyTransitModelGroup,A50,1)=PARAMETERS!$J$9,0.00000110231131*(C74*VLOOKUP(K74,EmBus20,8)-D74*VLOOKUP(L74,EmBus20,8)+(O74-P74)*VLOOKUP(0,EmBus20,8)),0)</f>
        <v>0</v>
      </c>
      <c r="AR74" s="401">
        <f>IF(INDEX(HwyTransitModelGroup,A50,1)=PARAMETERS!$J$10,0.00000110231131*((C74-D74)*PARAMETERS!$CQ$29),0)</f>
        <v>0</v>
      </c>
      <c r="AS74" s="863">
        <f>IF(INDEX(HwyTransitModelGroup,A50,1)=PARAMETERS!$J$10,0.00000110231131*((C74-D74)*PARAMETERS!$CR$29),0)</f>
        <v>0</v>
      </c>
      <c r="AT74" s="861">
        <f>IF(INDEX(HwyTransitModelGroup,A50,1)=PARAMETERS!$J$10,0.00000110231131*((C74-D74)*PARAMETERS!$CS$29),0)</f>
        <v>0</v>
      </c>
      <c r="AU74" s="863">
        <f>IF(INDEX(HwyTransitModelGroup,A50,1)=PARAMETERS!$J$10,0.00000110231131*((C74-D74)*PARAMETERS!$CT$29),0)</f>
        <v>0</v>
      </c>
      <c r="AV74" s="861">
        <f>IF(INDEX(HwyTransitModelGroup,A50,1)=PARAMETERS!$J$10,0.00000110231131*((C74-D74)*PARAMETERS!$CU$29),0)</f>
        <v>0</v>
      </c>
      <c r="AW74" s="863">
        <f>IF(INDEX(HwyTransitModelGroup,A50,1)=PARAMETERS!$J$10,0.00000110231131*((C74-D74)*PARAMETERS!$CV$29),0)</f>
        <v>0</v>
      </c>
      <c r="AX74" s="861">
        <f>IF(INDEX(HwyTransitModelGroup,A50,1)=PARAMETERS!$J$10,0.00000110231131*((C74-D74)*PARAMETERS!$CW$29),0)</f>
        <v>0</v>
      </c>
      <c r="AY74" s="401">
        <f>IF(INDEX(HwyTransitModelGroup,A50,1)=PARAMETERS!$J$11,0.00000110231131*((C74-D74)*PARAMETERS!$CQ$37),0)</f>
        <v>0</v>
      </c>
      <c r="AZ74" s="863">
        <f>IF(INDEX(HwyTransitModelGroup,A50,1)=PARAMETERS!$J$11,0.00000110231131*((C74-D74)*PARAMETERS!$CR$37),0)</f>
        <v>0</v>
      </c>
      <c r="BA74" s="861">
        <f>IF(INDEX(HwyTransitModelGroup,A50,1)=PARAMETERS!$J$11,0.00000110231131*((C74-D74)*PARAMETERS!$CS$37),0)</f>
        <v>0</v>
      </c>
      <c r="BB74" s="863">
        <f>IF(INDEX(HwyTransitModelGroup,A50,1)=PARAMETERS!$J$11,0.00000110231131*((C74-D74)*PARAMETERS!$CT$37),0)</f>
        <v>0</v>
      </c>
      <c r="BC74" s="861">
        <f>IF(INDEX(HwyTransitModelGroup,A50,1)=PARAMETERS!$J$11,0.00000110231131*((C74-D74)*PARAMETERS!$CU$37),0)</f>
        <v>0</v>
      </c>
      <c r="BD74" s="863">
        <f>IF(INDEX(HwyTransitModelGroup,A50,1)=PARAMETERS!$J$11,0.00000110231131*((C74-D74)*PARAMETERS!$CV$37),0)</f>
        <v>0</v>
      </c>
      <c r="BE74" s="865">
        <f>IF(INDEX(HwyTransitModelGroup,A50,1)=PARAMETERS!$J$11,0.00000110231131*((C74-D74)*PARAMETERS!$CW$37),0)</f>
        <v>0</v>
      </c>
      <c r="BF74" s="729">
        <f t="shared" si="21"/>
        <v>-1.0243290649405157E-2</v>
      </c>
      <c r="BG74" s="867">
        <f t="shared" si="22"/>
        <v>-918.49721316612965</v>
      </c>
      <c r="BH74" s="867">
        <f t="shared" si="23"/>
        <v>-90.545734163395153</v>
      </c>
      <c r="BI74" s="867">
        <f t="shared" si="24"/>
        <v>-24.661423363330432</v>
      </c>
      <c r="BJ74" s="867">
        <f t="shared" si="25"/>
        <v>-8.8603394688958552</v>
      </c>
      <c r="BK74" s="869">
        <f t="shared" si="26"/>
        <v>-1.1587667166025755E-2</v>
      </c>
      <c r="BL74" s="392"/>
      <c r="BN74" s="375">
        <f t="shared" si="27"/>
        <v>2042</v>
      </c>
      <c r="BO74" s="871">
        <f t="shared" ca="1" si="17"/>
        <v>-2.9771492727436288E-2</v>
      </c>
      <c r="BP74" s="871">
        <f t="shared" ca="1" si="29"/>
        <v>-2.7301944231586297E-4</v>
      </c>
      <c r="BQ74" s="871">
        <f t="shared" ca="1" si="29"/>
        <v>5.4560119592061293E-2</v>
      </c>
      <c r="BR74" s="871">
        <f t="shared" ca="1" si="29"/>
        <v>0.19727061139710647</v>
      </c>
      <c r="BS74" s="871">
        <f t="shared" ca="1" si="29"/>
        <v>0.90555321542456113</v>
      </c>
      <c r="BT74" s="871">
        <f t="shared" ca="1" si="29"/>
        <v>1.0584621651316228</v>
      </c>
    </row>
    <row r="75" spans="2:76" x14ac:dyDescent="0.25">
      <c r="B75" s="375">
        <f t="shared" si="28"/>
        <v>2042</v>
      </c>
      <c r="C75" s="401">
        <f>MAX(TREND(C56:C57,B56:B57,B75),0)</f>
        <v>708830</v>
      </c>
      <c r="D75" s="402">
        <f>MAX(TREND(D56:D57,B56:B57,B75),0)</f>
        <v>722627</v>
      </c>
      <c r="E75" s="401">
        <f>MAX(TREND(E56:E57,B56:B57,B75),0)</f>
        <v>13432</v>
      </c>
      <c r="F75" s="402">
        <f>MAX(TREND(F56:F57,B56:B57,B75),0)</f>
        <v>13140</v>
      </c>
      <c r="G75" s="401">
        <f>MAX(TREND(G56:G57,B56:B57,B75),0)</f>
        <v>0</v>
      </c>
      <c r="H75" s="402">
        <f>MAX(TREND(H56:H57,B56:B57,B75),0)</f>
        <v>0</v>
      </c>
      <c r="I75" s="401">
        <f>MAX(TREND(I56:I57,B56:B57,B75),0)</f>
        <v>0</v>
      </c>
      <c r="J75" s="402">
        <f>MAX(TREND(J56:J57,B56:B57,B75),0)</f>
        <v>0</v>
      </c>
      <c r="K75" s="435">
        <f>IFERROR(IF(INDEX(HwyTransitModelGroup,A50,1)=Hwy,MAX(5,ROUND(C75/E75,1)),MAX(5,ROUND(G75/I75,1))),55)</f>
        <v>52.8</v>
      </c>
      <c r="L75" s="436">
        <f>IFERROR(IF(INDEX(HwyTransitModelGroup,A50,1)=Hwy,MAX(5,ROUND(D75/F75,1)),MAX(5,ROUND(H75/J75,1))),55)</f>
        <v>55</v>
      </c>
      <c r="M75" s="405">
        <f>MIN(MAX(TREND(M56:M57,B56:B57,B75),0),1)</f>
        <v>0.24</v>
      </c>
      <c r="N75" s="406">
        <f>MIN(MAX(TREND(N56:N57,B56:B57,B75),0),1)</f>
        <v>0.24</v>
      </c>
      <c r="O75" s="401">
        <f>MAX(TREND(O56:O57,B56:B57,B75),0)</f>
        <v>0</v>
      </c>
      <c r="P75" s="402">
        <f>MAX(TREND(P56:P57,B56:B57,B75),0)</f>
        <v>0</v>
      </c>
      <c r="Q75" s="729">
        <f>IF(INDEX(HwyTransitModelGroup,A50,1)=Hwy,C75*(1-M75)*0.00000110231131*(VLOOKUP(K75,EmAuto20,2)*VLOOKUP(ProjLoc,EmCost,2)+VLOOKUP(K75,EmAuto20,3)*VLOOKUP(ProjLoc,EmCost,3)*(1+CO2Uprater)^($B75-YearCurrent)+VLOOKUP(K75,EmAuto20,4)*VLOOKUP(ProjLoc,EmCost,4)+VLOOKUP(K75,EmAuto20,5)*VLOOKUP(ProjLoc,EmCost,5)+VLOOKUP(K75,EmAuto20,6)*VLOOKUP(ProjLoc,EmCost,6)+VLOOKUP(K75,EmAuto20,7)*VLOOKUP(ProjLoc,EmCost,7))+C75*M75*0.00000110231131*(VLOOKUP(K75,EmTruck20,2)*VLOOKUP(ProjLoc,EmCost,2)+VLOOKUP(K75,EmTruck20,3)*VLOOKUP(ProjLoc,EmCost,3)*(1+CO2Uprater)^($B75-YearCurrent)+VLOOKUP(K75,EmTruck20,4)*VLOOKUP(ProjLoc,EmCost,4)+VLOOKUP(K75,EmTruck20,5)*VLOOKUP(ProjLoc,EmCost,5)+VLOOKUP(K75,EmTruck20,6)*VLOOKUP(ProjLoc,EmCost,6)+VLOOKUP(K75,EmTruck20,7)*VLOOKUP(ProjLoc,EmCost,7)),0)</f>
        <v>19454.287363664276</v>
      </c>
      <c r="R75" s="802">
        <f>IF(INDEX(HwyTransitModelGroup,A50,1)=Hwy,D75*(1-N75)*0.00000110231131*(VLOOKUP(L75,EmAuto20,2)*VLOOKUP(ProjLoc,EmCost,2)+VLOOKUP(L75,EmAuto20,3)*VLOOKUP(ProjLoc,EmCost,3)*(1+CO2Uprater)^($B75-YearCurrent)+VLOOKUP(L75,EmAuto20,4)*VLOOKUP(ProjLoc,EmCost,4)+VLOOKUP(L75,EmAuto20,5)*VLOOKUP(ProjLoc,EmCost,5)+VLOOKUP(L75,EmAuto20,6)*VLOOKUP(ProjLoc,EmCost,6)+VLOOKUP(L75,EmAuto20,7)*VLOOKUP(ProjLoc,EmCost,7))+D75*N75*0.00000110231131*(VLOOKUP(L75,EmTruck20,2)*VLOOKUP(ProjLoc,EmCost,2)+VLOOKUP(L75,EmTruck20,3)*VLOOKUP(ProjLoc,EmCost,3)*(1+CO2Uprater)^($B75-YearCurrent)+VLOOKUP(L75,EmTruck20,4)*VLOOKUP(ProjLoc,EmCost,4)+VLOOKUP(L75,EmTruck20,5)*VLOOKUP(ProjLoc,EmCost,5)+VLOOKUP(L75,EmTruck20,6)*VLOOKUP(ProjLoc,EmCost,6)+VLOOKUP(L75,EmTruck20,7)*VLOOKUP(ProjLoc,EmCost,7)),0)</f>
        <v>21722.802483775253</v>
      </c>
      <c r="S75" s="729">
        <f>IF(INDEX(HwyTransitModelGroup,A50,1)=Hwy,O75*(1-M75)*0.00000110231131*(VLOOKUP(0,EmAuto20,2)*VLOOKUP(ProjLoc,EmCost,2)+VLOOKUP(0,EmAuto20,3)*VLOOKUP(ProjLoc,EmCost,3)*(1+CO2Uprater)^($B75-YearCurrent)+VLOOKUP(0,EmAuto20,4)*VLOOKUP(ProjLoc,EmCost,4)+VLOOKUP(0,EmAuto20,5)*VLOOKUP(ProjLoc,EmCost,5)+VLOOKUP(0,EmAuto20,6)*VLOOKUP(ProjLoc,EmCost,6)+VLOOKUP(0,EmAuto20,7)*VLOOKUP(ProjLoc,EmCost,7))+O75*M75*0.00000110231131*(VLOOKUP(0,EmTruck20,2)*VLOOKUP(ProjLoc,EmCost,2)+VLOOKUP(0,EmTruck20,3)*VLOOKUP(ProjLoc,EmCost,3)*(1+CO2Uprater)^($B75-YearCurrent)+VLOOKUP(0,EmTruck20,4)*VLOOKUP(ProjLoc,EmCost,4)+VLOOKUP(0,EmTruck20,5)*VLOOKUP(ProjLoc,EmCost,5)+VLOOKUP(0,EmTruck20,6)*VLOOKUP(ProjLoc,EmCost,6)+VLOOKUP(0,EmTruck20,7)*VLOOKUP(ProjLoc,EmCost,7)),0)</f>
        <v>0</v>
      </c>
      <c r="T75" s="802">
        <f>IF(INDEX(HwyTransitModelGroup,A50,1)=Hwy,P75*(1-N75)*0.00000110231131*(VLOOKUP(0,EmAuto20,2)*VLOOKUP(ProjLoc,EmCost,2)+VLOOKUP(0,EmAuto20,3)*VLOOKUP(ProjLoc,EmCost,3)*(1+CO2Uprater)^($B75-YearCurrent)+VLOOKUP(0,EmAuto20,4)*VLOOKUP(ProjLoc,EmCost,4)+VLOOKUP(0,EmAuto20,5)*VLOOKUP(ProjLoc,EmCost,5)+VLOOKUP(0,EmAuto20,6)*VLOOKUP(ProjLoc,EmCost,6)+VLOOKUP(0,EmAuto20,7)*VLOOKUP(ProjLoc,EmCost,7))+P75*N75*0.00000110231131*(VLOOKUP(0,EmTruck20,2)*VLOOKUP(ProjLoc,EmCost,2)+VLOOKUP(0,EmTruck20,3)*VLOOKUP(ProjLoc,EmCost,3)*(1+CO2Uprater)^($B75-YearCurrent)+VLOOKUP(0,EmTruck20,4)*VLOOKUP(ProjLoc,EmCost,4)+VLOOKUP(0,EmTruck20,5)*VLOOKUP(ProjLoc,EmCost,5)+VLOOKUP(0,EmTruck20,6)*VLOOKUP(ProjLoc,EmCost,6)+VLOOKUP(0,EmTruck20,7)*VLOOKUP(ProjLoc,EmCost,7)),0)</f>
        <v>0</v>
      </c>
      <c r="U75" s="729">
        <f>IF(INDEX(HwyTransitModelGroup,A50,1)=PARAMETERS!$J$9,C75*0.00000110231131*(VLOOKUP(K75,EmBus20,2)*VLOOKUP(ProjLoc,EmCost,2)+VLOOKUP(K75,EmBus20,3)*VLOOKUP(ProjLoc,EmCost,3)*(1+CO2Uprater)^($B75-YearCurrent)+VLOOKUP(K75,EmBus20,4)*VLOOKUP(ProjLoc,EmCost,4)+VLOOKUP(K75,EmBus20,5)*VLOOKUP(ProjLoc,EmCost,5)+VLOOKUP(K75,EmBus20,6)*VLOOKUP(ProjLoc,EmCost,6)+VLOOKUP(K75,EmBus20,7)*VLOOKUP(ProjLoc,EmCost,7)),0)</f>
        <v>0</v>
      </c>
      <c r="V75" s="802">
        <f>IF(INDEX(HwyTransitModelGroup,A50,1)=PARAMETERS!$J$9,D75*0.00000110231131*(VLOOKUP(L75,EmBus20,2)*VLOOKUP(ProjLoc,EmCost,2)+VLOOKUP(L75,EmBus20,3)*VLOOKUP(ProjLoc,EmCost,3)*(1+CO2Uprater)^($B75-YearCurrent)+VLOOKUP(L75,EmBus20,4)*VLOOKUP(ProjLoc,EmCost,4)+VLOOKUP(L75,EmBus20,5)*VLOOKUP(ProjLoc,EmCost,5)+VLOOKUP(L75,EmBus20,6)*VLOOKUP(ProjLoc,EmCost,6)+VLOOKUP(L75,EmBus20,7)*VLOOKUP(ProjLoc,EmCost,7)),0)</f>
        <v>0</v>
      </c>
      <c r="W75" s="808">
        <f>IF(INDEX(HwyTransitModelGroup,A50,1)=PARAMETERS!$J$10,C75*0.00000110231131*(PARAMETERS!$CQ$29*VLOOKUP(ProjLoc,EmCost,2)+PARAMETERS!$CR$29*VLOOKUP(ProjLoc,EmCost,3)*(1+CO2Uprater)^($B75-YearCurrent)+PARAMETERS!$CS$29*VLOOKUP(ProjLoc,EmCost,4)+PARAMETERS!$CT$29*VLOOKUP(ProjLoc,EmCost,5)+PARAMETERS!$CU$29*VLOOKUP(ProjLoc,EmCost,6)+PARAMETERS!$CV$29*VLOOKUP(ProjLoc,EmCost,7)),0)</f>
        <v>0</v>
      </c>
      <c r="X75" s="844">
        <f>IF(INDEX(HwyTransitModelGroup,A50,1)=PARAMETERS!$J$10,D75*0.00000110231131*(PARAMETERS!$CQ$29*VLOOKUP(ProjLoc,EmCost,2)+PARAMETERS!$CR$29*VLOOKUP(ProjLoc,EmCost,3)*(1+CO2Uprater)^($B75-YearCurrent)+PARAMETERS!$CS$29*VLOOKUP(ProjLoc,EmCost,4)+PARAMETERS!$CT$29*VLOOKUP(ProjLoc,EmCost,5)+PARAMETERS!$CU$29*VLOOKUP(ProjLoc,EmCost,6)+PARAMETERS!$CV$29*VLOOKUP(ProjLoc,EmCost,7)),0)</f>
        <v>0</v>
      </c>
      <c r="Y75" s="808">
        <f>IF(INDEX(HwyTransitModelGroup,A50,1)=PARAMETERS!$J$11,C75*0.00000110231131*(PARAMETERS!$CQ$37*VLOOKUP(ProjLoc,EmCost,2)+PARAMETERS!$CR$37*VLOOKUP(ProjLoc,EmCost,3)*(1+CO2Uprater)^($B75-YearCurrent)+PARAMETERS!$CS$37*VLOOKUP(ProjLoc,EmCost,4)+PARAMETERS!$CT$37*VLOOKUP(ProjLoc,EmCost,5)+PARAMETERS!$CU$37*VLOOKUP(ProjLoc,EmCost,6)+PARAMETERS!$CV$37*VLOOKUP(ProjLoc,EmCost,7)),0)</f>
        <v>0</v>
      </c>
      <c r="Z75" s="844">
        <f>IF(INDEX(HwyTransitModelGroup,A50,1)=PARAMETERS!$J$11,D75*0.00000110231131*(PARAMETERS!$CQ$37*VLOOKUP(ProjLoc,EmCost,2)+PARAMETERS!$CR$37*VLOOKUP(ProjLoc,EmCost,3)*(1+CO2Uprater)^($B75-YearCurrent)+PARAMETERS!$CS$37*VLOOKUP(ProjLoc,EmCost,4)+PARAMETERS!$CT$37*VLOOKUP(ProjLoc,EmCost,5)+PARAMETERS!$CU$37*VLOOKUP(ProjLoc,EmCost,6)+PARAMETERS!$CV$37*VLOOKUP(ProjLoc,EmCost,7)),0)</f>
        <v>0</v>
      </c>
      <c r="AA75" s="369">
        <f t="shared" si="19"/>
        <v>-2268.5151201109766</v>
      </c>
      <c r="AB75" s="370">
        <f t="shared" si="20"/>
        <v>-1035.320688078906</v>
      </c>
      <c r="AC75" s="371"/>
      <c r="AD75" s="401">
        <f>IF(INDEX(HwyTransitModelGroup,A50,1)=Hwy,0.00000110231131*(C75*(1-M75)*VLOOKUP(K75,EmAuto20,2)-D75*(1-N75)*VLOOKUP(L75,EmAuto20,2)+(O75*(1-M75)-P75*(1-N75))*VLOOKUP(0,EmAuto20,2))+0.00000110231131*(C75*M75*VLOOKUP(K75,EmTruck20,2)-D75*N75*VLOOKUP(L75,EmTruck20,2)+(O75*M75-P75*N75)*VLOOKUP(0,EmTruck20,2)),0)</f>
        <v>-2.7301944231586297E-4</v>
      </c>
      <c r="AE75" s="863">
        <f>IF(INDEX(HwyTransitModelGroup,A50,1)=Hwy,0.00000110231131*(C75*(1-M75)*VLOOKUP(K75,EmAuto20,3)-D75*(1-N75)*VLOOKUP(L75,EmAuto20,3)+(O75*(1-M75)-P75*(1-N75))*VLOOKUP(0,EmAuto20,3))+0.00000110231131*(C75*M75*VLOOKUP(K75,EmTruck20,3)-D75*N75*VLOOKUP(L75,EmTruck20,3)+(O75*M75-P75*N75)*VLOOKUP(0,EmTruck20,3)),0)</f>
        <v>-28.085162775011018</v>
      </c>
      <c r="AF75" s="861">
        <f>IF(INDEX(HwyTransitModelGroup,A50,1)=Hwy,0.00000110231131*(C75*(1-M75)*VLOOKUP(K75,EmAuto20,4)-D75*(1-N75)*VLOOKUP(L75,EmAuto20,4)+(O75*(1-M75)-P75*(1-N75))*VLOOKUP(0,EmAuto20,4))+0.00000110231131*(C75*M75*VLOOKUP(K75,EmTruck20,4)-D75*N75*VLOOKUP(L75,EmTruck20,4)+(O75*M75-P75*N75)*VLOOKUP(0,EmTruck20,4)),0)</f>
        <v>-1.2821504032625105E-2</v>
      </c>
      <c r="AG75" s="863">
        <f>IF(INDEX(HwyTransitModelGroup,A50,1)=Hwy,0.00000110231131*(C75*(1-M75)*VLOOKUP(K75,EmAuto20,5)-D75*(1-N75)*VLOOKUP(L75,EmAuto20,5)+(O75*(1-M75)-P75*(1-N75))*VLOOKUP(0,EmAuto20,5))+0.00000110231131*(C75*M75*VLOOKUP(K75,EmTruck20,5)-D75*N75*VLOOKUP(L75,EmTruck20,5)+(O75*M75-P75*N75)*VLOOKUP(0,EmTruck20,5)),0)</f>
        <v>-4.5185249440621121E-4</v>
      </c>
      <c r="AH75" s="861">
        <f>IF(INDEX(HwyTransitModelGroup,A50,1)=Hwy,0.00000110231131*(C75*(1-M75)*VLOOKUP(K75,EmAuto20,6)-D75*(1-N75)*VLOOKUP(L75,EmAuto20,6)+(O75*(1-M75)-P75*(1-N75))*VLOOKUP(0,EmAuto20,6))+0.00000110231131*(C75*M75*VLOOKUP(K75,EmTruck20,6)-D75*N75*VLOOKUP(L75,EmTruck20,6)+(O75*M75-P75*N75)*VLOOKUP(0,EmTruck20,6)),0)</f>
        <v>-3.2110240275395202E-4</v>
      </c>
      <c r="AI75" s="863">
        <f>IF(INDEX(HwyTransitModelGroup,A50,1)=Hwy,0.00000110231131*(C75*(1-M75)*VLOOKUP(K75,EmAuto20,7)-D75*(1-N75)*VLOOKUP(L75,EmAuto20,7)+(O75*(1-M75)-P75*(1-N75))*VLOOKUP(0,EmAuto20,7))+0.00000110231131*(C75*M75*VLOOKUP(K75,EmTruck20,7)-D75*N75*VLOOKUP(L75,EmTruck20,7)+(O75*M75-P75*N75)*VLOOKUP(0,EmTruck20,7)),0)</f>
        <v>-2.2310115118369205E-5</v>
      </c>
      <c r="AJ75" s="861">
        <f>IF(INDEX(HwyTransitModelGroup,A50,1)=Hwy,0.00000110231131*(C75*(1-M75)*VLOOKUP(K75,EmAuto20,8)-D75*(1-N75)*VLOOKUP(L75,EmAuto20,8)+(O75*(1-M75)-P75*(1-N75))*VLOOKUP(0,EmAuto20,8))+0.00000110231131*(C75*M75*VLOOKUP(K75,EmTruck20,8)-D75*N75*VLOOKUP(L75,EmTruck20,8)+(O75*M75-P75*N75)*VLOOKUP(0,EmTruck20,8)),0)</f>
        <v>-4.3164003802756521E-4</v>
      </c>
      <c r="AK75" s="401">
        <f>IF(INDEX(HwyTransitModelGroup,A50,1)=PARAMETERS!$J$9,0.00000110231131*(C75*VLOOKUP(K75,EmBus20,2)-D75*VLOOKUP(L75,EmBus20,2)+(O75-P75)*VLOOKUP(0,EmBus20,2)),0)</f>
        <v>0</v>
      </c>
      <c r="AL75" s="863">
        <f>IF(INDEX(HwyTransitModelGroup,A50,1)=PARAMETERS!$J$9,0.00000110231131*(C75*VLOOKUP(K75,EmBus20,3)-D75*VLOOKUP(L75,EmBus20,3)+(O75-P75)*VLOOKUP(0,EmBus20,3)),0)</f>
        <v>0</v>
      </c>
      <c r="AM75" s="861">
        <f>IF(INDEX(HwyTransitModelGroup,A50,1)=PARAMETERS!$J$9,0.00000110231131*(C75*VLOOKUP(K75,EmBus20,4)-D75*VLOOKUP(L75,EmBus20,4)+(O75-P75)*VLOOKUP(0,EmBus20,4)),0)</f>
        <v>0</v>
      </c>
      <c r="AN75" s="863">
        <f>IF(INDEX(HwyTransitModelGroup,A50,1)=PARAMETERS!$J$9,0.00000110231131*(C75*VLOOKUP(K75,EmBus20,5)-D75*VLOOKUP(L75,EmBus20,5)+(O75-P75)*VLOOKUP(0,EmBus20,5)),0)</f>
        <v>0</v>
      </c>
      <c r="AO75" s="861">
        <f>IF(INDEX(HwyTransitModelGroup,A50,1)=PARAMETERS!$J$9,0.00000110231131*(C75*VLOOKUP(K75,EmBus20,6)-D75*VLOOKUP(L75,EmBus20,6)+(O75-P75)*VLOOKUP(0,EmBus20,6)),0)</f>
        <v>0</v>
      </c>
      <c r="AP75" s="863">
        <f>IF(INDEX(HwyTransitModelGroup,A50,1)=PARAMETERS!$J$9,0.00000110231131*(C75*VLOOKUP(K75,EmBus20,7)-D75*VLOOKUP(L75,EmBus20,7)+(O75-P75)*VLOOKUP(0,EmBus20,7)),0)</f>
        <v>0</v>
      </c>
      <c r="AQ75" s="861">
        <f>IF(INDEX(HwyTransitModelGroup,A50,1)=PARAMETERS!$J$9,0.00000110231131*(C75*VLOOKUP(K75,EmBus20,8)-D75*VLOOKUP(L75,EmBus20,8)+(O75-P75)*VLOOKUP(0,EmBus20,8)),0)</f>
        <v>0</v>
      </c>
      <c r="AR75" s="401">
        <f>IF(INDEX(HwyTransitModelGroup,A50,1)=PARAMETERS!$J$10,0.00000110231131*((C75-D75)*PARAMETERS!$CQ$29),0)</f>
        <v>0</v>
      </c>
      <c r="AS75" s="863">
        <f>IF(INDEX(HwyTransitModelGroup,A50,1)=PARAMETERS!$J$10,0.00000110231131*((C75-D75)*PARAMETERS!$CR$29),0)</f>
        <v>0</v>
      </c>
      <c r="AT75" s="861">
        <f>IF(INDEX(HwyTransitModelGroup,A50,1)=PARAMETERS!$J$10,0.00000110231131*((C75-D75)*PARAMETERS!$CS$29),0)</f>
        <v>0</v>
      </c>
      <c r="AU75" s="863">
        <f>IF(INDEX(HwyTransitModelGroup,A50,1)=PARAMETERS!$J$10,0.00000110231131*((C75-D75)*PARAMETERS!$CT$29),0)</f>
        <v>0</v>
      </c>
      <c r="AV75" s="861">
        <f>IF(INDEX(HwyTransitModelGroup,A50,1)=PARAMETERS!$J$10,0.00000110231131*((C75-D75)*PARAMETERS!$CU$29),0)</f>
        <v>0</v>
      </c>
      <c r="AW75" s="863">
        <f>IF(INDEX(HwyTransitModelGroup,A50,1)=PARAMETERS!$J$10,0.00000110231131*((C75-D75)*PARAMETERS!$CV$29),0)</f>
        <v>0</v>
      </c>
      <c r="AX75" s="861">
        <f>IF(INDEX(HwyTransitModelGroup,A50,1)=PARAMETERS!$J$10,0.00000110231131*((C75-D75)*PARAMETERS!$CW$29),0)</f>
        <v>0</v>
      </c>
      <c r="AY75" s="401">
        <f>IF(INDEX(HwyTransitModelGroup,A50,1)=PARAMETERS!$J$11,0.00000110231131*((C75-D75)*PARAMETERS!$CQ$37),0)</f>
        <v>0</v>
      </c>
      <c r="AZ75" s="863">
        <f>IF(INDEX(HwyTransitModelGroup,A50,1)=PARAMETERS!$J$11,0.00000110231131*((C75-D75)*PARAMETERS!$CR$37),0)</f>
        <v>0</v>
      </c>
      <c r="BA75" s="861">
        <f>IF(INDEX(HwyTransitModelGroup,A50,1)=PARAMETERS!$J$11,0.00000110231131*((C75-D75)*PARAMETERS!$CS$37),0)</f>
        <v>0</v>
      </c>
      <c r="BB75" s="863">
        <f>IF(INDEX(HwyTransitModelGroup,A50,1)=PARAMETERS!$J$11,0.00000110231131*((C75-D75)*PARAMETERS!$CT$37),0)</f>
        <v>0</v>
      </c>
      <c r="BC75" s="861">
        <f>IF(INDEX(HwyTransitModelGroup,A50,1)=PARAMETERS!$J$11,0.00000110231131*((C75-D75)*PARAMETERS!$CU$37),0)</f>
        <v>0</v>
      </c>
      <c r="BD75" s="863">
        <f>IF(INDEX(HwyTransitModelGroup,A50,1)=PARAMETERS!$J$11,0.00000110231131*((C75-D75)*PARAMETERS!$CV$37),0)</f>
        <v>0</v>
      </c>
      <c r="BE75" s="865">
        <f>IF(INDEX(HwyTransitModelGroup,A50,1)=PARAMETERS!$J$11,0.00000110231131*((C75-D75)*PARAMETERS!$CW$37),0)</f>
        <v>0</v>
      </c>
      <c r="BF75" s="729">
        <f t="shared" si="21"/>
        <v>-9.9682007625693219E-3</v>
      </c>
      <c r="BG75" s="867">
        <f t="shared" si="22"/>
        <v>-914.22866028526323</v>
      </c>
      <c r="BH75" s="867">
        <f t="shared" si="23"/>
        <v>-88.358662774475576</v>
      </c>
      <c r="BI75" s="867">
        <f t="shared" si="24"/>
        <v>-24.065824992475349</v>
      </c>
      <c r="BJ75" s="867">
        <f t="shared" si="25"/>
        <v>-8.646269755635636</v>
      </c>
      <c r="BK75" s="869">
        <f t="shared" si="26"/>
        <v>-1.1302070292181696E-2</v>
      </c>
      <c r="BL75" s="392"/>
      <c r="BN75" s="375">
        <f t="shared" si="27"/>
        <v>2043</v>
      </c>
      <c r="BO75" s="871">
        <f t="shared" ca="1" si="17"/>
        <v>-3.282085259065462E-2</v>
      </c>
      <c r="BP75" s="871">
        <f t="shared" ca="1" si="29"/>
        <v>-2.7627552882984155E-4</v>
      </c>
      <c r="BQ75" s="871">
        <f t="shared" ca="1" si="29"/>
        <v>5.535615332207576E-2</v>
      </c>
      <c r="BR75" s="871">
        <f t="shared" ca="1" si="29"/>
        <v>0.19938456384673842</v>
      </c>
      <c r="BS75" s="871">
        <f t="shared" ca="1" si="29"/>
        <v>0.93228845342543509</v>
      </c>
      <c r="BT75" s="871">
        <f t="shared" ca="1" si="29"/>
        <v>1.0802275218641892</v>
      </c>
    </row>
    <row r="76" spans="2:76" x14ac:dyDescent="0.25">
      <c r="B76" s="375">
        <f t="shared" si="28"/>
        <v>2043</v>
      </c>
      <c r="C76" s="401">
        <f>MAX(TREND(C56:C57,B56:B57,B76),0)</f>
        <v>719232.5</v>
      </c>
      <c r="D76" s="402">
        <f>MAX(TREND(D56:D57,B56:B57,B76),0)</f>
        <v>733230.25</v>
      </c>
      <c r="E76" s="401">
        <f>MAX(TREND(E56:E57,B56:B57,B76),0)</f>
        <v>13632.75</v>
      </c>
      <c r="F76" s="402">
        <f>MAX(TREND(F56:F57,B56:B57,B76),0)</f>
        <v>13322.5</v>
      </c>
      <c r="G76" s="401">
        <f>MAX(TREND(G56:G57,B56:B57,B76),0)</f>
        <v>0</v>
      </c>
      <c r="H76" s="402">
        <f>MAX(TREND(H56:H57,B56:B57,B76),0)</f>
        <v>0</v>
      </c>
      <c r="I76" s="401">
        <f>MAX(TREND(I56:I57,B56:B57,B76),0)</f>
        <v>0</v>
      </c>
      <c r="J76" s="402">
        <f>MAX(TREND(J56:J57,B56:B57,B76),0)</f>
        <v>0</v>
      </c>
      <c r="K76" s="435">
        <f>IFERROR(IF(INDEX(HwyTransitModelGroup,A50,1)=Hwy,MAX(5,ROUND(C76/E76,1)),MAX(5,ROUND(G76/I76,1))),55)</f>
        <v>52.8</v>
      </c>
      <c r="L76" s="436">
        <f>IFERROR(IF(INDEX(HwyTransitModelGroup,A50,1)=Hwy,MAX(5,ROUND(D76/F76,1)),MAX(5,ROUND(H76/J76,1))),55)</f>
        <v>55</v>
      </c>
      <c r="M76" s="405">
        <f>MIN(MAX(TREND(M56:M57,B56:B57,B76),0),1)</f>
        <v>0.24</v>
      </c>
      <c r="N76" s="406">
        <f>MIN(MAX(TREND(N56:N57,B56:B57,B76),0),1)</f>
        <v>0.24</v>
      </c>
      <c r="O76" s="401">
        <f>MAX(TREND(O56:O57,B56:B57,B76),0)</f>
        <v>0</v>
      </c>
      <c r="P76" s="402">
        <f>MAX(TREND(P56:P57,B56:B57,B76),0)</f>
        <v>0</v>
      </c>
      <c r="Q76" s="729">
        <f>IF(INDEX(HwyTransitModelGroup,A50,1)=Hwy,C76*(1-M76)*0.00000110231131*(VLOOKUP(K76,EmAuto20,2)*VLOOKUP(ProjLoc,EmCost,2)+VLOOKUP(K76,EmAuto20,3)*VLOOKUP(ProjLoc,EmCost,3)*(1+CO2Uprater)^($B76-YearCurrent)+VLOOKUP(K76,EmAuto20,4)*VLOOKUP(ProjLoc,EmCost,4)+VLOOKUP(K76,EmAuto20,5)*VLOOKUP(ProjLoc,EmCost,5)+VLOOKUP(K76,EmAuto20,6)*VLOOKUP(ProjLoc,EmCost,6)+VLOOKUP(K76,EmAuto20,7)*VLOOKUP(ProjLoc,EmCost,7))+C76*M76*0.00000110231131*(VLOOKUP(K76,EmTruck20,2)*VLOOKUP(ProjLoc,EmCost,2)+VLOOKUP(K76,EmTruck20,3)*VLOOKUP(ProjLoc,EmCost,3)*(1+CO2Uprater)^($B76-YearCurrent)+VLOOKUP(K76,EmTruck20,4)*VLOOKUP(ProjLoc,EmCost,4)+VLOOKUP(K76,EmTruck20,5)*VLOOKUP(ProjLoc,EmCost,5)+VLOOKUP(K76,EmTruck20,6)*VLOOKUP(ProjLoc,EmCost,6)+VLOOKUP(K76,EmTruck20,7)*VLOOKUP(ProjLoc,EmCost,7)),0)</f>
        <v>20107.805864720394</v>
      </c>
      <c r="R76" s="802">
        <f>IF(INDEX(HwyTransitModelGroup,A50,1)=Hwy,D76*(1-N76)*0.00000110231131*(VLOOKUP(L76,EmAuto20,2)*VLOOKUP(ProjLoc,EmCost,2)+VLOOKUP(L76,EmAuto20,3)*VLOOKUP(ProjLoc,EmCost,3)*(1+CO2Uprater)^($B76-YearCurrent)+VLOOKUP(L76,EmAuto20,4)*VLOOKUP(ProjLoc,EmCost,4)+VLOOKUP(L76,EmAuto20,5)*VLOOKUP(ProjLoc,EmCost,5)+VLOOKUP(L76,EmAuto20,6)*VLOOKUP(ProjLoc,EmCost,6)+VLOOKUP(L76,EmAuto20,7)*VLOOKUP(ProjLoc,EmCost,7))+D76*N76*0.00000110231131*(VLOOKUP(L76,EmTruck20,2)*VLOOKUP(ProjLoc,EmCost,2)+VLOOKUP(L76,EmTruck20,3)*VLOOKUP(ProjLoc,EmCost,3)*(1+CO2Uprater)^($B76-YearCurrent)+VLOOKUP(L76,EmTruck20,4)*VLOOKUP(ProjLoc,EmCost,4)+VLOOKUP(L76,EmTruck20,5)*VLOOKUP(ProjLoc,EmCost,5)+VLOOKUP(L76,EmTruck20,6)*VLOOKUP(ProjLoc,EmCost,6)+VLOOKUP(L76,EmTruck20,7)*VLOOKUP(ProjLoc,EmCost,7)),0)</f>
        <v>22450.211554998365</v>
      </c>
      <c r="S76" s="729">
        <f>IF(INDEX(HwyTransitModelGroup,A50,1)=Hwy,O76*(1-M76)*0.00000110231131*(VLOOKUP(0,EmAuto20,2)*VLOOKUP(ProjLoc,EmCost,2)+VLOOKUP(0,EmAuto20,3)*VLOOKUP(ProjLoc,EmCost,3)*(1+CO2Uprater)^($B76-YearCurrent)+VLOOKUP(0,EmAuto20,4)*VLOOKUP(ProjLoc,EmCost,4)+VLOOKUP(0,EmAuto20,5)*VLOOKUP(ProjLoc,EmCost,5)+VLOOKUP(0,EmAuto20,6)*VLOOKUP(ProjLoc,EmCost,6)+VLOOKUP(0,EmAuto20,7)*VLOOKUP(ProjLoc,EmCost,7))+O76*M76*0.00000110231131*(VLOOKUP(0,EmTruck20,2)*VLOOKUP(ProjLoc,EmCost,2)+VLOOKUP(0,EmTruck20,3)*VLOOKUP(ProjLoc,EmCost,3)*(1+CO2Uprater)^($B76-YearCurrent)+VLOOKUP(0,EmTruck20,4)*VLOOKUP(ProjLoc,EmCost,4)+VLOOKUP(0,EmTruck20,5)*VLOOKUP(ProjLoc,EmCost,5)+VLOOKUP(0,EmTruck20,6)*VLOOKUP(ProjLoc,EmCost,6)+VLOOKUP(0,EmTruck20,7)*VLOOKUP(ProjLoc,EmCost,7)),0)</f>
        <v>0</v>
      </c>
      <c r="T76" s="802">
        <f>IF(INDEX(HwyTransitModelGroup,A50,1)=Hwy,P76*(1-N76)*0.00000110231131*(VLOOKUP(0,EmAuto20,2)*VLOOKUP(ProjLoc,EmCost,2)+VLOOKUP(0,EmAuto20,3)*VLOOKUP(ProjLoc,EmCost,3)*(1+CO2Uprater)^($B76-YearCurrent)+VLOOKUP(0,EmAuto20,4)*VLOOKUP(ProjLoc,EmCost,4)+VLOOKUP(0,EmAuto20,5)*VLOOKUP(ProjLoc,EmCost,5)+VLOOKUP(0,EmAuto20,6)*VLOOKUP(ProjLoc,EmCost,6)+VLOOKUP(0,EmAuto20,7)*VLOOKUP(ProjLoc,EmCost,7))+P76*N76*0.00000110231131*(VLOOKUP(0,EmTruck20,2)*VLOOKUP(ProjLoc,EmCost,2)+VLOOKUP(0,EmTruck20,3)*VLOOKUP(ProjLoc,EmCost,3)*(1+CO2Uprater)^($B76-YearCurrent)+VLOOKUP(0,EmTruck20,4)*VLOOKUP(ProjLoc,EmCost,4)+VLOOKUP(0,EmTruck20,5)*VLOOKUP(ProjLoc,EmCost,5)+VLOOKUP(0,EmTruck20,6)*VLOOKUP(ProjLoc,EmCost,6)+VLOOKUP(0,EmTruck20,7)*VLOOKUP(ProjLoc,EmCost,7)),0)</f>
        <v>0</v>
      </c>
      <c r="U76" s="729">
        <f>IF(INDEX(HwyTransitModelGroup,A50,1)=PARAMETERS!$J$9,C76*0.00000110231131*(VLOOKUP(K76,EmBus20,2)*VLOOKUP(ProjLoc,EmCost,2)+VLOOKUP(K76,EmBus20,3)*VLOOKUP(ProjLoc,EmCost,3)*(1+CO2Uprater)^($B76-YearCurrent)+VLOOKUP(K76,EmBus20,4)*VLOOKUP(ProjLoc,EmCost,4)+VLOOKUP(K76,EmBus20,5)*VLOOKUP(ProjLoc,EmCost,5)+VLOOKUP(K76,EmBus20,6)*VLOOKUP(ProjLoc,EmCost,6)+VLOOKUP(K76,EmBus20,7)*VLOOKUP(ProjLoc,EmCost,7)),0)</f>
        <v>0</v>
      </c>
      <c r="V76" s="802">
        <f>IF(INDEX(HwyTransitModelGroup,A50,1)=PARAMETERS!$J$9,D76*0.00000110231131*(VLOOKUP(L76,EmBus20,2)*VLOOKUP(ProjLoc,EmCost,2)+VLOOKUP(L76,EmBus20,3)*VLOOKUP(ProjLoc,EmCost,3)*(1+CO2Uprater)^($B76-YearCurrent)+VLOOKUP(L76,EmBus20,4)*VLOOKUP(ProjLoc,EmCost,4)+VLOOKUP(L76,EmBus20,5)*VLOOKUP(ProjLoc,EmCost,5)+VLOOKUP(L76,EmBus20,6)*VLOOKUP(ProjLoc,EmCost,6)+VLOOKUP(L76,EmBus20,7)*VLOOKUP(ProjLoc,EmCost,7)),0)</f>
        <v>0</v>
      </c>
      <c r="W76" s="808">
        <f>IF(INDEX(HwyTransitModelGroup,A50,1)=PARAMETERS!$J$10,C76*0.00000110231131*(PARAMETERS!$CQ$29*VLOOKUP(ProjLoc,EmCost,2)+PARAMETERS!$CR$29*VLOOKUP(ProjLoc,EmCost,3)*(1+CO2Uprater)^($B76-YearCurrent)+PARAMETERS!$CS$29*VLOOKUP(ProjLoc,EmCost,4)+PARAMETERS!$CT$29*VLOOKUP(ProjLoc,EmCost,5)+PARAMETERS!$CU$29*VLOOKUP(ProjLoc,EmCost,6)+PARAMETERS!$CV$29*VLOOKUP(ProjLoc,EmCost,7)),0)</f>
        <v>0</v>
      </c>
      <c r="X76" s="844">
        <f>IF(INDEX(HwyTransitModelGroup,A50,1)=PARAMETERS!$J$10,D76*0.00000110231131*(PARAMETERS!$CQ$29*VLOOKUP(ProjLoc,EmCost,2)+PARAMETERS!$CR$29*VLOOKUP(ProjLoc,EmCost,3)*(1+CO2Uprater)^($B76-YearCurrent)+PARAMETERS!$CS$29*VLOOKUP(ProjLoc,EmCost,4)+PARAMETERS!$CT$29*VLOOKUP(ProjLoc,EmCost,5)+PARAMETERS!$CU$29*VLOOKUP(ProjLoc,EmCost,6)+PARAMETERS!$CV$29*VLOOKUP(ProjLoc,EmCost,7)),0)</f>
        <v>0</v>
      </c>
      <c r="Y76" s="808">
        <f>IF(INDEX(HwyTransitModelGroup,A50,1)=PARAMETERS!$J$11,C76*0.00000110231131*(PARAMETERS!$CQ$37*VLOOKUP(ProjLoc,EmCost,2)+PARAMETERS!$CR$37*VLOOKUP(ProjLoc,EmCost,3)*(1+CO2Uprater)^($B76-YearCurrent)+PARAMETERS!$CS$37*VLOOKUP(ProjLoc,EmCost,4)+PARAMETERS!$CT$37*VLOOKUP(ProjLoc,EmCost,5)+PARAMETERS!$CU$37*VLOOKUP(ProjLoc,EmCost,6)+PARAMETERS!$CV$37*VLOOKUP(ProjLoc,EmCost,7)),0)</f>
        <v>0</v>
      </c>
      <c r="Z76" s="844">
        <f>IF(INDEX(HwyTransitModelGroup,A50,1)=PARAMETERS!$J$11,D76*0.00000110231131*(PARAMETERS!$CQ$37*VLOOKUP(ProjLoc,EmCost,2)+PARAMETERS!$CR$37*VLOOKUP(ProjLoc,EmCost,3)*(1+CO2Uprater)^($B76-YearCurrent)+PARAMETERS!$CS$37*VLOOKUP(ProjLoc,EmCost,4)+PARAMETERS!$CT$37*VLOOKUP(ProjLoc,EmCost,5)+PARAMETERS!$CU$37*VLOOKUP(ProjLoc,EmCost,6)+PARAMETERS!$CV$37*VLOOKUP(ProjLoc,EmCost,7)),0)</f>
        <v>0</v>
      </c>
      <c r="AA76" s="369">
        <f t="shared" si="19"/>
        <v>-2342.4056902779703</v>
      </c>
      <c r="AB76" s="370">
        <f t="shared" si="20"/>
        <v>-1027.9263266831656</v>
      </c>
      <c r="AC76" s="371"/>
      <c r="AD76" s="401">
        <f>IF(INDEX(HwyTransitModelGroup,A50,1)=Hwy,0.00000110231131*(C76*(1-M76)*VLOOKUP(K76,EmAuto20,2)-D76*(1-N76)*VLOOKUP(L76,EmAuto20,2)+(O76*(1-M76)-P76*(1-N76))*VLOOKUP(0,EmAuto20,2))+0.00000110231131*(C76*M76*VLOOKUP(K76,EmTruck20,2)-D76*N76*VLOOKUP(L76,EmTruck20,2)+(O76*M76-P76*N76)*VLOOKUP(0,EmTruck20,2)),0)</f>
        <v>-2.7627552882984155E-4</v>
      </c>
      <c r="AE76" s="863">
        <f>IF(INDEX(HwyTransitModelGroup,A50,1)=Hwy,0.00000110231131*(C76*(1-M76)*VLOOKUP(K76,EmAuto20,3)-D76*(1-N76)*VLOOKUP(L76,EmAuto20,3)+(O76*(1-M76)-P76*(1-N76))*VLOOKUP(0,EmAuto20,3))+0.00000110231131*(C76*M76*VLOOKUP(K76,EmTruck20,3)-D76*N76*VLOOKUP(L76,EmTruck20,3)+(O76*M76-P76*N76)*VLOOKUP(0,EmTruck20,3)),0)</f>
        <v>-28.496653577236074</v>
      </c>
      <c r="AF76" s="861">
        <f>IF(INDEX(HwyTransitModelGroup,A50,1)=Hwy,0.00000110231131*(C76*(1-M76)*VLOOKUP(K76,EmAuto20,4)-D76*(1-N76)*VLOOKUP(L76,EmAuto20,4)+(O76*(1-M76)-P76*(1-N76))*VLOOKUP(0,EmAuto20,4))+0.00000110231131*(C76*M76*VLOOKUP(K76,EmTruck20,4)-D76*N76*VLOOKUP(L76,EmTruck20,4)+(O76*M76-P76*N76)*VLOOKUP(0,EmTruck20,4)),0)</f>
        <v>-1.3009484528038859E-2</v>
      </c>
      <c r="AG76" s="863">
        <f>IF(INDEX(HwyTransitModelGroup,A50,1)=Hwy,0.00000110231131*(C76*(1-M76)*VLOOKUP(K76,EmAuto20,5)-D76*(1-N76)*VLOOKUP(L76,EmAuto20,5)+(O76*(1-M76)-P76*(1-N76))*VLOOKUP(0,EmAuto20,5))+0.00000110231131*(C76*M76*VLOOKUP(K76,EmTruck20,5)-D76*N76*VLOOKUP(L76,EmTruck20,5)+(O76*M76-P76*N76)*VLOOKUP(0,EmTruck20,5)),0)</f>
        <v>-4.5847877208693904E-4</v>
      </c>
      <c r="AH76" s="861">
        <f>IF(INDEX(HwyTransitModelGroup,A50,1)=Hwy,0.00000110231131*(C76*(1-M76)*VLOOKUP(K76,EmAuto20,6)-D76*(1-N76)*VLOOKUP(L76,EmAuto20,6)+(O76*(1-M76)-P76*(1-N76))*VLOOKUP(0,EmAuto20,6))+0.00000110231131*(C76*M76*VLOOKUP(K76,EmTruck20,6)-D76*N76*VLOOKUP(L76,EmTruck20,6)+(O76*M76-P76*N76)*VLOOKUP(0,EmTruck20,6)),0)</f>
        <v>-3.2580821382879454E-4</v>
      </c>
      <c r="AI76" s="863">
        <f>IF(INDEX(HwyTransitModelGroup,A50,1)=Hwy,0.00000110231131*(C76*(1-M76)*VLOOKUP(K76,EmAuto20,7)-D76*(1-N76)*VLOOKUP(L76,EmAuto20,7)+(O76*(1-M76)-P76*(1-N76))*VLOOKUP(0,EmAuto20,7))+0.00000110231131*(C76*M76*VLOOKUP(K76,EmTruck20,7)-D76*N76*VLOOKUP(L76,EmTruck20,7)+(O76*M76-P76*N76)*VLOOKUP(0,EmTruck20,7)),0)</f>
        <v>-2.2626115803918033E-5</v>
      </c>
      <c r="AJ76" s="861">
        <f>IF(INDEX(HwyTransitModelGroup,A50,1)=Hwy,0.00000110231131*(C76*(1-M76)*VLOOKUP(K76,EmAuto20,8)-D76*(1-N76)*VLOOKUP(L76,EmAuto20,8)+(O76*(1-M76)-P76*(1-N76))*VLOOKUP(0,EmAuto20,8))+0.00000110231131*(C76*M76*VLOOKUP(K76,EmTruck20,8)-D76*N76*VLOOKUP(L76,EmTruck20,8)+(O76*M76-P76*N76)*VLOOKUP(0,EmTruck20,8)),0)</f>
        <v>-4.3796986892307224E-4</v>
      </c>
      <c r="AK76" s="401">
        <f>IF(INDEX(HwyTransitModelGroup,A50,1)=PARAMETERS!$J$9,0.00000110231131*(C76*VLOOKUP(K76,EmBus20,2)-D76*VLOOKUP(L76,EmBus20,2)+(O76-P76)*VLOOKUP(0,EmBus20,2)),0)</f>
        <v>0</v>
      </c>
      <c r="AL76" s="863">
        <f>IF(INDEX(HwyTransitModelGroup,A50,1)=PARAMETERS!$J$9,0.00000110231131*(C76*VLOOKUP(K76,EmBus20,3)-D76*VLOOKUP(L76,EmBus20,3)+(O76-P76)*VLOOKUP(0,EmBus20,3)),0)</f>
        <v>0</v>
      </c>
      <c r="AM76" s="861">
        <f>IF(INDEX(HwyTransitModelGroup,A50,1)=PARAMETERS!$J$9,0.00000110231131*(C76*VLOOKUP(K76,EmBus20,4)-D76*VLOOKUP(L76,EmBus20,4)+(O76-P76)*VLOOKUP(0,EmBus20,4)),0)</f>
        <v>0</v>
      </c>
      <c r="AN76" s="863">
        <f>IF(INDEX(HwyTransitModelGroup,A50,1)=PARAMETERS!$J$9,0.00000110231131*(C76*VLOOKUP(K76,EmBus20,5)-D76*VLOOKUP(L76,EmBus20,5)+(O76-P76)*VLOOKUP(0,EmBus20,5)),0)</f>
        <v>0</v>
      </c>
      <c r="AO76" s="861">
        <f>IF(INDEX(HwyTransitModelGroup,A50,1)=PARAMETERS!$J$9,0.00000110231131*(C76*VLOOKUP(K76,EmBus20,6)-D76*VLOOKUP(L76,EmBus20,6)+(O76-P76)*VLOOKUP(0,EmBus20,6)),0)</f>
        <v>0</v>
      </c>
      <c r="AP76" s="863">
        <f>IF(INDEX(HwyTransitModelGroup,A50,1)=PARAMETERS!$J$9,0.00000110231131*(C76*VLOOKUP(K76,EmBus20,7)-D76*VLOOKUP(L76,EmBus20,7)+(O76-P76)*VLOOKUP(0,EmBus20,7)),0)</f>
        <v>0</v>
      </c>
      <c r="AQ76" s="861">
        <f>IF(INDEX(HwyTransitModelGroup,A50,1)=PARAMETERS!$J$9,0.00000110231131*(C76*VLOOKUP(K76,EmBus20,8)-D76*VLOOKUP(L76,EmBus20,8)+(O76-P76)*VLOOKUP(0,EmBus20,8)),0)</f>
        <v>0</v>
      </c>
      <c r="AR76" s="401">
        <f>IF(INDEX(HwyTransitModelGroup,A50,1)=PARAMETERS!$J$10,0.00000110231131*((C76-D76)*PARAMETERS!$CQ$29),0)</f>
        <v>0</v>
      </c>
      <c r="AS76" s="863">
        <f>IF(INDEX(HwyTransitModelGroup,A50,1)=PARAMETERS!$J$10,0.00000110231131*((C76-D76)*PARAMETERS!$CR$29),0)</f>
        <v>0</v>
      </c>
      <c r="AT76" s="861">
        <f>IF(INDEX(HwyTransitModelGroup,A50,1)=PARAMETERS!$J$10,0.00000110231131*((C76-D76)*PARAMETERS!$CS$29),0)</f>
        <v>0</v>
      </c>
      <c r="AU76" s="863">
        <f>IF(INDEX(HwyTransitModelGroup,A50,1)=PARAMETERS!$J$10,0.00000110231131*((C76-D76)*PARAMETERS!$CT$29),0)</f>
        <v>0</v>
      </c>
      <c r="AV76" s="861">
        <f>IF(INDEX(HwyTransitModelGroup,A50,1)=PARAMETERS!$J$10,0.00000110231131*((C76-D76)*PARAMETERS!$CU$29),0)</f>
        <v>0</v>
      </c>
      <c r="AW76" s="863">
        <f>IF(INDEX(HwyTransitModelGroup,A50,1)=PARAMETERS!$J$10,0.00000110231131*((C76-D76)*PARAMETERS!$CV$29),0)</f>
        <v>0</v>
      </c>
      <c r="AX76" s="861">
        <f>IF(INDEX(HwyTransitModelGroup,A50,1)=PARAMETERS!$J$10,0.00000110231131*((C76-D76)*PARAMETERS!$CW$29),0)</f>
        <v>0</v>
      </c>
      <c r="AY76" s="401">
        <f>IF(INDEX(HwyTransitModelGroup,A50,1)=PARAMETERS!$J$11,0.00000110231131*((C76-D76)*PARAMETERS!$CQ$37),0)</f>
        <v>0</v>
      </c>
      <c r="AZ76" s="863">
        <f>IF(INDEX(HwyTransitModelGroup,A50,1)=PARAMETERS!$J$11,0.00000110231131*((C76-D76)*PARAMETERS!$CR$37),0)</f>
        <v>0</v>
      </c>
      <c r="BA76" s="861">
        <f>IF(INDEX(HwyTransitModelGroup,A50,1)=PARAMETERS!$J$11,0.00000110231131*((C76-D76)*PARAMETERS!$CS$37),0)</f>
        <v>0</v>
      </c>
      <c r="BB76" s="863">
        <f>IF(INDEX(HwyTransitModelGroup,A50,1)=PARAMETERS!$J$11,0.00000110231131*((C76-D76)*PARAMETERS!$CT$37),0)</f>
        <v>0</v>
      </c>
      <c r="BC76" s="861">
        <f>IF(INDEX(HwyTransitModelGroup,A50,1)=PARAMETERS!$J$11,0.00000110231131*((C76-D76)*PARAMETERS!$CU$37),0)</f>
        <v>0</v>
      </c>
      <c r="BD76" s="863">
        <f>IF(INDEX(HwyTransitModelGroup,A50,1)=PARAMETERS!$J$11,0.00000110231131*((C76-D76)*PARAMETERS!$CV$37),0)</f>
        <v>0</v>
      </c>
      <c r="BE76" s="865">
        <f>IF(INDEX(HwyTransitModelGroup,A50,1)=PARAMETERS!$J$11,0.00000110231131*((C76-D76)*PARAMETERS!$CW$37),0)</f>
        <v>0</v>
      </c>
      <c r="BF76" s="729">
        <f t="shared" si="21"/>
        <v>-9.6991188394460297E-3</v>
      </c>
      <c r="BG76" s="867">
        <f t="shared" si="22"/>
        <v>-909.78460159316808</v>
      </c>
      <c r="BH76" s="867">
        <f t="shared" si="23"/>
        <v>-86.20588425250925</v>
      </c>
      <c r="BI76" s="867">
        <f t="shared" si="24"/>
        <v>-23.4795604854089</v>
      </c>
      <c r="BJ76" s="867">
        <f t="shared" si="25"/>
        <v>-8.4355599323467718</v>
      </c>
      <c r="BK76" s="869">
        <f t="shared" si="26"/>
        <v>-1.1021300889156831E-2</v>
      </c>
      <c r="BL76" s="392"/>
      <c r="BN76" s="375">
        <f t="shared" si="27"/>
        <v>2044</v>
      </c>
      <c r="BO76" s="871">
        <f t="shared" ca="1" si="17"/>
        <v>-3.5870212453872931E-2</v>
      </c>
      <c r="BP76" s="871">
        <f t="shared" ca="1" si="29"/>
        <v>-2.7953161534363192E-4</v>
      </c>
      <c r="BQ76" s="871">
        <f t="shared" ca="1" si="29"/>
        <v>5.615218705209029E-2</v>
      </c>
      <c r="BR76" s="871">
        <f t="shared" ca="1" si="29"/>
        <v>0.2014985162963705</v>
      </c>
      <c r="BS76" s="871">
        <f t="shared" ca="1" si="29"/>
        <v>0.95902369142630917</v>
      </c>
      <c r="BT76" s="871">
        <f t="shared" ca="1" si="29"/>
        <v>1.1019928785967579</v>
      </c>
    </row>
    <row r="77" spans="2:76" x14ac:dyDescent="0.25">
      <c r="B77" s="375">
        <f t="shared" si="28"/>
        <v>2044</v>
      </c>
      <c r="C77" s="401">
        <f>MAX(TREND(C56:C57,B56:B57,B77),0)</f>
        <v>729635</v>
      </c>
      <c r="D77" s="402">
        <f>MAX(TREND(D56:D57,B56:B57,B77),0)</f>
        <v>743833.5</v>
      </c>
      <c r="E77" s="401">
        <f>MAX(TREND(E56:E57,B56:B57,B77),0)</f>
        <v>13833.5</v>
      </c>
      <c r="F77" s="402">
        <f>MAX(TREND(F56:F57,B56:B57,B77),0)</f>
        <v>13505</v>
      </c>
      <c r="G77" s="401">
        <f>MAX(TREND(G56:G57,B56:B57,B77),0)</f>
        <v>0</v>
      </c>
      <c r="H77" s="402">
        <f>MAX(TREND(H56:H57,B56:B57,B77),0)</f>
        <v>0</v>
      </c>
      <c r="I77" s="401">
        <f>MAX(TREND(I56:I57,B56:B57,B77),0)</f>
        <v>0</v>
      </c>
      <c r="J77" s="402">
        <f>MAX(TREND(J56:J57,B56:B57,B77),0)</f>
        <v>0</v>
      </c>
      <c r="K77" s="435">
        <f>IFERROR(IF(INDEX(HwyTransitModelGroup,A50,1)=Hwy,MAX(5,ROUND(C77/E77,1)),MAX(5,ROUND(G77/I77,1))),55)</f>
        <v>52.7</v>
      </c>
      <c r="L77" s="436">
        <f>IFERROR(IF(INDEX(HwyTransitModelGroup,A50,1)=Hwy,MAX(5,ROUND(D77/F77,1)),MAX(5,ROUND(H77/J77,1))),55)</f>
        <v>55.1</v>
      </c>
      <c r="M77" s="405">
        <f>MIN(MAX(TREND(M56:M57,B56:B57,B77),0),1)</f>
        <v>0.24</v>
      </c>
      <c r="N77" s="406">
        <f>MIN(MAX(TREND(N56:N57,B56:B57,B77),0),1)</f>
        <v>0.24</v>
      </c>
      <c r="O77" s="401">
        <f>MAX(TREND(O56:O57,B56:B57,B77),0)</f>
        <v>0</v>
      </c>
      <c r="P77" s="402">
        <f>MAX(TREND(P56:P57,B56:B57,B77),0)</f>
        <v>0</v>
      </c>
      <c r="Q77" s="729">
        <f>IF(INDEX(HwyTransitModelGroup,A50,1)=Hwy,C77*(1-M77)*0.00000110231131*(VLOOKUP(K77,EmAuto20,2)*VLOOKUP(ProjLoc,EmCost,2)+VLOOKUP(K77,EmAuto20,3)*VLOOKUP(ProjLoc,EmCost,3)*(1+CO2Uprater)^($B77-YearCurrent)+VLOOKUP(K77,EmAuto20,4)*VLOOKUP(ProjLoc,EmCost,4)+VLOOKUP(K77,EmAuto20,5)*VLOOKUP(ProjLoc,EmCost,5)+VLOOKUP(K77,EmAuto20,6)*VLOOKUP(ProjLoc,EmCost,6)+VLOOKUP(K77,EmAuto20,7)*VLOOKUP(ProjLoc,EmCost,7))+C77*M77*0.00000110231131*(VLOOKUP(K77,EmTruck20,2)*VLOOKUP(ProjLoc,EmCost,2)+VLOOKUP(K77,EmTruck20,3)*VLOOKUP(ProjLoc,EmCost,3)*(1+CO2Uprater)^($B77-YearCurrent)+VLOOKUP(K77,EmTruck20,4)*VLOOKUP(ProjLoc,EmCost,4)+VLOOKUP(K77,EmTruck20,5)*VLOOKUP(ProjLoc,EmCost,5)+VLOOKUP(K77,EmTruck20,6)*VLOOKUP(ProjLoc,EmCost,6)+VLOOKUP(K77,EmTruck20,7)*VLOOKUP(ProjLoc,EmCost,7)),0)</f>
        <v>20779.436583549515</v>
      </c>
      <c r="R77" s="802">
        <f>IF(INDEX(HwyTransitModelGroup,A50,1)=Hwy,D77*(1-N77)*0.00000110231131*(VLOOKUP(L77,EmAuto20,2)*VLOOKUP(ProjLoc,EmCost,2)+VLOOKUP(L77,EmAuto20,3)*VLOOKUP(ProjLoc,EmCost,3)*(1+CO2Uprater)^($B77-YearCurrent)+VLOOKUP(L77,EmAuto20,4)*VLOOKUP(ProjLoc,EmCost,4)+VLOOKUP(L77,EmAuto20,5)*VLOOKUP(ProjLoc,EmCost,5)+VLOOKUP(L77,EmAuto20,6)*VLOOKUP(ProjLoc,EmCost,6)+VLOOKUP(L77,EmAuto20,7)*VLOOKUP(ProjLoc,EmCost,7))+D77*N77*0.00000110231131*(VLOOKUP(L77,EmTruck20,2)*VLOOKUP(ProjLoc,EmCost,2)+VLOOKUP(L77,EmTruck20,3)*VLOOKUP(ProjLoc,EmCost,3)*(1+CO2Uprater)^($B77-YearCurrent)+VLOOKUP(L77,EmTruck20,4)*VLOOKUP(ProjLoc,EmCost,4)+VLOOKUP(L77,EmTruck20,5)*VLOOKUP(ProjLoc,EmCost,5)+VLOOKUP(L77,EmTruck20,6)*VLOOKUP(ProjLoc,EmCost,6)+VLOOKUP(L77,EmTruck20,7)*VLOOKUP(ProjLoc,EmCost,7)),0)</f>
        <v>23197.731589923431</v>
      </c>
      <c r="S77" s="729">
        <f>IF(INDEX(HwyTransitModelGroup,A50,1)=Hwy,O77*(1-M77)*0.00000110231131*(VLOOKUP(0,EmAuto20,2)*VLOOKUP(ProjLoc,EmCost,2)+VLOOKUP(0,EmAuto20,3)*VLOOKUP(ProjLoc,EmCost,3)*(1+CO2Uprater)^($B77-YearCurrent)+VLOOKUP(0,EmAuto20,4)*VLOOKUP(ProjLoc,EmCost,4)+VLOOKUP(0,EmAuto20,5)*VLOOKUP(ProjLoc,EmCost,5)+VLOOKUP(0,EmAuto20,6)*VLOOKUP(ProjLoc,EmCost,6)+VLOOKUP(0,EmAuto20,7)*VLOOKUP(ProjLoc,EmCost,7))+O77*M77*0.00000110231131*(VLOOKUP(0,EmTruck20,2)*VLOOKUP(ProjLoc,EmCost,2)+VLOOKUP(0,EmTruck20,3)*VLOOKUP(ProjLoc,EmCost,3)*(1+CO2Uprater)^($B77-YearCurrent)+VLOOKUP(0,EmTruck20,4)*VLOOKUP(ProjLoc,EmCost,4)+VLOOKUP(0,EmTruck20,5)*VLOOKUP(ProjLoc,EmCost,5)+VLOOKUP(0,EmTruck20,6)*VLOOKUP(ProjLoc,EmCost,6)+VLOOKUP(0,EmTruck20,7)*VLOOKUP(ProjLoc,EmCost,7)),0)</f>
        <v>0</v>
      </c>
      <c r="T77" s="802">
        <f>IF(INDEX(HwyTransitModelGroup,A50,1)=Hwy,P77*(1-N77)*0.00000110231131*(VLOOKUP(0,EmAuto20,2)*VLOOKUP(ProjLoc,EmCost,2)+VLOOKUP(0,EmAuto20,3)*VLOOKUP(ProjLoc,EmCost,3)*(1+CO2Uprater)^($B77-YearCurrent)+VLOOKUP(0,EmAuto20,4)*VLOOKUP(ProjLoc,EmCost,4)+VLOOKUP(0,EmAuto20,5)*VLOOKUP(ProjLoc,EmCost,5)+VLOOKUP(0,EmAuto20,6)*VLOOKUP(ProjLoc,EmCost,6)+VLOOKUP(0,EmAuto20,7)*VLOOKUP(ProjLoc,EmCost,7))+P77*N77*0.00000110231131*(VLOOKUP(0,EmTruck20,2)*VLOOKUP(ProjLoc,EmCost,2)+VLOOKUP(0,EmTruck20,3)*VLOOKUP(ProjLoc,EmCost,3)*(1+CO2Uprater)^($B77-YearCurrent)+VLOOKUP(0,EmTruck20,4)*VLOOKUP(ProjLoc,EmCost,4)+VLOOKUP(0,EmTruck20,5)*VLOOKUP(ProjLoc,EmCost,5)+VLOOKUP(0,EmTruck20,6)*VLOOKUP(ProjLoc,EmCost,6)+VLOOKUP(0,EmTruck20,7)*VLOOKUP(ProjLoc,EmCost,7)),0)</f>
        <v>0</v>
      </c>
      <c r="U77" s="729">
        <f>IF(INDEX(HwyTransitModelGroup,A50,1)=PARAMETERS!$J$9,C77*0.00000110231131*(VLOOKUP(K77,EmBus20,2)*VLOOKUP(ProjLoc,EmCost,2)+VLOOKUP(K77,EmBus20,3)*VLOOKUP(ProjLoc,EmCost,3)*(1+CO2Uprater)^($B77-YearCurrent)+VLOOKUP(K77,EmBus20,4)*VLOOKUP(ProjLoc,EmCost,4)+VLOOKUP(K77,EmBus20,5)*VLOOKUP(ProjLoc,EmCost,5)+VLOOKUP(K77,EmBus20,6)*VLOOKUP(ProjLoc,EmCost,6)+VLOOKUP(K77,EmBus20,7)*VLOOKUP(ProjLoc,EmCost,7)),0)</f>
        <v>0</v>
      </c>
      <c r="V77" s="802">
        <f>IF(INDEX(HwyTransitModelGroup,A50,1)=PARAMETERS!$J$9,D77*0.00000110231131*(VLOOKUP(L77,EmBus20,2)*VLOOKUP(ProjLoc,EmCost,2)+VLOOKUP(L77,EmBus20,3)*VLOOKUP(ProjLoc,EmCost,3)*(1+CO2Uprater)^($B77-YearCurrent)+VLOOKUP(L77,EmBus20,4)*VLOOKUP(ProjLoc,EmCost,4)+VLOOKUP(L77,EmBus20,5)*VLOOKUP(ProjLoc,EmCost,5)+VLOOKUP(L77,EmBus20,6)*VLOOKUP(ProjLoc,EmCost,6)+VLOOKUP(L77,EmBus20,7)*VLOOKUP(ProjLoc,EmCost,7)),0)</f>
        <v>0</v>
      </c>
      <c r="W77" s="808">
        <f>IF(INDEX(HwyTransitModelGroup,A50,1)=PARAMETERS!$J$10,C77*0.00000110231131*(PARAMETERS!$CQ$29*VLOOKUP(ProjLoc,EmCost,2)+PARAMETERS!$CR$29*VLOOKUP(ProjLoc,EmCost,3)*(1+CO2Uprater)^($B77-YearCurrent)+PARAMETERS!$CS$29*VLOOKUP(ProjLoc,EmCost,4)+PARAMETERS!$CT$29*VLOOKUP(ProjLoc,EmCost,5)+PARAMETERS!$CU$29*VLOOKUP(ProjLoc,EmCost,6)+PARAMETERS!$CV$29*VLOOKUP(ProjLoc,EmCost,7)),0)</f>
        <v>0</v>
      </c>
      <c r="X77" s="844">
        <f>IF(INDEX(HwyTransitModelGroup,A50,1)=PARAMETERS!$J$10,D77*0.00000110231131*(PARAMETERS!$CQ$29*VLOOKUP(ProjLoc,EmCost,2)+PARAMETERS!$CR$29*VLOOKUP(ProjLoc,EmCost,3)*(1+CO2Uprater)^($B77-YearCurrent)+PARAMETERS!$CS$29*VLOOKUP(ProjLoc,EmCost,4)+PARAMETERS!$CT$29*VLOOKUP(ProjLoc,EmCost,5)+PARAMETERS!$CU$29*VLOOKUP(ProjLoc,EmCost,6)+PARAMETERS!$CV$29*VLOOKUP(ProjLoc,EmCost,7)),0)</f>
        <v>0</v>
      </c>
      <c r="Y77" s="808">
        <f>IF(INDEX(HwyTransitModelGroup,A50,1)=PARAMETERS!$J$11,C77*0.00000110231131*(PARAMETERS!$CQ$37*VLOOKUP(ProjLoc,EmCost,2)+PARAMETERS!$CR$37*VLOOKUP(ProjLoc,EmCost,3)*(1+CO2Uprater)^($B77-YearCurrent)+PARAMETERS!$CS$37*VLOOKUP(ProjLoc,EmCost,4)+PARAMETERS!$CT$37*VLOOKUP(ProjLoc,EmCost,5)+PARAMETERS!$CU$37*VLOOKUP(ProjLoc,EmCost,6)+PARAMETERS!$CV$37*VLOOKUP(ProjLoc,EmCost,7)),0)</f>
        <v>0</v>
      </c>
      <c r="Z77" s="844">
        <f>IF(INDEX(HwyTransitModelGroup,A50,1)=PARAMETERS!$J$11,D77*0.00000110231131*(PARAMETERS!$CQ$37*VLOOKUP(ProjLoc,EmCost,2)+PARAMETERS!$CR$37*VLOOKUP(ProjLoc,EmCost,3)*(1+CO2Uprater)^($B77-YearCurrent)+PARAMETERS!$CS$37*VLOOKUP(ProjLoc,EmCost,4)+PARAMETERS!$CT$37*VLOOKUP(ProjLoc,EmCost,5)+PARAMETERS!$CU$37*VLOOKUP(ProjLoc,EmCost,6)+PARAMETERS!$CV$37*VLOOKUP(ProjLoc,EmCost,7)),0)</f>
        <v>0</v>
      </c>
      <c r="AA77" s="369">
        <f t="shared" si="19"/>
        <v>-2418.2950063739154</v>
      </c>
      <c r="AB77" s="370">
        <f t="shared" si="20"/>
        <v>-1020.4126044497274</v>
      </c>
      <c r="AC77" s="371"/>
      <c r="AD77" s="401">
        <f>IF(INDEX(HwyTransitModelGroup,A50,1)=Hwy,0.00000110231131*(C77*(1-M77)*VLOOKUP(K77,EmAuto20,2)-D77*(1-N77)*VLOOKUP(L77,EmAuto20,2)+(O77*(1-M77)-P77*(1-N77))*VLOOKUP(0,EmAuto20,2))+0.00000110231131*(C77*M77*VLOOKUP(K77,EmTruck20,2)-D77*N77*VLOOKUP(L77,EmTruck20,2)+(O77*M77-P77*N77)*VLOOKUP(0,EmTruck20,2)),0)</f>
        <v>-2.7953161534363192E-4</v>
      </c>
      <c r="AE77" s="863">
        <f>IF(INDEX(HwyTransitModelGroup,A50,1)=Hwy,0.00000110231131*(C77*(1-M77)*VLOOKUP(K77,EmAuto20,3)-D77*(1-N77)*VLOOKUP(L77,EmAuto20,3)+(O77*(1-M77)-P77*(1-N77))*VLOOKUP(0,EmAuto20,3))+0.00000110231131*(C77*M77*VLOOKUP(K77,EmTruck20,3)-D77*N77*VLOOKUP(L77,EmTruck20,3)+(O77*M77-P77*N77)*VLOOKUP(0,EmTruck20,3)),0)</f>
        <v>-28.908144379461163</v>
      </c>
      <c r="AF77" s="861">
        <f>IF(INDEX(HwyTransitModelGroup,A50,1)=Hwy,0.00000110231131*(C77*(1-M77)*VLOOKUP(K77,EmAuto20,4)-D77*(1-N77)*VLOOKUP(L77,EmAuto20,4)+(O77*(1-M77)-P77*(1-N77))*VLOOKUP(0,EmAuto20,4))+0.00000110231131*(C77*M77*VLOOKUP(K77,EmTruck20,4)-D77*N77*VLOOKUP(L77,EmTruck20,4)+(O77*M77-P77*N77)*VLOOKUP(0,EmTruck20,4)),0)</f>
        <v>-1.3197465023452601E-2</v>
      </c>
      <c r="AG77" s="863">
        <f>IF(INDEX(HwyTransitModelGroup,A50,1)=Hwy,0.00000110231131*(C77*(1-M77)*VLOOKUP(K77,EmAuto20,5)-D77*(1-N77)*VLOOKUP(L77,EmAuto20,5)+(O77*(1-M77)-P77*(1-N77))*VLOOKUP(0,EmAuto20,5))+0.00000110231131*(C77*M77*VLOOKUP(K77,EmTruck20,5)-D77*N77*VLOOKUP(L77,EmTruck20,5)+(O77*M77-P77*N77)*VLOOKUP(0,EmTruck20,5)),0)</f>
        <v>-4.6510504976766693E-4</v>
      </c>
      <c r="AH77" s="861">
        <f>IF(INDEX(HwyTransitModelGroup,A50,1)=Hwy,0.00000110231131*(C77*(1-M77)*VLOOKUP(K77,EmAuto20,6)-D77*(1-N77)*VLOOKUP(L77,EmAuto20,6)+(O77*(1-M77)-P77*(1-N77))*VLOOKUP(0,EmAuto20,6))+0.00000110231131*(C77*M77*VLOOKUP(K77,EmTruck20,6)-D77*N77*VLOOKUP(L77,EmTruck20,6)+(O77*M77-P77*N77)*VLOOKUP(0,EmTruck20,6)),0)</f>
        <v>-3.3051402490363673E-4</v>
      </c>
      <c r="AI77" s="863">
        <f>IF(INDEX(HwyTransitModelGroup,A50,1)=Hwy,0.00000110231131*(C77*(1-M77)*VLOOKUP(K77,EmAuto20,7)-D77*(1-N77)*VLOOKUP(L77,EmAuto20,7)+(O77*(1-M77)-P77*(1-N77))*VLOOKUP(0,EmAuto20,7))+0.00000110231131*(C77*M77*VLOOKUP(K77,EmTruck20,7)-D77*N77*VLOOKUP(L77,EmTruck20,7)+(O77*M77-P77*N77)*VLOOKUP(0,EmTruck20,7)),0)</f>
        <v>-2.2942116489466861E-5</v>
      </c>
      <c r="AJ77" s="861">
        <f>IF(INDEX(HwyTransitModelGroup,A50,1)=Hwy,0.00000110231131*(C77*(1-M77)*VLOOKUP(K77,EmAuto20,8)-D77*(1-N77)*VLOOKUP(L77,EmAuto20,8)+(O77*(1-M77)-P77*(1-N77))*VLOOKUP(0,EmAuto20,8))+0.00000110231131*(C77*M77*VLOOKUP(K77,EmTruck20,8)-D77*N77*VLOOKUP(L77,EmTruck20,8)+(O77*M77-P77*N77)*VLOOKUP(0,EmTruck20,8)),0)</f>
        <v>-4.4429969981857922E-4</v>
      </c>
      <c r="AK77" s="401">
        <f>IF(INDEX(HwyTransitModelGroup,A50,1)=PARAMETERS!$J$9,0.00000110231131*(C77*VLOOKUP(K77,EmBus20,2)-D77*VLOOKUP(L77,EmBus20,2)+(O77-P77)*VLOOKUP(0,EmBus20,2)),0)</f>
        <v>0</v>
      </c>
      <c r="AL77" s="863">
        <f>IF(INDEX(HwyTransitModelGroup,A50,1)=PARAMETERS!$J$9,0.00000110231131*(C77*VLOOKUP(K77,EmBus20,3)-D77*VLOOKUP(L77,EmBus20,3)+(O77-P77)*VLOOKUP(0,EmBus20,3)),0)</f>
        <v>0</v>
      </c>
      <c r="AM77" s="861">
        <f>IF(INDEX(HwyTransitModelGroup,A50,1)=PARAMETERS!$J$9,0.00000110231131*(C77*VLOOKUP(K77,EmBus20,4)-D77*VLOOKUP(L77,EmBus20,4)+(O77-P77)*VLOOKUP(0,EmBus20,4)),0)</f>
        <v>0</v>
      </c>
      <c r="AN77" s="863">
        <f>IF(INDEX(HwyTransitModelGroup,A50,1)=PARAMETERS!$J$9,0.00000110231131*(C77*VLOOKUP(K77,EmBus20,5)-D77*VLOOKUP(L77,EmBus20,5)+(O77-P77)*VLOOKUP(0,EmBus20,5)),0)</f>
        <v>0</v>
      </c>
      <c r="AO77" s="861">
        <f>IF(INDEX(HwyTransitModelGroup,A50,1)=PARAMETERS!$J$9,0.00000110231131*(C77*VLOOKUP(K77,EmBus20,6)-D77*VLOOKUP(L77,EmBus20,6)+(O77-P77)*VLOOKUP(0,EmBus20,6)),0)</f>
        <v>0</v>
      </c>
      <c r="AP77" s="863">
        <f>IF(INDEX(HwyTransitModelGroup,A50,1)=PARAMETERS!$J$9,0.00000110231131*(C77*VLOOKUP(K77,EmBus20,7)-D77*VLOOKUP(L77,EmBus20,7)+(O77-P77)*VLOOKUP(0,EmBus20,7)),0)</f>
        <v>0</v>
      </c>
      <c r="AQ77" s="861">
        <f>IF(INDEX(HwyTransitModelGroup,A50,1)=PARAMETERS!$J$9,0.00000110231131*(C77*VLOOKUP(K77,EmBus20,8)-D77*VLOOKUP(L77,EmBus20,8)+(O77-P77)*VLOOKUP(0,EmBus20,8)),0)</f>
        <v>0</v>
      </c>
      <c r="AR77" s="401">
        <f>IF(INDEX(HwyTransitModelGroup,A50,1)=PARAMETERS!$J$10,0.00000110231131*((C77-D77)*PARAMETERS!$CQ$29),0)</f>
        <v>0</v>
      </c>
      <c r="AS77" s="863">
        <f>IF(INDEX(HwyTransitModelGroup,A50,1)=PARAMETERS!$J$10,0.00000110231131*((C77-D77)*PARAMETERS!$CR$29),0)</f>
        <v>0</v>
      </c>
      <c r="AT77" s="861">
        <f>IF(INDEX(HwyTransitModelGroup,A50,1)=PARAMETERS!$J$10,0.00000110231131*((C77-D77)*PARAMETERS!$CS$29),0)</f>
        <v>0</v>
      </c>
      <c r="AU77" s="863">
        <f>IF(INDEX(HwyTransitModelGroup,A50,1)=PARAMETERS!$J$10,0.00000110231131*((C77-D77)*PARAMETERS!$CT$29),0)</f>
        <v>0</v>
      </c>
      <c r="AV77" s="861">
        <f>IF(INDEX(HwyTransitModelGroup,A50,1)=PARAMETERS!$J$10,0.00000110231131*((C77-D77)*PARAMETERS!$CU$29),0)</f>
        <v>0</v>
      </c>
      <c r="AW77" s="863">
        <f>IF(INDEX(HwyTransitModelGroup,A50,1)=PARAMETERS!$J$10,0.00000110231131*((C77-D77)*PARAMETERS!$CV$29),0)</f>
        <v>0</v>
      </c>
      <c r="AX77" s="861">
        <f>IF(INDEX(HwyTransitModelGroup,A50,1)=PARAMETERS!$J$10,0.00000110231131*((C77-D77)*PARAMETERS!$CW$29),0)</f>
        <v>0</v>
      </c>
      <c r="AY77" s="401">
        <f>IF(INDEX(HwyTransitModelGroup,A50,1)=PARAMETERS!$J$11,0.00000110231131*((C77-D77)*PARAMETERS!$CQ$37),0)</f>
        <v>0</v>
      </c>
      <c r="AZ77" s="863">
        <f>IF(INDEX(HwyTransitModelGroup,A50,1)=PARAMETERS!$J$11,0.00000110231131*((C77-D77)*PARAMETERS!$CR$37),0)</f>
        <v>0</v>
      </c>
      <c r="BA77" s="861">
        <f>IF(INDEX(HwyTransitModelGroup,A50,1)=PARAMETERS!$J$11,0.00000110231131*((C77-D77)*PARAMETERS!$CS$37),0)</f>
        <v>0</v>
      </c>
      <c r="BB77" s="863">
        <f>IF(INDEX(HwyTransitModelGroup,A50,1)=PARAMETERS!$J$11,0.00000110231131*((C77-D77)*PARAMETERS!$CT$37),0)</f>
        <v>0</v>
      </c>
      <c r="BC77" s="861">
        <f>IF(INDEX(HwyTransitModelGroup,A50,1)=PARAMETERS!$J$11,0.00000110231131*((C77-D77)*PARAMETERS!$CU$37),0)</f>
        <v>0</v>
      </c>
      <c r="BD77" s="863">
        <f>IF(INDEX(HwyTransitModelGroup,A50,1)=PARAMETERS!$J$11,0.00000110231131*((C77-D77)*PARAMETERS!$CV$37),0)</f>
        <v>0</v>
      </c>
      <c r="BE77" s="865">
        <f>IF(INDEX(HwyTransitModelGroup,A50,1)=PARAMETERS!$J$11,0.00000110231131*((C77-D77)*PARAMETERS!$CW$37),0)</f>
        <v>0</v>
      </c>
      <c r="BF77" s="729">
        <f t="shared" si="21"/>
        <v>-9.4359896666711823E-3</v>
      </c>
      <c r="BG77" s="867">
        <f t="shared" si="22"/>
        <v>-905.17336592019115</v>
      </c>
      <c r="BH77" s="867">
        <f t="shared" si="23"/>
        <v>-84.087995997359101</v>
      </c>
      <c r="BI77" s="867">
        <f t="shared" si="24"/>
        <v>-22.902792915287701</v>
      </c>
      <c r="BJ77" s="867">
        <f t="shared" si="25"/>
        <v>-8.2282682171279991</v>
      </c>
      <c r="BK77" s="869">
        <f t="shared" si="26"/>
        <v>-1.0745410093624737E-2</v>
      </c>
      <c r="BL77" s="373"/>
      <c r="BN77" s="375">
        <f t="shared" si="27"/>
        <v>2045</v>
      </c>
      <c r="BO77" s="871">
        <f t="shared" ca="1" si="17"/>
        <v>-3.8919572317091332E-2</v>
      </c>
      <c r="BP77" s="871">
        <f t="shared" ca="1" si="29"/>
        <v>-2.827877018576144E-4</v>
      </c>
      <c r="BQ77" s="871">
        <f t="shared" ca="1" si="29"/>
        <v>5.6948220782104687E-2</v>
      </c>
      <c r="BR77" s="871">
        <f t="shared" ca="1" si="29"/>
        <v>0.20361246874600253</v>
      </c>
      <c r="BS77" s="871">
        <f t="shared" ca="1" si="29"/>
        <v>0.98575892942718302</v>
      </c>
      <c r="BT77" s="871">
        <f t="shared" ca="1" si="29"/>
        <v>1.1237582353293256</v>
      </c>
    </row>
    <row r="78" spans="2:76" x14ac:dyDescent="0.25">
      <c r="B78" s="375">
        <f t="shared" si="28"/>
        <v>2045</v>
      </c>
      <c r="C78" s="401">
        <f>MAX(TREND(C56:C57,B56:B57,B78),0)</f>
        <v>740037.5</v>
      </c>
      <c r="D78" s="402">
        <f>MAX(TREND(D56:D57,B56:B57,B78),0)</f>
        <v>754436.75</v>
      </c>
      <c r="E78" s="401">
        <f>MAX(TREND(E56:E57,B56:B57,B78),0)</f>
        <v>14034.25</v>
      </c>
      <c r="F78" s="402">
        <f>MAX(TREND(F56:F57,B56:B57,B78),0)</f>
        <v>13687.5</v>
      </c>
      <c r="G78" s="401">
        <f>MAX(TREND(G56:G57,B56:B57,B78),0)</f>
        <v>0</v>
      </c>
      <c r="H78" s="402">
        <f>MAX(TREND(H56:H57,B56:B57,B78),0)</f>
        <v>0</v>
      </c>
      <c r="I78" s="401">
        <f>MAX(TREND(I56:I57,B56:B57,B78),0)</f>
        <v>0</v>
      </c>
      <c r="J78" s="402">
        <f>MAX(TREND(J56:J57,B56:B57,B78),0)</f>
        <v>0</v>
      </c>
      <c r="K78" s="435">
        <f>IFERROR(IF(INDEX(HwyTransitModelGroup,A50,1)=Hwy,MAX(5,ROUND(C78/E78,1)),MAX(5,ROUND(G78/I78,1))),55)</f>
        <v>52.7</v>
      </c>
      <c r="L78" s="436">
        <f>IFERROR(IF(INDEX(HwyTransitModelGroup,A50,1)=Hwy,MAX(5,ROUND(D78/F78,1)),MAX(5,ROUND(H78/J78,1))),55)</f>
        <v>55.1</v>
      </c>
      <c r="M78" s="405">
        <f>MIN(MAX(TREND(M56:M57,B56:B57,B78),0),1)</f>
        <v>0.24</v>
      </c>
      <c r="N78" s="406">
        <f>MIN(MAX(TREND(N56:N57,B56:B57,B78),0),1)</f>
        <v>0.24</v>
      </c>
      <c r="O78" s="401">
        <f>MAX(TREND(O56:O57,B56:B57,B78),0)</f>
        <v>0</v>
      </c>
      <c r="P78" s="402">
        <f>MAX(TREND(P56:P57,B56:B57,B78),0)</f>
        <v>0</v>
      </c>
      <c r="Q78" s="729">
        <f>IF(INDEX(HwyTransitModelGroup,A50,1)=Hwy,C78*(1-M78)*0.00000110231131*(VLOOKUP(K78,EmAuto20,2)*VLOOKUP(ProjLoc,EmCost,2)+VLOOKUP(K78,EmAuto20,3)*VLOOKUP(ProjLoc,EmCost,3)*(1+CO2Uprater)^($B78-YearCurrent)+VLOOKUP(K78,EmAuto20,4)*VLOOKUP(ProjLoc,EmCost,4)+VLOOKUP(K78,EmAuto20,5)*VLOOKUP(ProjLoc,EmCost,5)+VLOOKUP(K78,EmAuto20,6)*VLOOKUP(ProjLoc,EmCost,6)+VLOOKUP(K78,EmAuto20,7)*VLOOKUP(ProjLoc,EmCost,7))+C78*M78*0.00000110231131*(VLOOKUP(K78,EmTruck20,2)*VLOOKUP(ProjLoc,EmCost,2)+VLOOKUP(K78,EmTruck20,3)*VLOOKUP(ProjLoc,EmCost,3)*(1+CO2Uprater)^($B78-YearCurrent)+VLOOKUP(K78,EmTruck20,4)*VLOOKUP(ProjLoc,EmCost,4)+VLOOKUP(K78,EmTruck20,5)*VLOOKUP(ProjLoc,EmCost,5)+VLOOKUP(K78,EmTruck20,6)*VLOOKUP(ProjLoc,EmCost,6)+VLOOKUP(K78,EmTruck20,7)*VLOOKUP(ProjLoc,EmCost,7)),0)</f>
        <v>21469.650348167765</v>
      </c>
      <c r="R78" s="802">
        <f>IF(INDEX(HwyTransitModelGroup,A50,1)=Hwy,D78*(1-N78)*0.00000110231131*(VLOOKUP(L78,EmAuto20,2)*VLOOKUP(ProjLoc,EmCost,2)+VLOOKUP(L78,EmAuto20,3)*VLOOKUP(ProjLoc,EmCost,3)*(1+CO2Uprater)^($B78-YearCurrent)+VLOOKUP(L78,EmAuto20,4)*VLOOKUP(ProjLoc,EmCost,4)+VLOOKUP(L78,EmAuto20,5)*VLOOKUP(ProjLoc,EmCost,5)+VLOOKUP(L78,EmAuto20,6)*VLOOKUP(ProjLoc,EmCost,6)+VLOOKUP(L78,EmAuto20,7)*VLOOKUP(ProjLoc,EmCost,7))+D78*N78*0.00000110231131*(VLOOKUP(L78,EmTruck20,2)*VLOOKUP(ProjLoc,EmCost,2)+VLOOKUP(L78,EmTruck20,3)*VLOOKUP(ProjLoc,EmCost,3)*(1+CO2Uprater)^($B78-YearCurrent)+VLOOKUP(L78,EmTruck20,4)*VLOOKUP(ProjLoc,EmCost,4)+VLOOKUP(L78,EmTruck20,5)*VLOOKUP(ProjLoc,EmCost,5)+VLOOKUP(L78,EmTruck20,6)*VLOOKUP(ProjLoc,EmCost,6)+VLOOKUP(L78,EmTruck20,7)*VLOOKUP(ProjLoc,EmCost,7)),0)</f>
        <v>23965.885366194161</v>
      </c>
      <c r="S78" s="729">
        <f>IF(INDEX(HwyTransitModelGroup,A50,1)=Hwy,O78*(1-M78)*0.00000110231131*(VLOOKUP(0,EmAuto20,2)*VLOOKUP(ProjLoc,EmCost,2)+VLOOKUP(0,EmAuto20,3)*VLOOKUP(ProjLoc,EmCost,3)*(1+CO2Uprater)^($B78-YearCurrent)+VLOOKUP(0,EmAuto20,4)*VLOOKUP(ProjLoc,EmCost,4)+VLOOKUP(0,EmAuto20,5)*VLOOKUP(ProjLoc,EmCost,5)+VLOOKUP(0,EmAuto20,6)*VLOOKUP(ProjLoc,EmCost,6)+VLOOKUP(0,EmAuto20,7)*VLOOKUP(ProjLoc,EmCost,7))+O78*M78*0.00000110231131*(VLOOKUP(0,EmTruck20,2)*VLOOKUP(ProjLoc,EmCost,2)+VLOOKUP(0,EmTruck20,3)*VLOOKUP(ProjLoc,EmCost,3)*(1+CO2Uprater)^($B78-YearCurrent)+VLOOKUP(0,EmTruck20,4)*VLOOKUP(ProjLoc,EmCost,4)+VLOOKUP(0,EmTruck20,5)*VLOOKUP(ProjLoc,EmCost,5)+VLOOKUP(0,EmTruck20,6)*VLOOKUP(ProjLoc,EmCost,6)+VLOOKUP(0,EmTruck20,7)*VLOOKUP(ProjLoc,EmCost,7)),0)</f>
        <v>0</v>
      </c>
      <c r="T78" s="802">
        <f>IF(INDEX(HwyTransitModelGroup,A50,1)=Hwy,P78*(1-N78)*0.00000110231131*(VLOOKUP(0,EmAuto20,2)*VLOOKUP(ProjLoc,EmCost,2)+VLOOKUP(0,EmAuto20,3)*VLOOKUP(ProjLoc,EmCost,3)*(1+CO2Uprater)^($B78-YearCurrent)+VLOOKUP(0,EmAuto20,4)*VLOOKUP(ProjLoc,EmCost,4)+VLOOKUP(0,EmAuto20,5)*VLOOKUP(ProjLoc,EmCost,5)+VLOOKUP(0,EmAuto20,6)*VLOOKUP(ProjLoc,EmCost,6)+VLOOKUP(0,EmAuto20,7)*VLOOKUP(ProjLoc,EmCost,7))+P78*N78*0.00000110231131*(VLOOKUP(0,EmTruck20,2)*VLOOKUP(ProjLoc,EmCost,2)+VLOOKUP(0,EmTruck20,3)*VLOOKUP(ProjLoc,EmCost,3)*(1+CO2Uprater)^($B78-YearCurrent)+VLOOKUP(0,EmTruck20,4)*VLOOKUP(ProjLoc,EmCost,4)+VLOOKUP(0,EmTruck20,5)*VLOOKUP(ProjLoc,EmCost,5)+VLOOKUP(0,EmTruck20,6)*VLOOKUP(ProjLoc,EmCost,6)+VLOOKUP(0,EmTruck20,7)*VLOOKUP(ProjLoc,EmCost,7)),0)</f>
        <v>0</v>
      </c>
      <c r="U78" s="729">
        <f>IF(INDEX(HwyTransitModelGroup,A50,1)=PARAMETERS!$J$9,C78*0.00000110231131*(VLOOKUP(K78,EmBus20,2)*VLOOKUP(ProjLoc,EmCost,2)+VLOOKUP(K78,EmBus20,3)*VLOOKUP(ProjLoc,EmCost,3)*(1+CO2Uprater)^($B78-YearCurrent)+VLOOKUP(K78,EmBus20,4)*VLOOKUP(ProjLoc,EmCost,4)+VLOOKUP(K78,EmBus20,5)*VLOOKUP(ProjLoc,EmCost,5)+VLOOKUP(K78,EmBus20,6)*VLOOKUP(ProjLoc,EmCost,6)+VLOOKUP(K78,EmBus20,7)*VLOOKUP(ProjLoc,EmCost,7)),0)</f>
        <v>0</v>
      </c>
      <c r="V78" s="802">
        <f>IF(INDEX(HwyTransitModelGroup,A50,1)=PARAMETERS!$J$9,D78*0.00000110231131*(VLOOKUP(L78,EmBus20,2)*VLOOKUP(ProjLoc,EmCost,2)+VLOOKUP(L78,EmBus20,3)*VLOOKUP(ProjLoc,EmCost,3)*(1+CO2Uprater)^($B78-YearCurrent)+VLOOKUP(L78,EmBus20,4)*VLOOKUP(ProjLoc,EmCost,4)+VLOOKUP(L78,EmBus20,5)*VLOOKUP(ProjLoc,EmCost,5)+VLOOKUP(L78,EmBus20,6)*VLOOKUP(ProjLoc,EmCost,6)+VLOOKUP(L78,EmBus20,7)*VLOOKUP(ProjLoc,EmCost,7)),0)</f>
        <v>0</v>
      </c>
      <c r="W78" s="808">
        <f>IF(INDEX(HwyTransitModelGroup,A50,1)=PARAMETERS!$J$10,C78*0.00000110231131*(PARAMETERS!$CQ$29*VLOOKUP(ProjLoc,EmCost,2)+PARAMETERS!$CR$29*VLOOKUP(ProjLoc,EmCost,3)*(1+CO2Uprater)^($B78-YearCurrent)+PARAMETERS!$CS$29*VLOOKUP(ProjLoc,EmCost,4)+PARAMETERS!$CT$29*VLOOKUP(ProjLoc,EmCost,5)+PARAMETERS!$CU$29*VLOOKUP(ProjLoc,EmCost,6)+PARAMETERS!$CV$29*VLOOKUP(ProjLoc,EmCost,7)),0)</f>
        <v>0</v>
      </c>
      <c r="X78" s="844">
        <f>IF(INDEX(HwyTransitModelGroup,A50,1)=PARAMETERS!$J$10,D78*0.00000110231131*(PARAMETERS!$CQ$29*VLOOKUP(ProjLoc,EmCost,2)+PARAMETERS!$CR$29*VLOOKUP(ProjLoc,EmCost,3)*(1+CO2Uprater)^($B78-YearCurrent)+PARAMETERS!$CS$29*VLOOKUP(ProjLoc,EmCost,4)+PARAMETERS!$CT$29*VLOOKUP(ProjLoc,EmCost,5)+PARAMETERS!$CU$29*VLOOKUP(ProjLoc,EmCost,6)+PARAMETERS!$CV$29*VLOOKUP(ProjLoc,EmCost,7)),0)</f>
        <v>0</v>
      </c>
      <c r="Y78" s="808">
        <f>IF(INDEX(HwyTransitModelGroup,A50,1)=PARAMETERS!$J$11,C78*0.00000110231131*(PARAMETERS!$CQ$37*VLOOKUP(ProjLoc,EmCost,2)+PARAMETERS!$CR$37*VLOOKUP(ProjLoc,EmCost,3)*(1+CO2Uprater)^($B78-YearCurrent)+PARAMETERS!$CS$37*VLOOKUP(ProjLoc,EmCost,4)+PARAMETERS!$CT$37*VLOOKUP(ProjLoc,EmCost,5)+PARAMETERS!$CU$37*VLOOKUP(ProjLoc,EmCost,6)+PARAMETERS!$CV$37*VLOOKUP(ProjLoc,EmCost,7)),0)</f>
        <v>0</v>
      </c>
      <c r="Z78" s="844">
        <f>IF(INDEX(HwyTransitModelGroup,A50,1)=PARAMETERS!$J$11,D78*0.00000110231131*(PARAMETERS!$CQ$37*VLOOKUP(ProjLoc,EmCost,2)+PARAMETERS!$CR$37*VLOOKUP(ProjLoc,EmCost,3)*(1+CO2Uprater)^($B78-YearCurrent)+PARAMETERS!$CS$37*VLOOKUP(ProjLoc,EmCost,4)+PARAMETERS!$CT$37*VLOOKUP(ProjLoc,EmCost,5)+PARAMETERS!$CU$37*VLOOKUP(ProjLoc,EmCost,6)+PARAMETERS!$CV$37*VLOOKUP(ProjLoc,EmCost,7)),0)</f>
        <v>0</v>
      </c>
      <c r="AA78" s="369">
        <f t="shared" si="19"/>
        <v>-2496.2350180263966</v>
      </c>
      <c r="AB78" s="370">
        <f t="shared" si="20"/>
        <v>-1012.7882809635603</v>
      </c>
      <c r="AC78" s="371"/>
      <c r="AD78" s="401">
        <f>IF(INDEX(HwyTransitModelGroup,A50,1)=Hwy,0.00000110231131*(C78*(1-M78)*VLOOKUP(K78,EmAuto20,2)-D78*(1-N78)*VLOOKUP(L78,EmAuto20,2)+(O78*(1-M78)-P78*(1-N78))*VLOOKUP(0,EmAuto20,2))+0.00000110231131*(C78*M78*VLOOKUP(K78,EmTruck20,2)-D78*N78*VLOOKUP(L78,EmTruck20,2)+(O78*M78-P78*N78)*VLOOKUP(0,EmTruck20,2)),0)</f>
        <v>-2.827877018576144E-4</v>
      </c>
      <c r="AE78" s="863">
        <f>IF(INDEX(HwyTransitModelGroup,A50,1)=Hwy,0.00000110231131*(C78*(1-M78)*VLOOKUP(K78,EmAuto20,3)-D78*(1-N78)*VLOOKUP(L78,EmAuto20,3)+(O78*(1-M78)-P78*(1-N78))*VLOOKUP(0,EmAuto20,3))+0.00000110231131*(C78*M78*VLOOKUP(K78,EmTruck20,3)-D78*N78*VLOOKUP(L78,EmTruck20,3)+(O78*M78-P78*N78)*VLOOKUP(0,EmTruck20,3)),0)</f>
        <v>-29.319635181686266</v>
      </c>
      <c r="AF78" s="861">
        <f>IF(INDEX(HwyTransitModelGroup,A50,1)=Hwy,0.00000110231131*(C78*(1-M78)*VLOOKUP(K78,EmAuto20,4)-D78*(1-N78)*VLOOKUP(L78,EmAuto20,4)+(O78*(1-M78)-P78*(1-N78))*VLOOKUP(0,EmAuto20,4))+0.00000110231131*(C78*M78*VLOOKUP(K78,EmTruck20,4)-D78*N78*VLOOKUP(L78,EmTruck20,4)+(O78*M78-P78*N78)*VLOOKUP(0,EmTruck20,4)),0)</f>
        <v>-1.3385445518866359E-2</v>
      </c>
      <c r="AG78" s="863">
        <f>IF(INDEX(HwyTransitModelGroup,A50,1)=Hwy,0.00000110231131*(C78*(1-M78)*VLOOKUP(K78,EmAuto20,5)-D78*(1-N78)*VLOOKUP(L78,EmAuto20,5)+(O78*(1-M78)-P78*(1-N78))*VLOOKUP(0,EmAuto20,5))+0.00000110231131*(C78*M78*VLOOKUP(K78,EmTruck20,5)-D78*N78*VLOOKUP(L78,EmTruck20,5)+(O78*M78-P78*N78)*VLOOKUP(0,EmTruck20,5)),0)</f>
        <v>-4.7173132744839514E-4</v>
      </c>
      <c r="AH78" s="861">
        <f>IF(INDEX(HwyTransitModelGroup,A50,1)=Hwy,0.00000110231131*(C78*(1-M78)*VLOOKUP(K78,EmAuto20,6)-D78*(1-N78)*VLOOKUP(L78,EmAuto20,6)+(O78*(1-M78)-P78*(1-N78))*VLOOKUP(0,EmAuto20,6))+0.00000110231131*(C78*M78*VLOOKUP(K78,EmTruck20,6)-D78*N78*VLOOKUP(L78,EmTruck20,6)+(O78*M78-P78*N78)*VLOOKUP(0,EmTruck20,6)),0)</f>
        <v>-3.352198359784793E-4</v>
      </c>
      <c r="AI78" s="863">
        <f>IF(INDEX(HwyTransitModelGroup,A50,1)=Hwy,0.00000110231131*(C78*(1-M78)*VLOOKUP(K78,EmAuto20,7)-D78*(1-N78)*VLOOKUP(L78,EmAuto20,7)+(O78*(1-M78)-P78*(1-N78))*VLOOKUP(0,EmAuto20,7))+0.00000110231131*(C78*M78*VLOOKUP(K78,EmTruck20,7)-D78*N78*VLOOKUP(L78,EmTruck20,7)+(O78*M78-P78*N78)*VLOOKUP(0,EmTruck20,7)),0)</f>
        <v>-2.3258117175016963E-5</v>
      </c>
      <c r="AJ78" s="861">
        <f>IF(INDEX(HwyTransitModelGroup,A50,1)=Hwy,0.00000110231131*(C78*(1-M78)*VLOOKUP(K78,EmAuto20,8)-D78*(1-N78)*VLOOKUP(L78,EmAuto20,8)+(O78*(1-M78)-P78*(1-N78))*VLOOKUP(0,EmAuto20,8))+0.00000110231131*(C78*M78*VLOOKUP(K78,EmTruck20,8)-D78*N78*VLOOKUP(L78,EmTruck20,8)+(O78*M78-P78*N78)*VLOOKUP(0,EmTruck20,8)),0)</f>
        <v>-4.506295307140868E-4</v>
      </c>
      <c r="AK78" s="401">
        <f>IF(INDEX(HwyTransitModelGroup,A50,1)=PARAMETERS!$J$9,0.00000110231131*(C78*VLOOKUP(K78,EmBus20,2)-D78*VLOOKUP(L78,EmBus20,2)+(O78-P78)*VLOOKUP(0,EmBus20,2)),0)</f>
        <v>0</v>
      </c>
      <c r="AL78" s="863">
        <f>IF(INDEX(HwyTransitModelGroup,A50,1)=PARAMETERS!$J$9,0.00000110231131*(C78*VLOOKUP(K78,EmBus20,3)-D78*VLOOKUP(L78,EmBus20,3)+(O78-P78)*VLOOKUP(0,EmBus20,3)),0)</f>
        <v>0</v>
      </c>
      <c r="AM78" s="861">
        <f>IF(INDEX(HwyTransitModelGroup,A50,1)=PARAMETERS!$J$9,0.00000110231131*(C78*VLOOKUP(K78,EmBus20,4)-D78*VLOOKUP(L78,EmBus20,4)+(O78-P78)*VLOOKUP(0,EmBus20,4)),0)</f>
        <v>0</v>
      </c>
      <c r="AN78" s="863">
        <f>IF(INDEX(HwyTransitModelGroup,A50,1)=PARAMETERS!$J$9,0.00000110231131*(C78*VLOOKUP(K78,EmBus20,5)-D78*VLOOKUP(L78,EmBus20,5)+(O78-P78)*VLOOKUP(0,EmBus20,5)),0)</f>
        <v>0</v>
      </c>
      <c r="AO78" s="861">
        <f>IF(INDEX(HwyTransitModelGroup,A50,1)=PARAMETERS!$J$9,0.00000110231131*(C78*VLOOKUP(K78,EmBus20,6)-D78*VLOOKUP(L78,EmBus20,6)+(O78-P78)*VLOOKUP(0,EmBus20,6)),0)</f>
        <v>0</v>
      </c>
      <c r="AP78" s="863">
        <f>IF(INDEX(HwyTransitModelGroup,A50,1)=PARAMETERS!$J$9,0.00000110231131*(C78*VLOOKUP(K78,EmBus20,7)-D78*VLOOKUP(L78,EmBus20,7)+(O78-P78)*VLOOKUP(0,EmBus20,7)),0)</f>
        <v>0</v>
      </c>
      <c r="AQ78" s="861">
        <f>IF(INDEX(HwyTransitModelGroup,A50,1)=PARAMETERS!$J$9,0.00000110231131*(C78*VLOOKUP(K78,EmBus20,8)-D78*VLOOKUP(L78,EmBus20,8)+(O78-P78)*VLOOKUP(0,EmBus20,8)),0)</f>
        <v>0</v>
      </c>
      <c r="AR78" s="401">
        <f>IF(INDEX(HwyTransitModelGroup,A50,1)=PARAMETERS!$J$10,0.00000110231131*((C78-D78)*PARAMETERS!$CQ$29),0)</f>
        <v>0</v>
      </c>
      <c r="AS78" s="863">
        <f>IF(INDEX(HwyTransitModelGroup,A50,1)=PARAMETERS!$J$10,0.00000110231131*((C78-D78)*PARAMETERS!$CR$29),0)</f>
        <v>0</v>
      </c>
      <c r="AT78" s="861">
        <f>IF(INDEX(HwyTransitModelGroup,A50,1)=PARAMETERS!$J$10,0.00000110231131*((C78-D78)*PARAMETERS!$CS$29),0)</f>
        <v>0</v>
      </c>
      <c r="AU78" s="863">
        <f>IF(INDEX(HwyTransitModelGroup,A50,1)=PARAMETERS!$J$10,0.00000110231131*((C78-D78)*PARAMETERS!$CT$29),0)</f>
        <v>0</v>
      </c>
      <c r="AV78" s="861">
        <f>IF(INDEX(HwyTransitModelGroup,A50,1)=PARAMETERS!$J$10,0.00000110231131*((C78-D78)*PARAMETERS!$CU$29),0)</f>
        <v>0</v>
      </c>
      <c r="AW78" s="863">
        <f>IF(INDEX(HwyTransitModelGroup,A50,1)=PARAMETERS!$J$10,0.00000110231131*((C78-D78)*PARAMETERS!$CV$29),0)</f>
        <v>0</v>
      </c>
      <c r="AX78" s="861">
        <f>IF(INDEX(HwyTransitModelGroup,A50,1)=PARAMETERS!$J$10,0.00000110231131*((C78-D78)*PARAMETERS!$CW$29),0)</f>
        <v>0</v>
      </c>
      <c r="AY78" s="401">
        <f>IF(INDEX(HwyTransitModelGroup,A50,1)=PARAMETERS!$J$11,0.00000110231131*((C78-D78)*PARAMETERS!$CQ$37),0)</f>
        <v>0</v>
      </c>
      <c r="AZ78" s="863">
        <f>IF(INDEX(HwyTransitModelGroup,A50,1)=PARAMETERS!$J$11,0.00000110231131*((C78-D78)*PARAMETERS!$CR$37),0)</f>
        <v>0</v>
      </c>
      <c r="BA78" s="861">
        <f>IF(INDEX(HwyTransitModelGroup,A50,1)=PARAMETERS!$J$11,0.00000110231131*((C78-D78)*PARAMETERS!$CS$37),0)</f>
        <v>0</v>
      </c>
      <c r="BB78" s="863">
        <f>IF(INDEX(HwyTransitModelGroup,A50,1)=PARAMETERS!$J$11,0.00000110231131*((C78-D78)*PARAMETERS!$CT$37),0)</f>
        <v>0</v>
      </c>
      <c r="BC78" s="861">
        <f>IF(INDEX(HwyTransitModelGroup,A50,1)=PARAMETERS!$J$11,0.00000110231131*((C78-D78)*PARAMETERS!$CU$37),0)</f>
        <v>0</v>
      </c>
      <c r="BD78" s="863">
        <f>IF(INDEX(HwyTransitModelGroup,A50,1)=PARAMETERS!$J$11,0.00000110231131*((C78-D78)*PARAMETERS!$CV$37),0)</f>
        <v>0</v>
      </c>
      <c r="BE78" s="865">
        <f>IF(INDEX(HwyTransitModelGroup,A50,1)=PARAMETERS!$J$11,0.00000110231131*((C78-D78)*PARAMETERS!$CW$37),0)</f>
        <v>0</v>
      </c>
      <c r="BF78" s="729">
        <f t="shared" si="21"/>
        <v>-9.1787533905665439E-3</v>
      </c>
      <c r="BG78" s="867">
        <f t="shared" si="22"/>
        <v>-900.40302666304183</v>
      </c>
      <c r="BH78" s="867">
        <f t="shared" si="23"/>
        <v>-82.005498725959512</v>
      </c>
      <c r="BI78" s="867">
        <f t="shared" si="24"/>
        <v>-22.335659003688544</v>
      </c>
      <c r="BJ78" s="867">
        <f t="shared" si="25"/>
        <v>-8.0244433795113483</v>
      </c>
      <c r="BK78" s="869">
        <f t="shared" si="26"/>
        <v>-1.0474437967440128E-2</v>
      </c>
      <c r="BL78" s="2"/>
      <c r="BN78" s="385"/>
      <c r="BO78" s="389"/>
      <c r="BP78" s="389"/>
      <c r="BQ78" s="389"/>
      <c r="BR78" s="389"/>
      <c r="BS78" s="389"/>
      <c r="BT78" s="389"/>
    </row>
    <row r="79" spans="2:76" x14ac:dyDescent="0.25">
      <c r="B79" s="385"/>
      <c r="C79" s="386"/>
      <c r="D79" s="386"/>
      <c r="E79" s="386"/>
      <c r="F79" s="386"/>
      <c r="G79" s="386"/>
      <c r="H79" s="386"/>
      <c r="I79" s="386"/>
      <c r="J79" s="386"/>
      <c r="K79" s="388"/>
      <c r="L79" s="388"/>
      <c r="M79" s="386"/>
      <c r="N79" s="386"/>
      <c r="O79" s="388"/>
      <c r="P79" s="388"/>
      <c r="Q79" s="388"/>
      <c r="R79" s="388"/>
      <c r="S79" s="388"/>
      <c r="T79" s="388"/>
      <c r="U79" s="388"/>
      <c r="V79" s="388"/>
      <c r="W79" s="388"/>
      <c r="X79" s="388"/>
      <c r="Y79" s="388"/>
      <c r="Z79" s="388"/>
      <c r="AA79" s="388"/>
      <c r="AB79" s="389"/>
      <c r="AC79" s="390"/>
      <c r="AD79" s="847"/>
      <c r="AE79" s="389"/>
      <c r="AF79" s="389"/>
      <c r="AG79" s="389"/>
      <c r="AH79" s="389"/>
      <c r="AI79" s="389"/>
      <c r="AJ79" s="848"/>
      <c r="AK79" s="390"/>
      <c r="AL79" s="390"/>
      <c r="AM79" s="390"/>
      <c r="AN79" s="390"/>
      <c r="AO79" s="390"/>
      <c r="AP79" s="390"/>
      <c r="AQ79" s="390"/>
      <c r="AR79" s="390"/>
      <c r="AS79" s="390"/>
      <c r="AT79" s="390"/>
      <c r="AU79" s="390"/>
      <c r="AV79" s="390"/>
      <c r="AW79" s="390"/>
      <c r="AX79" s="390"/>
      <c r="AY79" s="390"/>
      <c r="AZ79" s="390"/>
      <c r="BA79" s="390"/>
      <c r="BB79" s="390"/>
      <c r="BC79" s="390"/>
      <c r="BD79" s="390"/>
      <c r="BE79" s="390"/>
      <c r="BF79" s="390"/>
      <c r="BG79" s="390"/>
      <c r="BH79" s="390"/>
      <c r="BI79" s="390"/>
      <c r="BJ79" s="390"/>
      <c r="BK79" s="390"/>
      <c r="BL79" s="2"/>
      <c r="BN79" s="407" t="s">
        <v>56</v>
      </c>
      <c r="BO79" s="411">
        <f t="shared" ref="BO79:BT79" ca="1" si="30">SUM(BO58:BO77)</f>
        <v>-0.2674197853609826</v>
      </c>
      <c r="BP79" s="411">
        <f t="shared" ca="1" si="30"/>
        <v>-3.8104397652248378E-2</v>
      </c>
      <c r="BQ79" s="411">
        <f t="shared" ca="1" si="30"/>
        <v>1.1820037457880765</v>
      </c>
      <c r="BR79" s="411">
        <f t="shared" ca="1" si="30"/>
        <v>4.6672606572299165</v>
      </c>
      <c r="BS79" s="411">
        <f t="shared" ca="1" si="30"/>
        <v>18.01292848013906</v>
      </c>
      <c r="BT79" s="411">
        <f t="shared" ca="1" si="30"/>
        <v>23.033786167108463</v>
      </c>
    </row>
    <row r="80" spans="2:76" x14ac:dyDescent="0.25">
      <c r="B80" s="407" t="s">
        <v>56</v>
      </c>
      <c r="C80" s="413"/>
      <c r="D80" s="414"/>
      <c r="E80" s="414"/>
      <c r="F80" s="414"/>
      <c r="G80" s="414"/>
      <c r="H80" s="414"/>
      <c r="I80" s="414"/>
      <c r="J80" s="414"/>
      <c r="K80" s="414"/>
      <c r="L80" s="414"/>
      <c r="M80" s="414"/>
      <c r="N80" s="414"/>
      <c r="O80" s="414"/>
      <c r="P80" s="414"/>
      <c r="Q80" s="414"/>
      <c r="R80" s="415"/>
      <c r="S80" s="414"/>
      <c r="T80" s="415"/>
      <c r="U80" s="415"/>
      <c r="V80" s="415"/>
      <c r="W80" s="415"/>
      <c r="X80" s="415"/>
      <c r="Y80" s="415"/>
      <c r="Z80" s="415"/>
      <c r="AA80" s="414"/>
      <c r="AB80" s="409">
        <f>SUM(AB59:AB78)</f>
        <v>-15979.545572485353</v>
      </c>
      <c r="AC80" s="416"/>
      <c r="AD80" s="438">
        <f t="shared" ref="AD80:BK80" si="31">SUM(AD59:AD78)</f>
        <v>-3.8104397652248378E-2</v>
      </c>
      <c r="AE80" s="699">
        <f t="shared" si="31"/>
        <v>-389.0016095113765</v>
      </c>
      <c r="AF80" s="699">
        <f t="shared" si="31"/>
        <v>-0.17044584912256389</v>
      </c>
      <c r="AG80" s="699">
        <f t="shared" si="31"/>
        <v>-5.7113060242339215E-3</v>
      </c>
      <c r="AH80" s="699">
        <f t="shared" si="31"/>
        <v>-4.2285276467317117E-3</v>
      </c>
      <c r="AI80" s="699">
        <f t="shared" si="31"/>
        <v>-6.6624306697790658E-4</v>
      </c>
      <c r="AJ80" s="700">
        <f t="shared" si="31"/>
        <v>-5.3328192005776274E-3</v>
      </c>
      <c r="AK80" s="438">
        <f t="shared" si="31"/>
        <v>0</v>
      </c>
      <c r="AL80" s="699">
        <f t="shared" si="31"/>
        <v>0</v>
      </c>
      <c r="AM80" s="699">
        <f t="shared" si="31"/>
        <v>0</v>
      </c>
      <c r="AN80" s="699">
        <f t="shared" si="31"/>
        <v>0</v>
      </c>
      <c r="AO80" s="699">
        <f t="shared" si="31"/>
        <v>0</v>
      </c>
      <c r="AP80" s="699">
        <f t="shared" si="31"/>
        <v>0</v>
      </c>
      <c r="AQ80" s="700">
        <f t="shared" si="31"/>
        <v>0</v>
      </c>
      <c r="AR80" s="438">
        <f t="shared" si="31"/>
        <v>0</v>
      </c>
      <c r="AS80" s="699">
        <f t="shared" si="31"/>
        <v>0</v>
      </c>
      <c r="AT80" s="699">
        <f t="shared" si="31"/>
        <v>0</v>
      </c>
      <c r="AU80" s="699">
        <f t="shared" si="31"/>
        <v>0</v>
      </c>
      <c r="AV80" s="699">
        <f t="shared" si="31"/>
        <v>0</v>
      </c>
      <c r="AW80" s="699">
        <f t="shared" si="31"/>
        <v>0</v>
      </c>
      <c r="AX80" s="700">
        <f t="shared" si="31"/>
        <v>0</v>
      </c>
      <c r="AY80" s="438">
        <f t="shared" si="31"/>
        <v>0</v>
      </c>
      <c r="AZ80" s="699">
        <f t="shared" si="31"/>
        <v>0</v>
      </c>
      <c r="BA80" s="699">
        <f t="shared" si="31"/>
        <v>0</v>
      </c>
      <c r="BB80" s="699">
        <f t="shared" si="31"/>
        <v>0</v>
      </c>
      <c r="BC80" s="699">
        <f t="shared" si="31"/>
        <v>0</v>
      </c>
      <c r="BD80" s="699">
        <f t="shared" si="31"/>
        <v>0</v>
      </c>
      <c r="BE80" s="700">
        <f t="shared" si="31"/>
        <v>0</v>
      </c>
      <c r="BF80" s="704">
        <f t="shared" si="31"/>
        <v>-2.0677210165418591</v>
      </c>
      <c r="BG80" s="705">
        <f t="shared" si="31"/>
        <v>-14014.052051111408</v>
      </c>
      <c r="BH80" s="705">
        <f t="shared" si="31"/>
        <v>-1451.4657709092919</v>
      </c>
      <c r="BI80" s="705">
        <f t="shared" si="31"/>
        <v>-370.14528582932002</v>
      </c>
      <c r="BJ80" s="705">
        <f t="shared" si="31"/>
        <v>-141.39500779873384</v>
      </c>
      <c r="BK80" s="439">
        <f t="shared" si="31"/>
        <v>-0.41973582005297461</v>
      </c>
      <c r="BL80" s="1"/>
      <c r="BX80" s="3"/>
    </row>
    <row r="81" spans="1:76" x14ac:dyDescent="0.25">
      <c r="B81" s="2"/>
      <c r="C81" s="418"/>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I81" s="2"/>
      <c r="BJ81" s="418"/>
      <c r="BK81" s="418"/>
      <c r="BL81" s="2"/>
      <c r="BX81" s="3"/>
    </row>
    <row r="82" spans="1:76" x14ac:dyDescent="0.25">
      <c r="A82" s="1">
        <f>MAX($A$1:A81)+1</f>
        <v>3</v>
      </c>
      <c r="B82" s="319" t="str">
        <f>IF(ISBLANK(INDEX(ModelGroup,A82,1)),"Not Used",INDEX(ModelGroup,A82,1))</f>
        <v>NB Off-ramp to Ave 280</v>
      </c>
      <c r="C82" s="2"/>
      <c r="D82" s="2"/>
      <c r="E82" s="2"/>
      <c r="F82" s="2"/>
      <c r="G82" s="2"/>
      <c r="H82" s="2"/>
      <c r="I82" s="2"/>
      <c r="J82" s="2"/>
      <c r="K82" s="2"/>
      <c r="L82" s="2"/>
      <c r="M82" s="2"/>
      <c r="N82" s="2"/>
      <c r="O82" s="2"/>
      <c r="P82" s="320"/>
      <c r="Q82" s="320"/>
      <c r="R82" s="2"/>
      <c r="S82" s="320"/>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I82" s="319"/>
      <c r="BJ82" s="2"/>
      <c r="BK82" s="2"/>
      <c r="BL82" s="321"/>
      <c r="BX82" s="3"/>
    </row>
    <row r="83" spans="1:76" ht="21" x14ac:dyDescent="0.35">
      <c r="B83" s="2"/>
      <c r="C83" s="2"/>
      <c r="D83" s="321"/>
      <c r="E83" s="321"/>
      <c r="F83" s="321"/>
      <c r="G83" s="321"/>
      <c r="H83" s="321"/>
      <c r="I83" s="321"/>
      <c r="J83" s="321"/>
      <c r="K83" s="321"/>
      <c r="L83" s="321"/>
      <c r="M83" s="321"/>
      <c r="N83" s="321"/>
      <c r="O83" s="2"/>
      <c r="P83" s="320"/>
      <c r="Q83" s="1788" t="s">
        <v>327</v>
      </c>
      <c r="R83" s="1789"/>
      <c r="S83" s="1789"/>
      <c r="T83" s="1790"/>
      <c r="U83" s="1788" t="s">
        <v>328</v>
      </c>
      <c r="V83" s="1789"/>
      <c r="W83" s="1788" t="s">
        <v>329</v>
      </c>
      <c r="X83" s="1790"/>
      <c r="Y83" s="1788" t="s">
        <v>330</v>
      </c>
      <c r="Z83" s="1790"/>
      <c r="AA83" s="2"/>
      <c r="AB83" s="149"/>
      <c r="AC83" s="149"/>
      <c r="AD83" s="1791" t="s">
        <v>327</v>
      </c>
      <c r="AE83" s="1792"/>
      <c r="AF83" s="1792"/>
      <c r="AG83" s="1792"/>
      <c r="AH83" s="1792"/>
      <c r="AI83" s="1792"/>
      <c r="AJ83" s="1793"/>
      <c r="AK83" s="1791" t="s">
        <v>328</v>
      </c>
      <c r="AL83" s="1792"/>
      <c r="AM83" s="1792"/>
      <c r="AN83" s="1792"/>
      <c r="AO83" s="1792"/>
      <c r="AP83" s="1792"/>
      <c r="AQ83" s="1793"/>
      <c r="AR83" s="1791" t="s">
        <v>329</v>
      </c>
      <c r="AS83" s="1792"/>
      <c r="AT83" s="1792"/>
      <c r="AU83" s="1792"/>
      <c r="AV83" s="1792"/>
      <c r="AW83" s="1792"/>
      <c r="AX83" s="1793"/>
      <c r="AY83" s="1791" t="s">
        <v>330</v>
      </c>
      <c r="AZ83" s="1792"/>
      <c r="BA83" s="1792"/>
      <c r="BB83" s="1792"/>
      <c r="BC83" s="1792"/>
      <c r="BD83" s="1792"/>
      <c r="BE83" s="1793"/>
      <c r="BF83" s="149"/>
      <c r="BG83" s="149"/>
      <c r="BI83" s="2"/>
      <c r="BJ83" s="2"/>
      <c r="BK83" s="321"/>
      <c r="BL83" s="332"/>
      <c r="BN83" s="316" t="s">
        <v>352</v>
      </c>
    </row>
    <row r="84" spans="1:76" ht="15.75" x14ac:dyDescent="0.25">
      <c r="B84" s="322"/>
      <c r="C84" s="325" t="s">
        <v>271</v>
      </c>
      <c r="D84" s="326"/>
      <c r="E84" s="325" t="s">
        <v>190</v>
      </c>
      <c r="F84" s="326"/>
      <c r="G84" s="325" t="s">
        <v>331</v>
      </c>
      <c r="H84" s="326"/>
      <c r="I84" s="325" t="s">
        <v>193</v>
      </c>
      <c r="J84" s="326"/>
      <c r="K84" s="323" t="s">
        <v>272</v>
      </c>
      <c r="L84" s="427"/>
      <c r="M84" s="325" t="s">
        <v>192</v>
      </c>
      <c r="N84" s="326"/>
      <c r="O84" s="323" t="s">
        <v>332</v>
      </c>
      <c r="P84" s="324"/>
      <c r="Q84" s="327" t="s">
        <v>333</v>
      </c>
      <c r="R84" s="328"/>
      <c r="S84" s="327" t="s">
        <v>334</v>
      </c>
      <c r="T84" s="328"/>
      <c r="U84" s="327" t="s">
        <v>333</v>
      </c>
      <c r="V84" s="328"/>
      <c r="W84" s="327" t="s">
        <v>335</v>
      </c>
      <c r="X84" s="328"/>
      <c r="Y84" s="323" t="s">
        <v>335</v>
      </c>
      <c r="Z84" s="323"/>
      <c r="AA84" s="329"/>
      <c r="AB84" s="330"/>
      <c r="AC84" s="2"/>
      <c r="AD84" s="680" t="s">
        <v>336</v>
      </c>
      <c r="AE84" s="680"/>
      <c r="AF84" s="681"/>
      <c r="AG84" s="681"/>
      <c r="AH84" s="681"/>
      <c r="AI84" s="681"/>
      <c r="AJ84" s="683"/>
      <c r="AK84" s="852" t="s">
        <v>336</v>
      </c>
      <c r="AL84" s="681"/>
      <c r="AM84" s="681"/>
      <c r="AN84" s="681"/>
      <c r="AO84" s="681"/>
      <c r="AP84" s="681"/>
      <c r="AQ84" s="683"/>
      <c r="AR84" s="852" t="s">
        <v>336</v>
      </c>
      <c r="AS84" s="681"/>
      <c r="AT84" s="681"/>
      <c r="AU84" s="681"/>
      <c r="AV84" s="681"/>
      <c r="AW84" s="681"/>
      <c r="AX84" s="683"/>
      <c r="AY84" s="852" t="s">
        <v>336</v>
      </c>
      <c r="AZ84" s="681"/>
      <c r="BA84" s="681"/>
      <c r="BB84" s="681"/>
      <c r="BC84" s="681"/>
      <c r="BD84" s="681"/>
      <c r="BE84" s="683"/>
      <c r="BF84" s="849" t="s">
        <v>337</v>
      </c>
      <c r="BG84" s="682"/>
      <c r="BH84" s="681"/>
      <c r="BI84" s="681"/>
      <c r="BJ84" s="681"/>
      <c r="BK84" s="683"/>
      <c r="BL84" s="345"/>
      <c r="BN84" s="2"/>
      <c r="BO84" s="310"/>
      <c r="BP84" s="310"/>
      <c r="BQ84" s="310"/>
      <c r="BR84" s="310"/>
      <c r="BS84" s="310"/>
      <c r="BT84" s="310"/>
    </row>
    <row r="85" spans="1:76" x14ac:dyDescent="0.25">
      <c r="B85" s="335"/>
      <c r="C85" s="338" t="s">
        <v>274</v>
      </c>
      <c r="D85" s="339"/>
      <c r="E85" s="338" t="s">
        <v>275</v>
      </c>
      <c r="F85" s="339"/>
      <c r="G85" s="338" t="s">
        <v>338</v>
      </c>
      <c r="H85" s="339"/>
      <c r="I85" s="338" t="s">
        <v>339</v>
      </c>
      <c r="J85" s="339"/>
      <c r="K85" s="336" t="s">
        <v>276</v>
      </c>
      <c r="L85" s="428"/>
      <c r="M85" s="338" t="s">
        <v>277</v>
      </c>
      <c r="N85" s="339"/>
      <c r="O85" s="336" t="s">
        <v>340</v>
      </c>
      <c r="P85" s="337"/>
      <c r="Q85" s="340" t="s">
        <v>203</v>
      </c>
      <c r="R85" s="341"/>
      <c r="S85" s="340" t="s">
        <v>203</v>
      </c>
      <c r="T85" s="341"/>
      <c r="U85" s="340" t="s">
        <v>203</v>
      </c>
      <c r="V85" s="341"/>
      <c r="W85" s="340" t="s">
        <v>203</v>
      </c>
      <c r="X85" s="341"/>
      <c r="Y85" s="336" t="s">
        <v>203</v>
      </c>
      <c r="Z85" s="336"/>
      <c r="AA85" s="342"/>
      <c r="AB85" s="343"/>
      <c r="AC85" s="2"/>
      <c r="AD85" s="684" t="s">
        <v>341</v>
      </c>
      <c r="AE85" s="684"/>
      <c r="AF85" s="685"/>
      <c r="AG85" s="685"/>
      <c r="AH85" s="685"/>
      <c r="AI85" s="685"/>
      <c r="AJ85" s="686"/>
      <c r="AK85" s="684" t="s">
        <v>341</v>
      </c>
      <c r="AL85" s="685"/>
      <c r="AM85" s="685"/>
      <c r="AN85" s="685"/>
      <c r="AO85" s="685"/>
      <c r="AP85" s="685"/>
      <c r="AQ85" s="686"/>
      <c r="AR85" s="684" t="s">
        <v>341</v>
      </c>
      <c r="AS85" s="685"/>
      <c r="AT85" s="685"/>
      <c r="AU85" s="685"/>
      <c r="AV85" s="685"/>
      <c r="AW85" s="685"/>
      <c r="AX85" s="686"/>
      <c r="AY85" s="684" t="s">
        <v>341</v>
      </c>
      <c r="AZ85" s="685"/>
      <c r="BA85" s="685"/>
      <c r="BB85" s="685"/>
      <c r="BC85" s="685"/>
      <c r="BD85" s="685"/>
      <c r="BE85" s="686"/>
      <c r="BF85" s="685" t="s">
        <v>342</v>
      </c>
      <c r="BG85" s="687"/>
      <c r="BH85" s="688"/>
      <c r="BI85" s="688"/>
      <c r="BJ85" s="688"/>
      <c r="BK85" s="687"/>
      <c r="BL85" s="354"/>
    </row>
    <row r="86" spans="1:76" x14ac:dyDescent="0.25">
      <c r="B86" s="77" t="s">
        <v>34</v>
      </c>
      <c r="C86" s="348"/>
      <c r="D86" s="349"/>
      <c r="E86" s="348"/>
      <c r="F86" s="349"/>
      <c r="G86" s="348"/>
      <c r="H86" s="349"/>
      <c r="I86" s="348"/>
      <c r="J86" s="349"/>
      <c r="K86" s="348"/>
      <c r="L86" s="349"/>
      <c r="M86" s="348"/>
      <c r="N86" s="349"/>
      <c r="O86" s="348"/>
      <c r="P86" s="349"/>
      <c r="Q86" s="348"/>
      <c r="R86" s="349"/>
      <c r="S86" s="348"/>
      <c r="T86" s="349"/>
      <c r="U86" s="348"/>
      <c r="V86" s="349"/>
      <c r="W86" s="723"/>
      <c r="X86" s="349"/>
      <c r="Y86" s="723"/>
      <c r="Z86" s="349"/>
      <c r="AA86" s="351" t="s">
        <v>208</v>
      </c>
      <c r="AB86" s="347" t="s">
        <v>39</v>
      </c>
      <c r="AC86" s="352"/>
      <c r="AD86" s="689"/>
      <c r="AE86" s="690"/>
      <c r="AF86" s="690"/>
      <c r="AG86" s="690"/>
      <c r="AH86" s="690"/>
      <c r="AI86" s="690"/>
      <c r="AJ86" s="692"/>
      <c r="AK86" s="689"/>
      <c r="AL86" s="690"/>
      <c r="AM86" s="690"/>
      <c r="AN86" s="690"/>
      <c r="AO86" s="690"/>
      <c r="AP86" s="690"/>
      <c r="AQ86" s="692"/>
      <c r="AR86" s="689"/>
      <c r="AS86" s="690"/>
      <c r="AT86" s="690"/>
      <c r="AU86" s="690"/>
      <c r="AV86" s="690"/>
      <c r="AW86" s="690"/>
      <c r="AX86" s="692"/>
      <c r="AY86" s="689"/>
      <c r="AZ86" s="690"/>
      <c r="BA86" s="690"/>
      <c r="BB86" s="690"/>
      <c r="BC86" s="690"/>
      <c r="BD86" s="690"/>
      <c r="BE86" s="692"/>
      <c r="BF86" s="850"/>
      <c r="BG86" s="690"/>
      <c r="BH86" s="690"/>
      <c r="BI86" s="690"/>
      <c r="BJ86" s="690"/>
      <c r="BK86" s="692"/>
      <c r="BL86" s="354"/>
    </row>
    <row r="87" spans="1:76" ht="16.5" x14ac:dyDescent="0.25">
      <c r="B87" s="355"/>
      <c r="C87" s="356" t="s">
        <v>74</v>
      </c>
      <c r="D87" s="357" t="s">
        <v>125</v>
      </c>
      <c r="E87" s="356" t="s">
        <v>74</v>
      </c>
      <c r="F87" s="357" t="s">
        <v>125</v>
      </c>
      <c r="G87" s="356" t="s">
        <v>74</v>
      </c>
      <c r="H87" s="357" t="s">
        <v>125</v>
      </c>
      <c r="I87" s="356" t="s">
        <v>74</v>
      </c>
      <c r="J87" s="357" t="s">
        <v>125</v>
      </c>
      <c r="K87" s="356" t="s">
        <v>74</v>
      </c>
      <c r="L87" s="357" t="s">
        <v>125</v>
      </c>
      <c r="M87" s="356" t="s">
        <v>74</v>
      </c>
      <c r="N87" s="357" t="s">
        <v>125</v>
      </c>
      <c r="O87" s="356" t="s">
        <v>74</v>
      </c>
      <c r="P87" s="357" t="s">
        <v>125</v>
      </c>
      <c r="Q87" s="356" t="s">
        <v>74</v>
      </c>
      <c r="R87" s="357" t="s">
        <v>125</v>
      </c>
      <c r="S87" s="356" t="s">
        <v>74</v>
      </c>
      <c r="T87" s="357" t="s">
        <v>125</v>
      </c>
      <c r="U87" s="356" t="s">
        <v>74</v>
      </c>
      <c r="V87" s="357" t="s">
        <v>125</v>
      </c>
      <c r="W87" s="724" t="s">
        <v>74</v>
      </c>
      <c r="X87" s="357" t="s">
        <v>125</v>
      </c>
      <c r="Y87" s="724" t="s">
        <v>74</v>
      </c>
      <c r="Z87" s="357" t="s">
        <v>125</v>
      </c>
      <c r="AA87" s="359" t="s">
        <v>48</v>
      </c>
      <c r="AB87" s="360" t="s">
        <v>49</v>
      </c>
      <c r="AC87" s="352"/>
      <c r="AD87" s="693" t="s">
        <v>344</v>
      </c>
      <c r="AE87" s="694" t="s">
        <v>345</v>
      </c>
      <c r="AF87" s="694" t="s">
        <v>346</v>
      </c>
      <c r="AG87" s="694" t="s">
        <v>347</v>
      </c>
      <c r="AH87" s="694" t="s">
        <v>348</v>
      </c>
      <c r="AI87" s="694" t="s">
        <v>349</v>
      </c>
      <c r="AJ87" s="696" t="s">
        <v>350</v>
      </c>
      <c r="AK87" s="693" t="s">
        <v>344</v>
      </c>
      <c r="AL87" s="694" t="s">
        <v>345</v>
      </c>
      <c r="AM87" s="694" t="s">
        <v>346</v>
      </c>
      <c r="AN87" s="694" t="s">
        <v>347</v>
      </c>
      <c r="AO87" s="694" t="s">
        <v>348</v>
      </c>
      <c r="AP87" s="694" t="s">
        <v>349</v>
      </c>
      <c r="AQ87" s="696" t="s">
        <v>350</v>
      </c>
      <c r="AR87" s="693" t="s">
        <v>344</v>
      </c>
      <c r="AS87" s="694" t="s">
        <v>345</v>
      </c>
      <c r="AT87" s="694" t="s">
        <v>346</v>
      </c>
      <c r="AU87" s="694" t="s">
        <v>347</v>
      </c>
      <c r="AV87" s="694" t="s">
        <v>348</v>
      </c>
      <c r="AW87" s="694" t="s">
        <v>349</v>
      </c>
      <c r="AX87" s="696" t="s">
        <v>350</v>
      </c>
      <c r="AY87" s="693" t="s">
        <v>344</v>
      </c>
      <c r="AZ87" s="694" t="s">
        <v>345</v>
      </c>
      <c r="BA87" s="694" t="s">
        <v>346</v>
      </c>
      <c r="BB87" s="694" t="s">
        <v>347</v>
      </c>
      <c r="BC87" s="694" t="s">
        <v>348</v>
      </c>
      <c r="BD87" s="694" t="s">
        <v>349</v>
      </c>
      <c r="BE87" s="696" t="s">
        <v>350</v>
      </c>
      <c r="BF87" s="851" t="s">
        <v>344</v>
      </c>
      <c r="BG87" s="694" t="s">
        <v>345</v>
      </c>
      <c r="BH87" s="694" t="s">
        <v>346</v>
      </c>
      <c r="BI87" s="694" t="s">
        <v>347</v>
      </c>
      <c r="BJ87" s="694" t="s">
        <v>348</v>
      </c>
      <c r="BK87" s="696" t="s">
        <v>349</v>
      </c>
      <c r="BL87" s="392"/>
    </row>
    <row r="88" spans="1:76" x14ac:dyDescent="0.25">
      <c r="B88" s="363">
        <f>YearFirst</f>
        <v>2026</v>
      </c>
      <c r="C88" s="364">
        <f>INDEX(ModelData1NB,A82,2)*AnnualFactor</f>
        <v>556625</v>
      </c>
      <c r="D88" s="365">
        <f>INDEX(ModelData1B,A82,2)*AnnualFactor</f>
        <v>547500</v>
      </c>
      <c r="E88" s="364">
        <f>IF(INDEX(HwyTransitModelGroup,A82,1)=Hwy,INDEX(ModelData1NB,A82,3),0)*AnnualFactor</f>
        <v>14965</v>
      </c>
      <c r="F88" s="365">
        <f>IF(INDEX(HwyTransitModelGroup,A82,1)=Hwy,INDEX(ModelData1B,A82,3),0)*AnnualFactor</f>
        <v>11680</v>
      </c>
      <c r="G88" s="364">
        <f>IF(INDEX(HwyTransitModelGroup,A82,1)&lt;&gt;Hwy,INDEX(ModelData1NB,A82,4),0)*AnnualFactor</f>
        <v>0</v>
      </c>
      <c r="H88" s="365">
        <f>IF(INDEX(HwyTransitModelGroup,A82,1)&lt;&gt;Hwy,INDEX(ModelData1B,A82,4),0)*AnnualFactor</f>
        <v>0</v>
      </c>
      <c r="I88" s="364">
        <f>IF(INDEX(HwyTransitModelGroup,A82,1)&lt;&gt;Hwy,INDEX(ModelData1NB,A82,5),0)*AnnualFactor</f>
        <v>0</v>
      </c>
      <c r="J88" s="365">
        <f>IF(INDEX(HwyTransitModelGroup,A82,1)&lt;&gt;Hwy,INDEX(ModelData1B,A82,5),0)*AnnualFactor</f>
        <v>0</v>
      </c>
      <c r="K88" s="429">
        <f>IFERROR(IF(INDEX(HwyTransitModelGroup,A82,1)=Hwy,MAX(5,ROUND(C88/E88,1)),MAX(5,ROUND(G88/I88,1))),55)</f>
        <v>37.200000000000003</v>
      </c>
      <c r="L88" s="430">
        <f>IFERROR(IF(INDEX(HwyTransitModelGroup,A82,1)=Hwy,MAX(5,ROUND(D88/F88,1)),MAX(5,ROUND(H88/J88,1))),55)</f>
        <v>46.9</v>
      </c>
      <c r="M88" s="803">
        <f>IF(INDEX(HwyTransitModelGroup,A82,1)=Hwy,INDEX(ModelData1NB,A82,9),0)</f>
        <v>0.24</v>
      </c>
      <c r="N88" s="804">
        <f>IF(INDEX(HwyTransitModelGroup,A82,1)=Hwy,INDEX(ModelData1B,A82,9),0)</f>
        <v>0.24</v>
      </c>
      <c r="O88" s="364">
        <f>IF(OR(INDEX(ModelData1NB,A82,8)=0,INDEX(HwyTransitModelGroup,A82,1)&lt;&gt;Hwy),0,INDEX(ModelData1NB,A82,1)*AnnualFactor/INDEX(ModelData1NB,A82,8))</f>
        <v>0</v>
      </c>
      <c r="P88" s="365">
        <f>IF(OR(INDEX(ModelData1B,A82,8)=0,INDEX(HwyTransitModelGroup,A82,1)&lt;&gt;Hwy),0,INDEX(ModelData1B,A82,1)*AnnualFactor/INDEX(ModelData1B,A82,8))</f>
        <v>0</v>
      </c>
      <c r="Q88" s="808">
        <f>IF(INDEX(HwyTransitModelGroup,A82,1)=Hwy,C88*(1-M88)*0.00000110231131*(VLOOKUP(K88,EmAuto1,2)*VLOOKUP(ProjLoc,EmCost,2)+VLOOKUP(K88,EmAuto1,3)*VLOOKUP(ProjLoc,EmCost,3)*(1+CO2Uprater)^($B88-YearCurrent)+VLOOKUP(K88,EmAuto1,4)*VLOOKUP(ProjLoc,EmCost,4)+VLOOKUP(K88,EmAuto1,5)*VLOOKUP(ProjLoc,EmCost,5)+VLOOKUP(K88,EmAuto1,6)*VLOOKUP(ProjLoc,EmCost,6)+VLOOKUP(K88,EmAuto1,7)*VLOOKUP(ProjLoc,EmCost,7))+C88*M88*0.00000110231131*(VLOOKUP(K88,EmTruck1,2)*VLOOKUP(ProjLoc,EmCost,2)+VLOOKUP(K88,EmTruck1,3)*VLOOKUP(ProjLoc,EmCost,3)*(1+CO2Uprater)^($B88-YearCurrent)+VLOOKUP(K88,EmTruck1,4)*VLOOKUP(ProjLoc,EmCost,4)+VLOOKUP(K88,EmTruck1,5)*VLOOKUP(ProjLoc,EmCost,5)+VLOOKUP(K88,EmTruck1,6)*VLOOKUP(ProjLoc,EmCost,6)+VLOOKUP(K88,EmTruck1,7)*VLOOKUP(ProjLoc,EmCost,7)),0)</f>
        <v>17884.222636970528</v>
      </c>
      <c r="R88" s="844">
        <f>IF(INDEX(HwyTransitModelGroup,A82,1)=Hwy,D88*(1-N88)*0.00000110231131*(VLOOKUP(L88,EmAuto1,2)*VLOOKUP(ProjLoc,EmCost,2)+VLOOKUP(L88,EmAuto1,3)*VLOOKUP(ProjLoc,EmCost,3)*(1+CO2Uprater)^($B88-YearCurrent)+VLOOKUP(L88,EmAuto1,4)*VLOOKUP(ProjLoc,EmCost,4)+VLOOKUP(L88,EmAuto1,5)*VLOOKUP(ProjLoc,EmCost,5)+VLOOKUP(L88,EmAuto1,6)*VLOOKUP(ProjLoc,EmCost,6)+VLOOKUP(L88,EmAuto1,7)*VLOOKUP(ProjLoc,EmCost,7))+D88*N88*0.00000110231131*(VLOOKUP(L88,EmTruck1,2)*VLOOKUP(ProjLoc,EmCost,2)+VLOOKUP(L88,EmTruck1,3)*VLOOKUP(ProjLoc,EmCost,3)*(1+CO2Uprater)^($B88-YearCurrent)+VLOOKUP(L88,EmTruck1,4)*VLOOKUP(ProjLoc,EmCost,4)+VLOOKUP(L88,EmTruck1,5)*VLOOKUP(ProjLoc,EmCost,5)+VLOOKUP(L88,EmTruck1,6)*VLOOKUP(ProjLoc,EmCost,6)+VLOOKUP(L88,EmTruck1,7)*VLOOKUP(ProjLoc,EmCost,7)),0)</f>
        <v>16998.054607677313</v>
      </c>
      <c r="S88" s="808">
        <f>IF(INDEX(HwyTransitModelGroup,A82,1)=Hwy,O88*(1-M88)*0.00000110231131*(VLOOKUP(0,EmAuto1,2)*VLOOKUP(ProjLoc,EmCost,2)+VLOOKUP(0,EmAuto1,3)*VLOOKUP(ProjLoc,EmCost,3)*(1+CO2Uprater)^($B88-YearCurrent)+VLOOKUP(0,EmAuto1,4)*VLOOKUP(ProjLoc,EmCost,4)+VLOOKUP(0,EmAuto1,5)*VLOOKUP(ProjLoc,EmCost,5)+VLOOKUP(0,EmAuto1,6)*VLOOKUP(ProjLoc,EmCost,6)+VLOOKUP(0,EmAuto1,7)*VLOOKUP(ProjLoc,EmCost,7))+O88*M88*0.00000110231131*(VLOOKUP(0,EmTruck1,2)*VLOOKUP(ProjLoc,EmCost,2)+VLOOKUP(0,EmTruck1,3)*VLOOKUP(ProjLoc,EmCost,3)*(1+CO2Uprater)^($B88-YearCurrent)+VLOOKUP(0,EmTruck1,4)*VLOOKUP(ProjLoc,EmCost,4)+VLOOKUP(0,EmTruck1,5)*VLOOKUP(ProjLoc,EmCost,5)+VLOOKUP(0,EmTruck1,6)*VLOOKUP(ProjLoc,EmCost,6)+VLOOKUP(0,EmTruck1,7)*VLOOKUP(ProjLoc,EmCost,7)),0)</f>
        <v>0</v>
      </c>
      <c r="T88" s="844">
        <f>IF(INDEX(HwyTransitModelGroup,A82,1)=Hwy,P88*(1-N88)*0.00000110231131*(VLOOKUP(0,EmAuto1,2)*VLOOKUP(ProjLoc,EmCost,2)+VLOOKUP(0,EmAuto1,3)*VLOOKUP(ProjLoc,EmCost,3)*(1+CO2Uprater)^($B88-YearCurrent)+VLOOKUP(0,EmAuto1,4)*VLOOKUP(ProjLoc,EmCost,4)+VLOOKUP(0,EmAuto1,5)*VLOOKUP(ProjLoc,EmCost,5)+VLOOKUP(0,EmAuto1,6)*VLOOKUP(ProjLoc,EmCost,6)+VLOOKUP(0,EmAuto1,7)*VLOOKUP(ProjLoc,EmCost,7))+P88*N88*0.00000110231131*(VLOOKUP(0,EmTruck1,2)*VLOOKUP(ProjLoc,EmCost,2)+VLOOKUP(0,EmTruck1,3)*VLOOKUP(ProjLoc,EmCost,3)*(1+CO2Uprater)^($B88-YearCurrent)+VLOOKUP(0,EmTruck1,4)*VLOOKUP(ProjLoc,EmCost,4)+VLOOKUP(0,EmTruck1,5)*VLOOKUP(ProjLoc,EmCost,5)+VLOOKUP(0,EmTruck1,6)*VLOOKUP(ProjLoc,EmCost,6)+VLOOKUP(0,EmTruck1,7)*VLOOKUP(ProjLoc,EmCost,7)),0)</f>
        <v>0</v>
      </c>
      <c r="U88" s="808">
        <f>IF(INDEX(HwyTransitModelGroup,A82,1)=PARAMETERS!$J$9,C88*0.00000110231131*(VLOOKUP(K88,EmBus1,2)*VLOOKUP(ProjLoc,EmCost,2)+VLOOKUP(K88,EmBus1,3)*VLOOKUP(ProjLoc,EmCost,3)*(1+CO2Uprater)^($B88-YearCurrent)+VLOOKUP(K88,EmBus1,4)*VLOOKUP(ProjLoc,EmCost,4)+VLOOKUP(K88,EmBus1,5)*VLOOKUP(ProjLoc,EmCost,5)+VLOOKUP(K88,EmBus1,6)*VLOOKUP(ProjLoc,EmCost,6)+VLOOKUP(K88,EmBus1,7)*VLOOKUP(ProjLoc,EmCost,7)),0)</f>
        <v>0</v>
      </c>
      <c r="V88" s="844">
        <f>IF(INDEX(HwyTransitModelGroup,A82,1)=PARAMETERS!$J$9,D88*0.00000110231131*(VLOOKUP(L88,EmBus1,2)*VLOOKUP(ProjLoc,EmCost,2)+VLOOKUP(L88,EmBus1,3)*VLOOKUP(ProjLoc,EmCost,3)*(1+CO2Uprater)^($B88-YearCurrent)+VLOOKUP(L88,EmBus1,4)*VLOOKUP(ProjLoc,EmCost,4)+VLOOKUP(L88,EmBus1,5)*VLOOKUP(ProjLoc,EmCost,5)+VLOOKUP(L88,EmBus1,6)*VLOOKUP(ProjLoc,EmCost,6)+VLOOKUP(L88,EmBus1,7)*VLOOKUP(ProjLoc,EmCost,7)),0)</f>
        <v>0</v>
      </c>
      <c r="W88" s="808">
        <f>IF(INDEX(HwyTransitModelGroup,A82,1)=PARAMETERS!$J$10,C88*0.00000110231131*(PARAMETERS!$CQ$28*VLOOKUP(ProjLoc,EmCost,2)+PARAMETERS!$CR$28*VLOOKUP(ProjLoc,EmCost,3)*(1+CO2Uprater)^($B88-YearCurrent)+PARAMETERS!$CS$28*VLOOKUP(ProjLoc,EmCost,4)+PARAMETERS!$CT$28*VLOOKUP(ProjLoc,EmCost,5)+PARAMETERS!$CU$28*VLOOKUP(ProjLoc,EmCost,6)+PARAMETERS!$CV$28*VLOOKUP(ProjLoc,EmCost,7)),0)</f>
        <v>0</v>
      </c>
      <c r="X88" s="844">
        <f>IF(INDEX(HwyTransitModelGroup,A82,1)=PARAMETERS!$J$10,D88*0.00000110231131*(PARAMETERS!$CQ$28*VLOOKUP(ProjLoc,EmCost,2)+PARAMETERS!$CR$28*VLOOKUP(ProjLoc,EmCost,3)*(1+CO2Uprater)^($B88-YearCurrent)+PARAMETERS!$CS$28*VLOOKUP(ProjLoc,EmCost,4)+PARAMETERS!$CT$28*VLOOKUP(ProjLoc,EmCost,5)+PARAMETERS!$CU$28*VLOOKUP(ProjLoc,EmCost,6)+PARAMETERS!$CV$28*VLOOKUP(ProjLoc,EmCost,7)),0)</f>
        <v>0</v>
      </c>
      <c r="Y88" s="808">
        <f>IF(INDEX(HwyTransitModelGroup,A82,1)=PARAMETERS!$J$11,C88*0.00000110231131*(PARAMETERS!$CQ$36*VLOOKUP(ProjLoc,EmCost,2)+PARAMETERS!$CR$36*VLOOKUP(ProjLoc,EmCost,3)*(1+CO2Uprater)^($B88-YearCurrent)+PARAMETERS!$CS$36*VLOOKUP(ProjLoc,EmCost,4)+PARAMETERS!$CT$36*VLOOKUP(ProjLoc,EmCost,5)+PARAMETERS!$CU$36*VLOOKUP(ProjLoc,EmCost,6)+PARAMETERS!$CV$36*VLOOKUP(ProjLoc,EmCost,7)),0)</f>
        <v>0</v>
      </c>
      <c r="Z88" s="844">
        <f>IF(INDEX(HwyTransitModelGroup,A82,1)=PARAMETERS!$J$11,D88*0.00000110231131*(PARAMETERS!$CQ$36*VLOOKUP(ProjLoc,EmCost,2)+PARAMETERS!$CR$36*VLOOKUP(ProjLoc,EmCost,3)*(1+CO2Uprater)^($B88-YearCurrent)+PARAMETERS!$CS$36*VLOOKUP(ProjLoc,EmCost,4)+PARAMETERS!$CT$36*VLOOKUP(ProjLoc,EmCost,5)+PARAMETERS!$CU$36*VLOOKUP(ProjLoc,EmCost,6)+PARAMETERS!$CV$36*VLOOKUP(ProjLoc,EmCost,7)),0)</f>
        <v>0</v>
      </c>
      <c r="AA88" s="369">
        <f>(Q88+S88+U88+W88+Y88)-(R88+T88+V88+X88+Z88)</f>
        <v>886.1680292932142</v>
      </c>
      <c r="AB88" s="370">
        <f>AA88/(1+DiscRate)^(B88-YearCurrent)</f>
        <v>757.50014539639221</v>
      </c>
      <c r="AC88" s="371"/>
      <c r="AD88" s="853">
        <f>IF(INDEX(HwyTransitModelGroup,A82,1)=Hwy,0.00000110231131*(C88*(1-M88)*VLOOKUP(K88,EmAuto1,2)-D88*(1-N88)*VLOOKUP(L88,EmAuto1,2)+(O88*(1-M88)-P88*(1-N88))*VLOOKUP(0,EmAuto1,2))+0.00000110231131*(C88*M88*VLOOKUP(K88,EmTruck1,2)-D88*N88*VLOOKUP(L88,EmTruck1,2)+(O88*M88-P88*N88)*VLOOKUP(0,EmTruck1,2)),0)</f>
        <v>6.5178983776132154E-2</v>
      </c>
      <c r="AE88" s="854">
        <f>IF(INDEX(HwyTransitModelGroup,A82,1)=Hwy,0.00000110231131*(C88*(1-M88)*VLOOKUP(K88,EmAuto1,3)-D88*(1-N88)*VLOOKUP(L88,EmAuto1,3)+(O88*(1-M88)-P88*(1-N88))*VLOOKUP(0,EmAuto1,3))+0.00000110231131*(C88*M88*VLOOKUP(K88,EmTruck1,3)-D88*N88*VLOOKUP(L88,EmTruck1,3)+(O88*M88-P88*N88)*VLOOKUP(0,EmTruck1,3)),0)</f>
        <v>10.626023325652692</v>
      </c>
      <c r="AF88" s="854">
        <f>IF(INDEX(HwyTransitModelGroup,A82,1)=Hwy,0.00000110231131*(C88*(1-M88)*VLOOKUP(K88,EmAuto1,4)-D88*(1-N88)*VLOOKUP(L88,EmAuto1,4)+(O88*(1-M88)-P88*(1-N88))*VLOOKUP(0,EmAuto1,4))+0.00000110231131*(C88*M88*VLOOKUP(K88,EmTruck1,4)-D88*N88*VLOOKUP(L88,EmTruck1,4)+(O88*M88-P88*N88)*VLOOKUP(0,EmTruck1,4)),0)</f>
        <v>2.0080809543515224E-2</v>
      </c>
      <c r="AG88" s="854">
        <f>IF(INDEX(HwyTransitModelGroup,A82,1)=Hwy,0.00000110231131*(C88*(1-M88)*VLOOKUP(K88,EmAuto1,5)-D88*(1-N88)*VLOOKUP(L88,EmAuto1,5)+(O88*(1-M88)-P88*(1-N88))*VLOOKUP(0,EmAuto1,5))+0.00000110231131*(C88*M88*VLOOKUP(K88,EmTruck1,5)-D88*N88*VLOOKUP(L88,EmTruck1,5)+(O88*M88-P88*N88)*VLOOKUP(0,EmTruck1,5)),0)</f>
        <v>1.4415972196614498E-4</v>
      </c>
      <c r="AH88" s="854">
        <f>IF(INDEX(HwyTransitModelGroup,A82,1)=Hwy,0.00000110231131*(C88*(1-M88)*VLOOKUP(K88,EmAuto1,6)-D88*(1-N88)*VLOOKUP(L88,EmAuto1,6)+(O88*(1-M88)-P88*(1-N88))*VLOOKUP(0,EmAuto1,6))+0.00000110231131*(C88*M88*VLOOKUP(K88,EmTruck1,6)-D88*N88*VLOOKUP(L88,EmTruck1,6)+(O88*M88-P88*N88)*VLOOKUP(0,EmTruck1,6)),0)</f>
        <v>1.0131012556817041E-4</v>
      </c>
      <c r="AI88" s="854">
        <f>IF(INDEX(HwyTransitModelGroup,A82,1)=Hwy,0.00000110231131*(C88*(1-M88)*VLOOKUP(K88,EmAuto1,7)-D88*(1-N88)*VLOOKUP(L88,EmAuto1,7)+(O88*(1-M88)-P88*(1-N88))*VLOOKUP(0,EmAuto1,7))+0.00000110231131*(C88*M88*VLOOKUP(K88,EmTruck1,7)-D88*N88*VLOOKUP(L88,EmTruck1,7)+(O88*M88-P88*N88)*VLOOKUP(0,EmTruck1,7)),0)</f>
        <v>2.5578191472379955E-3</v>
      </c>
      <c r="AJ88" s="855">
        <f>IF(INDEX(HwyTransitModelGroup,A82,1)=Hwy,0.00000110231131*(C88*(1-M88)*VLOOKUP(K88,EmAuto1,8)-D88*(1-N88)*VLOOKUP(L88,EmAuto1,8)+(O88*(1-M88)-P88*(1-N88))*VLOOKUP(0,EmAuto1,8))+0.00000110231131*(C88*M88*VLOOKUP(K88,EmTruck1,8)-D88*N88*VLOOKUP(L88,EmTruck1,8)+(O88*M88-P88*N88)*VLOOKUP(0,EmTruck1,8)),0)</f>
        <v>1.2746246139792007E-4</v>
      </c>
      <c r="AK88" s="853">
        <f>IF(INDEX(HwyTransitModelGroup,A82,1)=PARAMETERS!$J$9,0.00000110231131*(C88*VLOOKUP(K88,EmBus1,2)-D88*VLOOKUP(L88,EmBus1,2)+(O88-P88)*VLOOKUP(0,EmBus1,2)),0)</f>
        <v>0</v>
      </c>
      <c r="AL88" s="854">
        <f>IF(INDEX(HwyTransitModelGroup,A82,1)=PARAMETERS!$J$9,0.00000110231131*(C88*VLOOKUP(K88,EmBus1,3)-D88*VLOOKUP(L88,EmBus1,3)+(O88-P88)*VLOOKUP(0,EmBus1,3)),0)</f>
        <v>0</v>
      </c>
      <c r="AM88" s="854">
        <f>IF(INDEX(HwyTransitModelGroup,A82,1)=PARAMETERS!$J$9,0.00000110231131*(C88*VLOOKUP(K88,EmBus1,4)-D88*VLOOKUP(L88,EmBus1,4)+(O88-P88)*VLOOKUP(0,EmBus1,4)),0)</f>
        <v>0</v>
      </c>
      <c r="AN88" s="854">
        <f>IF(INDEX(HwyTransitModelGroup,A82,1)=PARAMETERS!$J$9,0.00000110231131*(C88*VLOOKUP(K88,EmBus1,5)-D88*VLOOKUP(L88,EmBus1,5)+(O88-P88)*VLOOKUP(0,EmBus1,5)),0)</f>
        <v>0</v>
      </c>
      <c r="AO88" s="854">
        <f>IF(INDEX(HwyTransitModelGroup,A82,1)=PARAMETERS!$J$9,0.00000110231131*(C88*VLOOKUP(K88,EmBus1,6)-D88*VLOOKUP(L88,EmBus1,6)+(O88-P88)*VLOOKUP(0,EmBus1,6)),0)</f>
        <v>0</v>
      </c>
      <c r="AP88" s="854">
        <f>IF(INDEX(HwyTransitModelGroup,A82,1)=PARAMETERS!$J$9,0.00000110231131*(C88*VLOOKUP(K88,EmBus1,7)-D88*VLOOKUP(L88,EmBus1,7)+(O88-P88)*VLOOKUP(0,EmBus1,7)),0)</f>
        <v>0</v>
      </c>
      <c r="AQ88" s="855">
        <f>IF(INDEX(HwyTransitModelGroup,A82,1)=PARAMETERS!$J$9,0.00000110231131*(C88*VLOOKUP(K88,EmBus1,8)-D88*VLOOKUP(L88,EmBus1,8)+(O88-P88)*VLOOKUP(0,EmBus1,8)),0)</f>
        <v>0</v>
      </c>
      <c r="AR88" s="853">
        <f>IF(INDEX(HwyTransitModelGroup,A82,1)=PARAMETERS!$J$10,0.00000110231131*((C88-D88)*PARAMETERS!$CQ$28),0)</f>
        <v>0</v>
      </c>
      <c r="AS88" s="854">
        <f>IF(INDEX(HwyTransitModelGroup,A82,1)=PARAMETERS!$J$10,0.00000110231131*((C88-D88)*PARAMETERS!$CR$28),0)</f>
        <v>0</v>
      </c>
      <c r="AT88" s="854">
        <f>IF(INDEX(HwyTransitModelGroup,A82,1)=PARAMETERS!$J$10,0.00000110231131*((C88-D88)*PARAMETERS!$CS$28),0)</f>
        <v>0</v>
      </c>
      <c r="AU88" s="854">
        <f>IF(INDEX(HwyTransitModelGroup,A82,1)=PARAMETERS!$J$10,0.00000110231131*((C88-D88)*PARAMETERS!$CT$28),0)</f>
        <v>0</v>
      </c>
      <c r="AV88" s="854">
        <f>IF(INDEX(HwyTransitModelGroup,A82,1)=PARAMETERS!$J$10,0.00000110231131*((C88-D88)*PARAMETERS!$CU$28),0)</f>
        <v>0</v>
      </c>
      <c r="AW88" s="854">
        <f>IF(INDEX(HwyTransitModelGroup,A82,1)=PARAMETERS!$J$10,0.00000110231131*((C88-D88)*PARAMETERS!$CV$28),0)</f>
        <v>0</v>
      </c>
      <c r="AX88" s="855">
        <f>IF(INDEX(HwyTransitModelGroup,A82,1)=PARAMETERS!$J$10,0.00000110231131*((C88-D88)*PARAMETERS!$CW$28),0)</f>
        <v>0</v>
      </c>
      <c r="AY88" s="853">
        <f>IF(INDEX(HwyTransitModelGroup,A82,1)=PARAMETERS!$J$11,0.00000110231131*((C88-D88)*PARAMETERS!$CQ$36),0)</f>
        <v>0</v>
      </c>
      <c r="AZ88" s="854">
        <f>IF(INDEX(HwyTransitModelGroup,A82,1)=PARAMETERS!$J$11,0.00000110231131*((C88-D88)*PARAMETERS!$CR$36),0)</f>
        <v>0</v>
      </c>
      <c r="BA88" s="854">
        <f>IF(INDEX(HwyTransitModelGroup,A82,1)=PARAMETERS!$J$11,0.00000110231131*((C88-D88)*PARAMETERS!$CS$36),0)</f>
        <v>0</v>
      </c>
      <c r="BB88" s="854">
        <f>IF(INDEX(HwyTransitModelGroup,A82,1)=PARAMETERS!$J$11,0.00000110231131*((C88-D88)*PARAMETERS!$CT$36),0)</f>
        <v>0</v>
      </c>
      <c r="BC88" s="854">
        <f>IF(INDEX(HwyTransitModelGroup,A82,1)=PARAMETERS!$J$11,0.00000110231131*((C88-D88)*PARAMETERS!$CU$36),0)</f>
        <v>0</v>
      </c>
      <c r="BD88" s="854">
        <f>IF(INDEX(HwyTransitModelGroup,A82,1)=PARAMETERS!$J$11,0.00000110231131*((C88-D88)*PARAMETERS!$CV$36),0)</f>
        <v>0</v>
      </c>
      <c r="BE88" s="855">
        <f>IF(INDEX(HwyTransitModelGroup,A82,1)=PARAMETERS!$J$11,0.00000110231131*((C88-D88)*PARAMETERS!$CW$36),0)</f>
        <v>0</v>
      </c>
      <c r="BF88" s="832">
        <f>(AD88+AK88+AR88+AY88)*VLOOKUP(ProjLoc,EmCost,2)/(1+DiscRate)^($B88-YearCurrent)</f>
        <v>4.4572214799117011</v>
      </c>
      <c r="BG88" s="701">
        <f>(AE88+AL88+AS88+AZ88)*VLOOKUP(ProjLoc,EmCost,3)*(1+CO2Uprater)^($B88-YearCurrent)/(1+DiscRate)^($B88-YearCurrent)</f>
        <v>471.93189770619625</v>
      </c>
      <c r="BH88" s="701">
        <f>(AF88+AM88+AT88+BA88)*VLOOKUP(ProjLoc,EmCost,4)/(1+DiscRate)^($B88-YearCurrent)</f>
        <v>259.19391837170457</v>
      </c>
      <c r="BI88" s="701">
        <f>(AG88+AN88+AU88+BB88)*VLOOKUP(ProjLoc,EmCost,5)/(1+DiscRate)^($B88-YearCurrent)</f>
        <v>14.380746637823565</v>
      </c>
      <c r="BJ88" s="701">
        <f>(AH88+AO88+AV88+BC88)*VLOOKUP(ProjLoc,EmCost,6)/(1+DiscRate)^($B88-YearCurrent)</f>
        <v>5.1094188758357708</v>
      </c>
      <c r="BK88" s="368">
        <f>(AI88+AP88+AW88+BD88)*VLOOKUP(ProjLoc,EmCost,7)/(1+DiscRate)^($B88-YearCurrent)</f>
        <v>2.4269423249201805</v>
      </c>
      <c r="BL88" s="392"/>
      <c r="BN88" s="322"/>
      <c r="BO88" s="52">
        <v>1</v>
      </c>
      <c r="BP88" s="52">
        <v>2</v>
      </c>
      <c r="BQ88" s="52">
        <v>3</v>
      </c>
      <c r="BR88" s="52">
        <v>4</v>
      </c>
      <c r="BS88" s="52">
        <v>5</v>
      </c>
      <c r="BT88" s="52">
        <v>6</v>
      </c>
    </row>
    <row r="89" spans="1:76" x14ac:dyDescent="0.25">
      <c r="B89" s="379">
        <f>YearLast</f>
        <v>2046</v>
      </c>
      <c r="C89" s="380">
        <f>INDEX(ModelData20NB,A82,2)*AnnualFactor</f>
        <v>769785</v>
      </c>
      <c r="D89" s="381">
        <f>INDEX(ModelData20B,A82,2)*AnnualFactor</f>
        <v>757375</v>
      </c>
      <c r="E89" s="380">
        <f>IF(INDEX(HwyTransitModelGroup,A82,1)=Hwy,INDEX(ModelData20NB,A82,3),0)*AnnualFactor</f>
        <v>21170</v>
      </c>
      <c r="F89" s="381">
        <f>IF(INDEX(HwyTransitModelGroup,A82,1)=Hwy,INDEX(ModelData20B,A82,3),0)*AnnualFactor</f>
        <v>16060</v>
      </c>
      <c r="G89" s="380">
        <f>IF(INDEX(HwyTransitModelGroup,A82,1)&lt;&gt;Hwy,INDEX(ModelData20NB,A82,4),0)*AnnualFactor</f>
        <v>0</v>
      </c>
      <c r="H89" s="381">
        <f>IF(INDEX(HwyTransitModelGroup,A82,1)&lt;&gt;Hwy,INDEX(ModelData20B,A82,4),0)*AnnualFactor</f>
        <v>0</v>
      </c>
      <c r="I89" s="380">
        <f>IF(INDEX(HwyTransitModelGroup,A82,1)&lt;&gt;Hwy,INDEX(ModelData20NB,A82,5),0)*AnnualFactor</f>
        <v>0</v>
      </c>
      <c r="J89" s="381">
        <f>IF(INDEX(HwyTransitModelGroup,A82,1)&lt;&gt;Hwy,INDEX(ModelData20B,A82,5),0)*AnnualFactor</f>
        <v>0</v>
      </c>
      <c r="K89" s="432">
        <f>IFERROR(IF(INDEX(HwyTransitModelGroup,A82,1)=Hwy,MAX(5,ROUND(C89/E89,1)),MAX(5,ROUND(G89/I89,1))),55)</f>
        <v>36.4</v>
      </c>
      <c r="L89" s="433">
        <f>IFERROR(IF(INDEX(HwyTransitModelGroup,A82,1)=Hwy,MAX(5,ROUND(D89/F89,1)),MAX(5,ROUND(H89/J89,1))),55)</f>
        <v>47.2</v>
      </c>
      <c r="M89" s="805">
        <f>IF(INDEX(HwyTransitModelGroup,A82,1)=Hwy,INDEX(ModelData20NB,A82,9),0)</f>
        <v>0.24</v>
      </c>
      <c r="N89" s="806">
        <f>IF(INDEX(HwyTransitModelGroup,A82,1)=Hwy,INDEX(ModelData20B,A82,9),0)</f>
        <v>0.24</v>
      </c>
      <c r="O89" s="380">
        <f>IF(OR(INDEX(ModelData20NB,A82,8)=0,INDEX(HwyTransitModelGroup,A82,1)&lt;&gt;Hwy),0,INDEX(ModelData20NB,A82,1)*AnnualFactor/INDEX(ModelData20NB,A82,8))</f>
        <v>0</v>
      </c>
      <c r="P89" s="381">
        <f>IF(OR(INDEX(ModelData20B,A82,8)=0,INDEX(HwyTransitModelGroup,A82,1)&lt;&gt;Hwy),0,INDEX(ModelData20B,A82,1)*AnnualFactor/INDEX(ModelData20B,A82,8))</f>
        <v>0</v>
      </c>
      <c r="Q89" s="845">
        <f>IF(INDEX(HwyTransitModelGroup,A82,1)=Hwy,C89*(1-M89)*0.00000110231131*(VLOOKUP(K89,EmAuto20,2)*VLOOKUP(ProjLoc,EmCost,2)+VLOOKUP(K89,EmAuto20,3)*VLOOKUP(ProjLoc,EmCost,3)*(1+CO2Uprater)^($B89-YearCurrent)+VLOOKUP(K89,EmAuto20,4)*VLOOKUP(ProjLoc,EmCost,4)+VLOOKUP(K89,EmAuto20,5)*VLOOKUP(ProjLoc,EmCost,5)+VLOOKUP(K89,EmAuto20,6)*VLOOKUP(ProjLoc,EmCost,6)+VLOOKUP(K89,EmAuto20,7)*VLOOKUP(ProjLoc,EmCost,7))+C89*M89*0.00000110231131*(VLOOKUP(K89,EmTruck20,2)*VLOOKUP(ProjLoc,EmCost,2)+VLOOKUP(K89,EmTruck20,3)*VLOOKUP(ProjLoc,EmCost,3)*(1+CO2Uprater)^($B89-YearCurrent)+VLOOKUP(K89,EmTruck20,4)*VLOOKUP(ProjLoc,EmCost,4)+VLOOKUP(K89,EmTruck20,5)*VLOOKUP(ProjLoc,EmCost,5)+VLOOKUP(K89,EmTruck20,6)*VLOOKUP(ProjLoc,EmCost,6)+VLOOKUP(K89,EmTruck20,7)*VLOOKUP(ProjLoc,EmCost,7)),0)</f>
        <v>22179.217614336747</v>
      </c>
      <c r="R89" s="846">
        <f>IF(INDEX(HwyTransitModelGroup,A82,1)=Hwy,D89*(1-N89)*0.00000110231131*(VLOOKUP(L89,EmAuto20,2)*VLOOKUP(ProjLoc,EmCost,2)+VLOOKUP(L89,EmAuto20,3)*VLOOKUP(ProjLoc,EmCost,3)*(1+CO2Uprater)^($B89-YearCurrent)+VLOOKUP(L89,EmAuto20,4)*VLOOKUP(ProjLoc,EmCost,4)+VLOOKUP(L89,EmAuto20,5)*VLOOKUP(ProjLoc,EmCost,5)+VLOOKUP(L89,EmAuto20,6)*VLOOKUP(ProjLoc,EmCost,6)+VLOOKUP(L89,EmAuto20,7)*VLOOKUP(ProjLoc,EmCost,7))+D89*N89*0.00000110231131*(VLOOKUP(L89,EmTruck20,2)*VLOOKUP(ProjLoc,EmCost,2)+VLOOKUP(L89,EmTruck20,3)*VLOOKUP(ProjLoc,EmCost,3)*(1+CO2Uprater)^($B89-YearCurrent)+VLOOKUP(L89,EmTruck20,4)*VLOOKUP(ProjLoc,EmCost,4)+VLOOKUP(L89,EmTruck20,5)*VLOOKUP(ProjLoc,EmCost,5)+VLOOKUP(L89,EmTruck20,6)*VLOOKUP(ProjLoc,EmCost,6)+VLOOKUP(L89,EmTruck20,7)*VLOOKUP(ProjLoc,EmCost,7)),0)</f>
        <v>21808.069705486483</v>
      </c>
      <c r="S89" s="845">
        <f>IF(INDEX(HwyTransitModelGroup,A82,1)=Hwy,O89*(1-M89)*0.00000110231131*(VLOOKUP(0,EmAuto20,2)*VLOOKUP(ProjLoc,EmCost,2)+VLOOKUP(0,EmAuto20,3)*VLOOKUP(ProjLoc,EmCost,3)*(1+CO2Uprater)^($B89-YearCurrent)+VLOOKUP(0,EmAuto20,4)*VLOOKUP(ProjLoc,EmCost,4)+VLOOKUP(0,EmAuto20,5)*VLOOKUP(ProjLoc,EmCost,5)+VLOOKUP(0,EmAuto20,6)*VLOOKUP(ProjLoc,EmCost,6)+VLOOKUP(0,EmAuto20,7)*VLOOKUP(ProjLoc,EmCost,7))+O89*M89*0.00000110231131*(VLOOKUP(0,EmTruck20,2)*VLOOKUP(ProjLoc,EmCost,2)+VLOOKUP(0,EmTruck20,3)*VLOOKUP(ProjLoc,EmCost,3)*(1+CO2Uprater)^($B89-YearCurrent)+VLOOKUP(0,EmTruck20,4)*VLOOKUP(ProjLoc,EmCost,4)+VLOOKUP(0,EmTruck20,5)*VLOOKUP(ProjLoc,EmCost,5)+VLOOKUP(0,EmTruck20,6)*VLOOKUP(ProjLoc,EmCost,6)+VLOOKUP(0,EmTruck20,7)*VLOOKUP(ProjLoc,EmCost,7)),0)</f>
        <v>0</v>
      </c>
      <c r="T89" s="846">
        <f>IF(INDEX(HwyTransitModelGroup,A82,1)=Hwy,P89*(1-N89)*0.00000110231131*(VLOOKUP(0,EmAuto20,2)*VLOOKUP(ProjLoc,EmCost,2)+VLOOKUP(0,EmAuto20,3)*VLOOKUP(ProjLoc,EmCost,3)*(1+CO2Uprater)^($B89-YearCurrent)+VLOOKUP(0,EmAuto20,4)*VLOOKUP(ProjLoc,EmCost,4)+VLOOKUP(0,EmAuto20,5)*VLOOKUP(ProjLoc,EmCost,5)+VLOOKUP(0,EmAuto20,6)*VLOOKUP(ProjLoc,EmCost,6)+VLOOKUP(0,EmAuto20,7)*VLOOKUP(ProjLoc,EmCost,7))+P89*N89*0.00000110231131*(VLOOKUP(0,EmTruck20,2)*VLOOKUP(ProjLoc,EmCost,2)+VLOOKUP(0,EmTruck20,3)*VLOOKUP(ProjLoc,EmCost,3)*(1+CO2Uprater)^($B89-YearCurrent)+VLOOKUP(0,EmTruck20,4)*VLOOKUP(ProjLoc,EmCost,4)+VLOOKUP(0,EmTruck20,5)*VLOOKUP(ProjLoc,EmCost,5)+VLOOKUP(0,EmTruck20,6)*VLOOKUP(ProjLoc,EmCost,6)+VLOOKUP(0,EmTruck20,7)*VLOOKUP(ProjLoc,EmCost,7)),0)</f>
        <v>0</v>
      </c>
      <c r="U89" s="845">
        <f>IF(INDEX(HwyTransitModelGroup,A82,1)=PARAMETERS!$J$9,C89*0.00000110231131*(VLOOKUP(K89,EmBus20,2)*VLOOKUP(ProjLoc,EmCost,2)+VLOOKUP(K89,EmBus20,3)*VLOOKUP(ProjLoc,EmCost,3)*(1+CO2Uprater)^($B89-YearCurrent)+VLOOKUP(K89,EmBus20,4)*VLOOKUP(ProjLoc,EmCost,4)+VLOOKUP(K89,EmBus20,5)*VLOOKUP(ProjLoc,EmCost,5)+VLOOKUP(K89,EmBus20,6)*VLOOKUP(ProjLoc,EmCost,6)+VLOOKUP(K89,EmBus20,7)*VLOOKUP(ProjLoc,EmCost,7)),0)</f>
        <v>0</v>
      </c>
      <c r="V89" s="846">
        <f>IF(INDEX(HwyTransitModelGroup,A82,1)=PARAMETERS!$J$9,D89*0.00000110231131*(VLOOKUP(L89,EmBus20,2)*VLOOKUP(ProjLoc,EmCost,2)+VLOOKUP(L89,EmBus20,3)*VLOOKUP(ProjLoc,EmCost,3)*(1+CO2Uprater)^($B89-YearCurrent)+VLOOKUP(L89,EmBus20,4)*VLOOKUP(ProjLoc,EmCost,4)+VLOOKUP(L89,EmBus20,5)*VLOOKUP(ProjLoc,EmCost,5)+VLOOKUP(L89,EmBus20,6)*VLOOKUP(ProjLoc,EmCost,6)+VLOOKUP(L89,EmBus20,7)*VLOOKUP(ProjLoc,EmCost,7)),0)</f>
        <v>0</v>
      </c>
      <c r="W89" s="845">
        <f>IF(INDEX(HwyTransitModelGroup,A82,1)=PARAMETERS!$J$10,C89*0.00000110231131*(PARAMETERS!$CQ$29*VLOOKUP(ProjLoc,EmCost,2)+PARAMETERS!$CR$29*VLOOKUP(ProjLoc,EmCost,3)*(1+CO2Uprater)^($B89-YearCurrent)+PARAMETERS!$CS$29*VLOOKUP(ProjLoc,EmCost,4)+PARAMETERS!$CT$29*VLOOKUP(ProjLoc,EmCost,5)+PARAMETERS!$CU$29*VLOOKUP(ProjLoc,EmCost,6)+PARAMETERS!$CV$29*VLOOKUP(ProjLoc,EmCost,7)),0)</f>
        <v>0</v>
      </c>
      <c r="X89" s="846">
        <f>IF(INDEX(HwyTransitModelGroup,A82,1)=PARAMETERS!$J$10,D89*0.00000110231131*(PARAMETERS!$CQ$29*VLOOKUP(ProjLoc,EmCost,2)+PARAMETERS!$CR$29*VLOOKUP(ProjLoc,EmCost,3)*(1+CO2Uprater)^($B89-YearCurrent)+PARAMETERS!$CS$29*VLOOKUP(ProjLoc,EmCost,4)+PARAMETERS!$CT$29*VLOOKUP(ProjLoc,EmCost,5)+PARAMETERS!$CU$29*VLOOKUP(ProjLoc,EmCost,6)+PARAMETERS!$CV$29*VLOOKUP(ProjLoc,EmCost,7)),0)</f>
        <v>0</v>
      </c>
      <c r="Y89" s="845">
        <f>IF(INDEX(HwyTransitModelGroup,A82,1)=PARAMETERS!$J$11,C89*0.00000110231131*(PARAMETERS!$CQ$37*VLOOKUP(ProjLoc,EmCost,2)+PARAMETERS!$CR$37*VLOOKUP(ProjLoc,EmCost,3)*(1+CO2Uprater)^($B89-YearCurrent)+PARAMETERS!$CS$37*VLOOKUP(ProjLoc,EmCost,4)+PARAMETERS!$CT$37*VLOOKUP(ProjLoc,EmCost,5)+PARAMETERS!$CU$37*VLOOKUP(ProjLoc,EmCost,6)+PARAMETERS!$CV$37*VLOOKUP(ProjLoc,EmCost,7)),0)</f>
        <v>0</v>
      </c>
      <c r="Z89" s="846">
        <f>IF(INDEX(HwyTransitModelGroup,A82,1)=PARAMETERS!$J$11,D89*0.00000110231131*(PARAMETERS!$CQ$37*VLOOKUP(ProjLoc,EmCost,2)+PARAMETERS!$CR$37*VLOOKUP(ProjLoc,EmCost,3)*(1+CO2Uprater)^($B89-YearCurrent)+PARAMETERS!$CS$37*VLOOKUP(ProjLoc,EmCost,4)+PARAMETERS!$CT$37*VLOOKUP(ProjLoc,EmCost,5)+PARAMETERS!$CU$37*VLOOKUP(ProjLoc,EmCost,6)+PARAMETERS!$CV$37*VLOOKUP(ProjLoc,EmCost,7)),0)</f>
        <v>0</v>
      </c>
      <c r="AA89" s="369">
        <f>(Q89+S89+U89+W89+Y89)-(R89+T89+V89+X89+Z89)</f>
        <v>371.14790885026378</v>
      </c>
      <c r="AB89" s="370">
        <f>AA89/(1+DiscRate)^(B89-YearCurrent)</f>
        <v>144.79276940040285</v>
      </c>
      <c r="AC89" s="371"/>
      <c r="AD89" s="856">
        <f>IF(INDEX(HwyTransitModelGroup,A82,1)=Hwy,0.00000110231131*(C89*(1-M89)*VLOOKUP(K89,EmAuto20,2)-D89*(1-N89)*VLOOKUP(L89,EmAuto20,2)+(O89*(1-M89)-P89*(1-N89))*VLOOKUP(0,EmAuto20,2))+0.00000110231131*(C89*M89*VLOOKUP(K89,EmTruck20,2)-D89*N89*VLOOKUP(L89,EmTruck20,2)+(O89*M89-P89*N89)*VLOOKUP(0,EmTruck20,2)),0)</f>
        <v>5.7744254512119161E-2</v>
      </c>
      <c r="AE89" s="857">
        <f>IF(INDEX(HwyTransitModelGroup,A82,1)=Hwy,0.00000110231131*(C89*(1-M89)*VLOOKUP(K89,EmAuto20,3)-D89*(1-N89)*VLOOKUP(L89,EmAuto20,3)+(O89*(1-M89)-P89*(1-N89))*VLOOKUP(0,EmAuto20,3))+0.00000110231131*(C89*M89*VLOOKUP(K89,EmTruck20,3)-D89*N89*VLOOKUP(L89,EmTruck20,3)+(O89*M89-P89*N89)*VLOOKUP(0,EmTruck20,3)),0)</f>
        <v>1.0374778800960762</v>
      </c>
      <c r="AF89" s="857">
        <f>IF(INDEX(HwyTransitModelGroup,A82,1)=Hwy,0.00000110231131*(C89*(1-M89)*VLOOKUP(K89,EmAuto20,4)-D89*(1-N89)*VLOOKUP(L89,EmAuto20,4)+(O89*(1-M89)-P89*(1-N89))*VLOOKUP(0,EmAuto20,4))+0.00000110231131*(C89*M89*VLOOKUP(K89,EmTruck20,4)-D89*N89*VLOOKUP(L89,EmTruck20,4)+(O89*M89-P89*N89)*VLOOKUP(0,EmTruck20,4)),0)</f>
        <v>2.1514219875031087E-2</v>
      </c>
      <c r="AG89" s="857">
        <f>IF(INDEX(HwyTransitModelGroup,A82,1)=Hwy,0.00000110231131*(C89*(1-M89)*VLOOKUP(K89,EmAuto20,5)-D89*(1-N89)*VLOOKUP(L89,EmAuto20,5)+(O89*(1-M89)-P89*(1-N89))*VLOOKUP(0,EmAuto20,5))+0.00000110231131*(C89*M89*VLOOKUP(K89,EmTruck20,5)-D89*N89*VLOOKUP(L89,EmTruck20,5)+(O89*M89-P89*N89)*VLOOKUP(0,EmTruck20,5)),0)</f>
        <v>-3.1961051258077168E-4</v>
      </c>
      <c r="AH89" s="857">
        <f>IF(INDEX(HwyTransitModelGroup,A82,1)=Hwy,0.00000110231131*(C89*(1-M89)*VLOOKUP(K89,EmAuto20,6)-D89*(1-N89)*VLOOKUP(L89,EmAuto20,6)+(O89*(1-M89)-P89*(1-N89))*VLOOKUP(0,EmAuto20,6))+0.00000110231131*(C89*M89*VLOOKUP(K89,EmTruck20,6)-D89*N89*VLOOKUP(L89,EmTruck20,6)+(O89*M89-P89*N89)*VLOOKUP(0,EmTruck20,6)),0)</f>
        <v>-4.2885002637251969E-5</v>
      </c>
      <c r="AI89" s="857">
        <f>IF(INDEX(HwyTransitModelGroup,A82,1)=Hwy,0.00000110231131*(C89*(1-M89)*VLOOKUP(K89,EmAuto20,7)-D89*(1-N89)*VLOOKUP(L89,EmAuto20,7)+(O89*(1-M89)-P89*(1-N89))*VLOOKUP(0,EmAuto20,7))+0.00000110231131*(C89*M89*VLOOKUP(K89,EmTruck20,7)-D89*N89*VLOOKUP(L89,EmTruck20,7)+(O89*M89-P89*N89)*VLOOKUP(0,EmTruck20,7)),0)</f>
        <v>1.2558045884288561E-3</v>
      </c>
      <c r="AJ89" s="858">
        <f>IF(INDEX(HwyTransitModelGroup,A82,1)=Hwy,0.00000110231131*(C89*(1-M89)*VLOOKUP(K89,EmAuto20,8)-D89*(1-N89)*VLOOKUP(L89,EmAuto20,8)+(O89*(1-M89)-P89*(1-N89))*VLOOKUP(0,EmAuto20,8))+0.00000110231131*(C89*M89*VLOOKUP(K89,EmTruck20,8)-D89*N89*VLOOKUP(L89,EmTruck20,8)+(O89*M89-P89*N89)*VLOOKUP(0,EmTruck20,8)),0)</f>
        <v>-3.6471967079443709E-4</v>
      </c>
      <c r="AK89" s="856">
        <f>IF(INDEX(HwyTransitModelGroup,A82,1)=PARAMETERS!$J$9,0.00000110231131*(C89*VLOOKUP(K89,EmBus20,2)-D89*VLOOKUP(L89,EmBus20,2)+(O89-P89)*VLOOKUP(0,EmBus20,2)),0)</f>
        <v>0</v>
      </c>
      <c r="AL89" s="857">
        <f>IF(INDEX(HwyTransitModelGroup,A82,1)=PARAMETERS!$J$9,0.00000110231131*(C89*VLOOKUP(K89,EmBus20,3)-D89*VLOOKUP(L89,EmBus20,3)+(O89-P89)*VLOOKUP(0,EmBus20,3)),0)</f>
        <v>0</v>
      </c>
      <c r="AM89" s="857">
        <f>IF(INDEX(HwyTransitModelGroup,A82,1)=PARAMETERS!$J$9,0.00000110231131*(C89*VLOOKUP(K89,EmBus20,4)-D89*VLOOKUP(L89,EmBus20,4)+(O89-P89)*VLOOKUP(0,EmBus20,4)),0)</f>
        <v>0</v>
      </c>
      <c r="AN89" s="857">
        <f>IF(INDEX(HwyTransitModelGroup,A82,1)=PARAMETERS!$J$9,0.00000110231131*(C89*VLOOKUP(K89,EmBus20,5)-D89*VLOOKUP(L89,EmBus20,5)+(O89-P89)*VLOOKUP(0,EmBus20,5)),0)</f>
        <v>0</v>
      </c>
      <c r="AO89" s="857">
        <f>IF(INDEX(HwyTransitModelGroup,A82,1)=PARAMETERS!$J$9,0.00000110231131*(C89*VLOOKUP(K89,EmBus20,6)-D89*VLOOKUP(L89,EmBus20,6)+(O89-P89)*VLOOKUP(0,EmBus20,6)),0)</f>
        <v>0</v>
      </c>
      <c r="AP89" s="857">
        <f>IF(INDEX(HwyTransitModelGroup,A82,1)=PARAMETERS!$J$9,0.00000110231131*(C89*VLOOKUP(K89,EmBus20,7)-D89*VLOOKUP(L89,EmBus20,7)+(O89-P89)*VLOOKUP(0,EmBus20,7)),0)</f>
        <v>0</v>
      </c>
      <c r="AQ89" s="858">
        <f>IF(INDEX(HwyTransitModelGroup,A82,1)=PARAMETERS!$J$9,0.00000110231131*(C89*VLOOKUP(K89,EmBus20,8)-D89*VLOOKUP(L89,EmBus20,8)+(O89-P89)*VLOOKUP(0,EmBus20,8)),0)</f>
        <v>0</v>
      </c>
      <c r="AR89" s="856">
        <f>IF(INDEX(HwyTransitModelGroup,A82,1)=PARAMETERS!$J$10,0.00000110231131*((C89-D89)*PARAMETERS!$CQ$29),0)</f>
        <v>0</v>
      </c>
      <c r="AS89" s="857">
        <f>IF(INDEX(HwyTransitModelGroup,A82,1)=PARAMETERS!$J$10,0.00000110231131*((C89-D89)*PARAMETERS!$CR$29),0)</f>
        <v>0</v>
      </c>
      <c r="AT89" s="857">
        <f>IF(INDEX(HwyTransitModelGroup,A82,1)=PARAMETERS!$J$10,0.00000110231131*((C89-D89)*PARAMETERS!$CS$29),0)</f>
        <v>0</v>
      </c>
      <c r="AU89" s="857">
        <f>IF(INDEX(HwyTransitModelGroup,A82,1)=PARAMETERS!$J$10,0.00000110231131*((C89-D89)*PARAMETERS!$CT$29),0)</f>
        <v>0</v>
      </c>
      <c r="AV89" s="857">
        <f>IF(INDEX(HwyTransitModelGroup,A82,1)=PARAMETERS!$J$10,0.00000110231131*((C89-D89)*PARAMETERS!$CU$29),0)</f>
        <v>0</v>
      </c>
      <c r="AW89" s="857">
        <f>IF(INDEX(HwyTransitModelGroup,A82,1)=PARAMETERS!$J$10,0.00000110231131*((C89-D89)*PARAMETERS!$CV$29),0)</f>
        <v>0</v>
      </c>
      <c r="AX89" s="858">
        <f>IF(INDEX(HwyTransitModelGroup,A82,1)=PARAMETERS!$J$10,0.00000110231131*((C89-D89)*PARAMETERS!$CW$29),0)</f>
        <v>0</v>
      </c>
      <c r="AY89" s="856">
        <f>IF(INDEX(HwyTransitModelGroup,A82,1)=PARAMETERS!$J$11,0.00000110231131*((C89-D89)*PARAMETERS!$CQ$37),0)</f>
        <v>0</v>
      </c>
      <c r="AZ89" s="857">
        <f>IF(INDEX(HwyTransitModelGroup,A82,1)=PARAMETERS!$J$11,0.00000110231131*((C89-D89)*PARAMETERS!$CR$37),0)</f>
        <v>0</v>
      </c>
      <c r="BA89" s="857">
        <f>IF(INDEX(HwyTransitModelGroup,A82,1)=PARAMETERS!$J$11,0.00000110231131*((C89-D89)*PARAMETERS!$CS$37),0)</f>
        <v>0</v>
      </c>
      <c r="BB89" s="857">
        <f>IF(INDEX(HwyTransitModelGroup,A82,1)=PARAMETERS!$J$11,0.00000110231131*((C89-D89)*PARAMETERS!$CT$37),0)</f>
        <v>0</v>
      </c>
      <c r="BC89" s="857">
        <f>IF(INDEX(HwyTransitModelGroup,A82,1)=PARAMETERS!$J$11,0.00000110231131*((C89-D89)*PARAMETERS!$CU$37),0)</f>
        <v>0</v>
      </c>
      <c r="BD89" s="857">
        <f>IF(INDEX(HwyTransitModelGroup,A82,1)=PARAMETERS!$J$11,0.00000110231131*((C89-D89)*PARAMETERS!$CV$37),0)</f>
        <v>0</v>
      </c>
      <c r="BE89" s="858">
        <f>IF(INDEX(HwyTransitModelGroup,A82,1)=PARAMETERS!$J$11,0.00000110231131*((C89-D89)*PARAMETERS!$CW$37),0)</f>
        <v>0</v>
      </c>
      <c r="BF89" s="859">
        <f>(AD89+AK89+AR89+AY89)*VLOOKUP(ProjLoc,EmCost,2)/(1+DiscRate)^($B89-YearCurrent)</f>
        <v>1.8021818964136136</v>
      </c>
      <c r="BG89" s="702">
        <f>(AE89+AL89+AS89+AZ89)*VLOOKUP(ProjLoc,EmCost,3)*(1+CO2Uprater)^($B89-YearCurrent)/(1+DiscRate)^($B89-YearCurrent)</f>
        <v>31.24813213898566</v>
      </c>
      <c r="BH89" s="702">
        <f>(AF89+AM89+AT89+BA89)*VLOOKUP(ProjLoc,EmCost,4)/(1+DiscRate)^($B89-YearCurrent)</f>
        <v>126.7367035728623</v>
      </c>
      <c r="BI89" s="702">
        <f>(AG89+AN89+AU89+BB89)*VLOOKUP(ProjLoc,EmCost,5)/(1+DiscRate)^($B89-YearCurrent)</f>
        <v>-14.550964075600119</v>
      </c>
      <c r="BJ89" s="702">
        <f>(AH89+AO89+AV89+BC89)*VLOOKUP(ProjLoc,EmCost,6)/(1+DiscRate)^($B89-YearCurrent)</f>
        <v>-0.98709126690968263</v>
      </c>
      <c r="BK89" s="384">
        <f>(AI89+AP89+AW89+BD89)*VLOOKUP(ProjLoc,EmCost,7)/(1+DiscRate)^($B89-YearCurrent)</f>
        <v>0.5438071346538369</v>
      </c>
      <c r="BL89" s="392"/>
      <c r="BN89" s="335"/>
      <c r="BO89" s="1777" t="str">
        <f t="shared" ref="BO89:BT89" si="32">IF(ISBLANK(INDEX(ModelGroup,BO88,1)),"Not Used",INDEX(ModelGroup,BO88,1))</f>
        <v>SB Off-ramp to Ave 280</v>
      </c>
      <c r="BP89" s="1777" t="str">
        <f t="shared" si="32"/>
        <v>SB On-ramp from Ave 280</v>
      </c>
      <c r="BQ89" s="1777" t="str">
        <f t="shared" si="32"/>
        <v>NB Off-ramp to Ave 280</v>
      </c>
      <c r="BR89" s="1777" t="str">
        <f t="shared" si="32"/>
        <v>NB On-ramp from Ave 280</v>
      </c>
      <c r="BS89" s="1777" t="str">
        <f t="shared" si="32"/>
        <v>NB Mainline</v>
      </c>
      <c r="BT89" s="1777" t="str">
        <f t="shared" si="32"/>
        <v>SB Mainline</v>
      </c>
    </row>
    <row r="90" spans="1:76" x14ac:dyDescent="0.25">
      <c r="B90" s="385"/>
      <c r="C90" s="388"/>
      <c r="D90" s="388"/>
      <c r="E90" s="388"/>
      <c r="F90" s="388"/>
      <c r="G90" s="388"/>
      <c r="H90" s="388"/>
      <c r="I90" s="388"/>
      <c r="J90" s="388"/>
      <c r="K90" s="434"/>
      <c r="L90" s="434"/>
      <c r="M90" s="434"/>
      <c r="N90" s="434"/>
      <c r="O90" s="386"/>
      <c r="P90" s="386"/>
      <c r="Q90" s="386"/>
      <c r="R90" s="386"/>
      <c r="S90" s="386"/>
      <c r="T90" s="386"/>
      <c r="U90" s="386"/>
      <c r="V90" s="386"/>
      <c r="W90" s="842"/>
      <c r="X90" s="843"/>
      <c r="Y90" s="388"/>
      <c r="Z90" s="388"/>
      <c r="AA90" s="388"/>
      <c r="AB90" s="389"/>
      <c r="AC90" s="390"/>
      <c r="AD90" s="847"/>
      <c r="AE90" s="389"/>
      <c r="AF90" s="389"/>
      <c r="AG90" s="389"/>
      <c r="AH90" s="389"/>
      <c r="AI90" s="389"/>
      <c r="AJ90" s="848"/>
      <c r="AK90" s="847"/>
      <c r="AL90" s="389"/>
      <c r="AM90" s="389"/>
      <c r="AN90" s="389"/>
      <c r="AO90" s="389"/>
      <c r="AP90" s="389"/>
      <c r="AQ90" s="848"/>
      <c r="AR90" s="847"/>
      <c r="AS90" s="389"/>
      <c r="AT90" s="389"/>
      <c r="AU90" s="389"/>
      <c r="AV90" s="389"/>
      <c r="AW90" s="389"/>
      <c r="AX90" s="848"/>
      <c r="AY90" s="847"/>
      <c r="AZ90" s="389"/>
      <c r="BA90" s="389"/>
      <c r="BB90" s="389"/>
      <c r="BC90" s="389"/>
      <c r="BD90" s="389"/>
      <c r="BE90" s="848"/>
      <c r="BF90" s="388"/>
      <c r="BG90" s="388"/>
      <c r="BH90" s="388"/>
      <c r="BI90" s="388"/>
      <c r="BJ90" s="388"/>
      <c r="BK90" s="388"/>
      <c r="BL90" s="392"/>
      <c r="BN90" s="77" t="s">
        <v>34</v>
      </c>
      <c r="BO90" s="1778"/>
      <c r="BP90" s="1778"/>
      <c r="BQ90" s="1778"/>
      <c r="BR90" s="1778"/>
      <c r="BS90" s="1778"/>
      <c r="BT90" s="1778"/>
    </row>
    <row r="91" spans="1:76" x14ac:dyDescent="0.25">
      <c r="B91" s="375">
        <f>YearOpen</f>
        <v>2026</v>
      </c>
      <c r="C91" s="393">
        <f>MAX(TREND(C88:C89,B88:B89,B91),0)</f>
        <v>556625</v>
      </c>
      <c r="D91" s="394">
        <f>MAX(TREND(D88:D89,B88:B89,B91),0)</f>
        <v>547500</v>
      </c>
      <c r="E91" s="393">
        <f>MAX(TREND(E88:E89,B88:B89,B91),0)</f>
        <v>14965</v>
      </c>
      <c r="F91" s="394">
        <f>MAX(TREND(F88:F89,B88:B89,B91),0)</f>
        <v>11680</v>
      </c>
      <c r="G91" s="393">
        <f>MAX(TREND(G88:G89,B88:B89,B91),0)</f>
        <v>0</v>
      </c>
      <c r="H91" s="394">
        <f>MAX(TREND(H88:H89,B88:B89,B91),0)</f>
        <v>0</v>
      </c>
      <c r="I91" s="393">
        <f>MAX(TREND(I88:I89,B88:B89,B91),0)</f>
        <v>0</v>
      </c>
      <c r="J91" s="394">
        <f>MAX(TREND(J88:J89,B88:B89,B91),0)</f>
        <v>0</v>
      </c>
      <c r="K91" s="435">
        <f>IFERROR(IF(INDEX(HwyTransitModelGroup,A82,1)=Hwy,MAX(5,ROUND(C91/E91,1)),MAX(5,ROUND(G91/I91,1))),55)</f>
        <v>37.200000000000003</v>
      </c>
      <c r="L91" s="436">
        <f>IFERROR(IF(INDEX(HwyTransitModelGroup,A82,1)=Hwy,MAX(5,ROUND(D91/F91,1)),MAX(5,ROUND(H91/J91,1))),55)</f>
        <v>46.9</v>
      </c>
      <c r="M91" s="397">
        <f>MIN(MAX(TREND(M88:M89,B88:B89,B91),0),1)</f>
        <v>0.24</v>
      </c>
      <c r="N91" s="398">
        <f>MIN(MAX(TREND(N88:N89,B88:B89,B91),0),1)</f>
        <v>0.24</v>
      </c>
      <c r="O91" s="393">
        <f>MAX(TREND(O88:O89,B88:B89,B91),0)</f>
        <v>0</v>
      </c>
      <c r="P91" s="394">
        <f>MAX(TREND(P88:P89,B88:B89,B91),0)</f>
        <v>0</v>
      </c>
      <c r="Q91" s="727">
        <f>IF(INDEX(HwyTransitModelGroup,A82,1)=Hwy,C91*(1-M91)*0.00000110231131*(VLOOKUP(K91,EmAuto1,2)*VLOOKUP(ProjLoc,EmCost,2)+VLOOKUP(K91,EmAuto1,3)*VLOOKUP(ProjLoc,EmCost,3)*(1+CO2Uprater)^($B91-YearCurrent)+VLOOKUP(K91,EmAuto1,4)*VLOOKUP(ProjLoc,EmCost,4)+VLOOKUP(K91,EmAuto1,5)*VLOOKUP(ProjLoc,EmCost,5)+VLOOKUP(K91,EmAuto1,6)*VLOOKUP(ProjLoc,EmCost,6)+VLOOKUP(K91,EmAuto1,7)*VLOOKUP(ProjLoc,EmCost,7))+C91*M91*0.00000110231131*(VLOOKUP(K91,EmTruck1,2)*VLOOKUP(ProjLoc,EmCost,2)+VLOOKUP(K91,EmTruck1,3)*VLOOKUP(ProjLoc,EmCost,3)*(1+CO2Uprater)^($B91-YearCurrent)+VLOOKUP(K91,EmTruck1,4)*VLOOKUP(ProjLoc,EmCost,4)+VLOOKUP(K91,EmTruck1,5)*VLOOKUP(ProjLoc,EmCost,5)+VLOOKUP(K91,EmTruck1,6)*VLOOKUP(ProjLoc,EmCost,6)+VLOOKUP(K91,EmTruck1,7)*VLOOKUP(ProjLoc,EmCost,7)),0)</f>
        <v>17884.222636970528</v>
      </c>
      <c r="R91" s="801">
        <f>IF(INDEX(HwyTransitModelGroup,A82,1)=Hwy,D91*(1-N91)*0.00000110231131*(VLOOKUP(L91,EmAuto1,2)*VLOOKUP(ProjLoc,EmCost,2)+VLOOKUP(L91,EmAuto1,3)*VLOOKUP(ProjLoc,EmCost,3)*(1+CO2Uprater)^($B91-YearCurrent)+VLOOKUP(L91,EmAuto1,4)*VLOOKUP(ProjLoc,EmCost,4)+VLOOKUP(L91,EmAuto1,5)*VLOOKUP(ProjLoc,EmCost,5)+VLOOKUP(L91,EmAuto1,6)*VLOOKUP(ProjLoc,EmCost,6)+VLOOKUP(L91,EmAuto1,7)*VLOOKUP(ProjLoc,EmCost,7))+D91*N91*0.00000110231131*(VLOOKUP(L91,EmTruck1,2)*VLOOKUP(ProjLoc,EmCost,2)+VLOOKUP(L91,EmTruck1,3)*VLOOKUP(ProjLoc,EmCost,3)*(1+CO2Uprater)^($B91-YearCurrent)+VLOOKUP(L91,EmTruck1,4)*VLOOKUP(ProjLoc,EmCost,4)+VLOOKUP(L91,EmTruck1,5)*VLOOKUP(ProjLoc,EmCost,5)+VLOOKUP(L91,EmTruck1,6)*VLOOKUP(ProjLoc,EmCost,6)+VLOOKUP(L91,EmTruck1,7)*VLOOKUP(ProjLoc,EmCost,7)),0)</f>
        <v>16998.054607677313</v>
      </c>
      <c r="S91" s="727">
        <f>IF(INDEX(HwyTransitModelGroup,A82,1)=Hwy,O91*(1-M91)*0.00000110231131*(VLOOKUP(0,EmAuto1,2)*VLOOKUP(ProjLoc,EmCost,2)+VLOOKUP(0,EmAuto1,3)*VLOOKUP(ProjLoc,EmCost,3)*(1+CO2Uprater)^($B91-YearCurrent)+VLOOKUP(0,EmAuto1,4)*VLOOKUP(ProjLoc,EmCost,4)+VLOOKUP(0,EmAuto1,5)*VLOOKUP(ProjLoc,EmCost,5)+VLOOKUP(0,EmAuto1,6)*VLOOKUP(ProjLoc,EmCost,6)+VLOOKUP(0,EmAuto1,7)*VLOOKUP(ProjLoc,EmCost,7))+O91*M91*0.00000110231131*(VLOOKUP(0,EmTruck1,2)*VLOOKUP(ProjLoc,EmCost,2)+VLOOKUP(0,EmTruck1,3)*VLOOKUP(ProjLoc,EmCost,3)*(1+CO2Uprater)^($B91-YearCurrent)+VLOOKUP(0,EmTruck1,4)*VLOOKUP(ProjLoc,EmCost,4)+VLOOKUP(0,EmTruck1,5)*VLOOKUP(ProjLoc,EmCost,5)+VLOOKUP(0,EmTruck1,6)*VLOOKUP(ProjLoc,EmCost,6)+VLOOKUP(0,EmTruck1,7)*VLOOKUP(ProjLoc,EmCost,7)),0)</f>
        <v>0</v>
      </c>
      <c r="T91" s="801">
        <f>IF(INDEX(HwyTransitModelGroup,A82,1)=Hwy,P91*(1-N91)*0.00000110231131*(VLOOKUP(0,EmAuto1,2)*VLOOKUP(ProjLoc,EmCost,2)+VLOOKUP(0,EmAuto1,3)*VLOOKUP(ProjLoc,EmCost,3)*(1+CO2Uprater)^($B91-YearCurrent)+VLOOKUP(0,EmAuto1,4)*VLOOKUP(ProjLoc,EmCost,4)+VLOOKUP(0,EmAuto1,5)*VLOOKUP(ProjLoc,EmCost,5)+VLOOKUP(0,EmAuto1,6)*VLOOKUP(ProjLoc,EmCost,6)+VLOOKUP(0,EmAuto1,7)*VLOOKUP(ProjLoc,EmCost,7))+P91*N91*0.00000110231131*(VLOOKUP(0,EmTruck1,2)*VLOOKUP(ProjLoc,EmCost,2)+VLOOKUP(0,EmTruck1,3)*VLOOKUP(ProjLoc,EmCost,3)*(1+CO2Uprater)^($B91-YearCurrent)+VLOOKUP(0,EmTruck1,4)*VLOOKUP(ProjLoc,EmCost,4)+VLOOKUP(0,EmTruck1,5)*VLOOKUP(ProjLoc,EmCost,5)+VLOOKUP(0,EmTruck1,6)*VLOOKUP(ProjLoc,EmCost,6)+VLOOKUP(0,EmTruck1,7)*VLOOKUP(ProjLoc,EmCost,7)),0)</f>
        <v>0</v>
      </c>
      <c r="U91" s="727">
        <f>IF(INDEX(HwyTransitModelGroup,A82,1)=PARAMETERS!$J$9,C91*0.00000110231131*(VLOOKUP(K91,EmBus1,2)*VLOOKUP(ProjLoc,EmCost,2)+VLOOKUP(K91,EmBus1,3)*VLOOKUP(ProjLoc,EmCost,3)*(1+CO2Uprater)^($B91-YearCurrent)+VLOOKUP(K91,EmBus1,4)*VLOOKUP(ProjLoc,EmCost,4)+VLOOKUP(K91,EmBus1,5)*VLOOKUP(ProjLoc,EmCost,5)+VLOOKUP(K91,EmBus1,6)*VLOOKUP(ProjLoc,EmCost,6)+VLOOKUP(K91,EmBus1,7)*VLOOKUP(ProjLoc,EmCost,7)),0)</f>
        <v>0</v>
      </c>
      <c r="V91" s="801">
        <f>IF(INDEX(HwyTransitModelGroup,A82,1)=PARAMETERS!$J$9,D91*0.00000110231131*(VLOOKUP(L91,EmBus1,2)*VLOOKUP(ProjLoc,EmCost,2)+VLOOKUP(L91,EmBus1,3)*VLOOKUP(ProjLoc,EmCost,3)*(1+CO2Uprater)^($B91-YearCurrent)+VLOOKUP(L91,EmBus1,4)*VLOOKUP(ProjLoc,EmCost,4)+VLOOKUP(L91,EmBus1,5)*VLOOKUP(ProjLoc,EmCost,5)+VLOOKUP(L91,EmBus1,6)*VLOOKUP(ProjLoc,EmCost,6)+VLOOKUP(L91,EmBus1,7)*VLOOKUP(ProjLoc,EmCost,7)),0)</f>
        <v>0</v>
      </c>
      <c r="W91" s="808">
        <f>IF(INDEX(HwyTransitModelGroup,A82,1)=PARAMETERS!$J$10,C91*0.00000110231131*(PARAMETERS!$CQ$28*VLOOKUP(ProjLoc,EmCost,2)+PARAMETERS!$CR$28*VLOOKUP(ProjLoc,EmCost,3)*(1+CO2Uprater)^($B91-YearCurrent)+PARAMETERS!$CS$28*VLOOKUP(ProjLoc,EmCost,4)+PARAMETERS!$CT$28*VLOOKUP(ProjLoc,EmCost,5)+PARAMETERS!$CU$28*VLOOKUP(ProjLoc,EmCost,6)+PARAMETERS!$CV$28*VLOOKUP(ProjLoc,EmCost,7)),0)</f>
        <v>0</v>
      </c>
      <c r="X91" s="844">
        <f>IF(INDEX(HwyTransitModelGroup,A82,1)=PARAMETERS!$J$10,D91*0.00000110231131*(PARAMETERS!$CQ$28*VLOOKUP(ProjLoc,EmCost,2)+PARAMETERS!$CR$28*VLOOKUP(ProjLoc,EmCost,3)*(1+CO2Uprater)^($B91-YearCurrent)+PARAMETERS!$CS$28*VLOOKUP(ProjLoc,EmCost,4)+PARAMETERS!$CT$28*VLOOKUP(ProjLoc,EmCost,5)+PARAMETERS!$CU$28*VLOOKUP(ProjLoc,EmCost,6)+PARAMETERS!$CV$28*VLOOKUP(ProjLoc,EmCost,7)),0)</f>
        <v>0</v>
      </c>
      <c r="Y91" s="808">
        <f>IF(INDEX(HwyTransitModelGroup,A82,1)=PARAMETERS!$J$11,C91*0.00000110231131*(PARAMETERS!$CQ$36*VLOOKUP(ProjLoc,EmCost,2)+PARAMETERS!$CR$36*VLOOKUP(ProjLoc,EmCost,3)*(1+CO2Uprater)^($B91-YearCurrent)+PARAMETERS!$CS$36*VLOOKUP(ProjLoc,EmCost,4)+PARAMETERS!$CT$36*VLOOKUP(ProjLoc,EmCost,5)+PARAMETERS!$CU$36*VLOOKUP(ProjLoc,EmCost,6)+PARAMETERS!$CV$36*VLOOKUP(ProjLoc,EmCost,7)),0)</f>
        <v>0</v>
      </c>
      <c r="Z91" s="844">
        <f>IF(INDEX(HwyTransitModelGroup,A82,1)=PARAMETERS!$J$11,D91*0.00000110231131*(PARAMETERS!$CQ$36*VLOOKUP(ProjLoc,EmCost,2)+PARAMETERS!$CR$36*VLOOKUP(ProjLoc,EmCost,3)*(1+CO2Uprater)^($B91-YearCurrent)+PARAMETERS!$CS$36*VLOOKUP(ProjLoc,EmCost,4)+PARAMETERS!$CT$36*VLOOKUP(ProjLoc,EmCost,5)+PARAMETERS!$CU$36*VLOOKUP(ProjLoc,EmCost,6)+PARAMETERS!$CV$36*VLOOKUP(ProjLoc,EmCost,7)),0)</f>
        <v>0</v>
      </c>
      <c r="AA91" s="369">
        <f t="shared" ref="AA91:AA110" si="33">(Q91+S91+U91+W91+Y91)-(R91+T91+V91+X91+Z91)</f>
        <v>886.1680292932142</v>
      </c>
      <c r="AB91" s="370">
        <f t="shared" ref="AB91:AB110" si="34">AA91/(1+DiscRate)^(B91-YearCurrent)</f>
        <v>757.50014539639221</v>
      </c>
      <c r="AC91" s="371"/>
      <c r="AD91" s="393">
        <f>IF(INDEX(HwyTransitModelGroup,A82,1)=Hwy,0.00000110231131*(C91*(1-M91)*VLOOKUP(K91,EmAuto1,2)-D91*(1-N91)*VLOOKUP(L91,EmAuto1,2)+(O91*(1-M91)-P91*(1-N91))*VLOOKUP(0,EmAuto1,2))+0.00000110231131*(C91*M91*VLOOKUP(K91,EmTruck1,2)-D91*N91*VLOOKUP(L91,EmTruck1,2)+(O91*M91-P91*N91)*VLOOKUP(0,EmTruck1,2)),0)</f>
        <v>6.5178983776132154E-2</v>
      </c>
      <c r="AE91" s="862">
        <f>IF(INDEX(HwyTransitModelGroup,A82,1)=Hwy,0.00000110231131*(C91*(1-M91)*VLOOKUP(K91,EmAuto1,3)-D91*(1-N91)*VLOOKUP(L91,EmAuto1,3)+(O91*(1-M91)-P91*(1-N91))*VLOOKUP(0,EmAuto1,3))+0.00000110231131*(C91*M91*VLOOKUP(K91,EmTruck1,3)-D91*N91*VLOOKUP(L91,EmTruck1,3)+(O91*M91-P91*N91)*VLOOKUP(0,EmTruck1,3)),0)</f>
        <v>10.626023325652692</v>
      </c>
      <c r="AF91" s="860">
        <f>IF(INDEX(HwyTransitModelGroup,A82,1)=Hwy,0.00000110231131*(C91*(1-M91)*VLOOKUP(K91,EmAuto1,4)-D91*(1-N91)*VLOOKUP(L91,EmAuto1,4)+(O91*(1-M91)-P91*(1-N91))*VLOOKUP(0,EmAuto1,4))+0.00000110231131*(C91*M91*VLOOKUP(K91,EmTruck1,4)-D91*N91*VLOOKUP(L91,EmTruck1,4)+(O91*M91-P91*N91)*VLOOKUP(0,EmTruck1,4)),0)</f>
        <v>2.0080809543515224E-2</v>
      </c>
      <c r="AG91" s="862">
        <f>IF(INDEX(HwyTransitModelGroup,A82,1)=Hwy,0.00000110231131*(C91*(1-M91)*VLOOKUP(K91,EmAuto1,5)-D91*(1-N91)*VLOOKUP(L91,EmAuto1,5)+(O91*(1-M91)-P91*(1-N91))*VLOOKUP(0,EmAuto1,5))+0.00000110231131*(C91*M91*VLOOKUP(K91,EmTruck1,5)-D91*N91*VLOOKUP(L91,EmTruck1,5)+(O91*M91-P91*N91)*VLOOKUP(0,EmTruck1,5)),0)</f>
        <v>1.4415972196614498E-4</v>
      </c>
      <c r="AH91" s="860">
        <f>IF(INDEX(HwyTransitModelGroup,A82,1)=Hwy,0.00000110231131*(C91*(1-M91)*VLOOKUP(K91,EmAuto1,6)-D91*(1-N91)*VLOOKUP(L91,EmAuto1,6)+(O91*(1-M91)-P91*(1-N91))*VLOOKUP(0,EmAuto1,6))+0.00000110231131*(C91*M91*VLOOKUP(K91,EmTruck1,6)-D91*N91*VLOOKUP(L91,EmTruck1,6)+(O91*M91-P91*N91)*VLOOKUP(0,EmTruck1,6)),0)</f>
        <v>1.0131012556817041E-4</v>
      </c>
      <c r="AI91" s="862">
        <f>IF(INDEX(HwyTransitModelGroup,A82,1)=Hwy,0.00000110231131*(C91*(1-M91)*VLOOKUP(K91,EmAuto1,7)-D91*(1-N91)*VLOOKUP(L91,EmAuto1,7)+(O91*(1-M91)-P91*(1-N91))*VLOOKUP(0,EmAuto1,7))+0.00000110231131*(C91*M91*VLOOKUP(K91,EmTruck1,7)-D91*N91*VLOOKUP(L91,EmTruck1,7)+(O91*M91-P91*N91)*VLOOKUP(0,EmTruck1,7)),0)</f>
        <v>2.5578191472379955E-3</v>
      </c>
      <c r="AJ91" s="860">
        <f>IF(INDEX(HwyTransitModelGroup,A82,1)=Hwy,0.00000110231131*(C91*(1-M91)*VLOOKUP(K91,EmAuto1,8)-D91*(1-N91)*VLOOKUP(L91,EmAuto1,8)+(O91*(1-M91)-P91*(1-N91))*VLOOKUP(0,EmAuto1,8))+0.00000110231131*(C91*M91*VLOOKUP(K91,EmTruck1,8)-D91*N91*VLOOKUP(L91,EmTruck1,8)+(O91*M91-P91*N91)*VLOOKUP(0,EmTruck1,8)),0)</f>
        <v>1.2746246139792007E-4</v>
      </c>
      <c r="AK91" s="393">
        <f>IF(INDEX(HwyTransitModelGroup,A82,1)=PARAMETERS!$J$9,0.00000110231131*(C91*VLOOKUP(K91,EmBus1,2)-D91*VLOOKUP(L91,EmBus1,2)+(O91-P91)*VLOOKUP(0,EmBus1,2)),0)</f>
        <v>0</v>
      </c>
      <c r="AL91" s="862">
        <f>IF(INDEX(HwyTransitModelGroup,A82,1)=PARAMETERS!$J$9,0.00000110231131*(C91*VLOOKUP(K91,EmBus1,3)-D91*VLOOKUP(L91,EmBus1,3)+(O91-P91)*VLOOKUP(0,EmBus1,3)),0)</f>
        <v>0</v>
      </c>
      <c r="AM91" s="860">
        <f>IF(INDEX(HwyTransitModelGroup,A82,1)=PARAMETERS!$J$9,0.00000110231131*(C91*VLOOKUP(K91,EmBus1,4)-D91*VLOOKUP(L91,EmBus1,4)+(O91-P91)*VLOOKUP(0,EmBus1,4)),0)</f>
        <v>0</v>
      </c>
      <c r="AN91" s="862">
        <f>IF(INDEX(HwyTransitModelGroup,A82,1)=PARAMETERS!$J$9,0.00000110231131*(C91*VLOOKUP(K91,EmBus1,5)-D91*VLOOKUP(L91,EmBus1,5)+(O91-P91)*VLOOKUP(0,EmBus1,5)),0)</f>
        <v>0</v>
      </c>
      <c r="AO91" s="860">
        <f>IF(INDEX(HwyTransitModelGroup,A82,1)=PARAMETERS!$J$9,0.00000110231131*(C91*VLOOKUP(K91,EmBus1,6)-D91*VLOOKUP(L91,EmBus1,6)+(O91-P91)*VLOOKUP(0,EmBus1,6)),0)</f>
        <v>0</v>
      </c>
      <c r="AP91" s="862">
        <f>IF(INDEX(HwyTransitModelGroup,A82,1)=PARAMETERS!$J$9,0.00000110231131*(C91*VLOOKUP(K91,EmBus1,7)-D91*VLOOKUP(L91,EmBus1,7)+(O91-P91)*VLOOKUP(0,EmBus1,7)),0)</f>
        <v>0</v>
      </c>
      <c r="AQ91" s="860">
        <f>IF(INDEX(HwyTransitModelGroup,A82,1)=PARAMETERS!$J$9,0.00000110231131*(C91*VLOOKUP(K91,EmBus1,8)-D91*VLOOKUP(L91,EmBus1,8)+(O91-P91)*VLOOKUP(0,EmBus1,8)),0)</f>
        <v>0</v>
      </c>
      <c r="AR91" s="393">
        <f>IF(INDEX(HwyTransitModelGroup,A82,1)=PARAMETERS!$J$10,0.00000110231131*((C91-D91)*PARAMETERS!$CQ$28),0)</f>
        <v>0</v>
      </c>
      <c r="AS91" s="862">
        <f>IF(INDEX(HwyTransitModelGroup,A82,1)=PARAMETERS!$J$10,0.00000110231131*((C91-D91)*PARAMETERS!$CR$28),0)</f>
        <v>0</v>
      </c>
      <c r="AT91" s="860">
        <f>IF(INDEX(HwyTransitModelGroup,A82,1)=PARAMETERS!$J$10,0.00000110231131*((C91-D91)*PARAMETERS!$CS$28),0)</f>
        <v>0</v>
      </c>
      <c r="AU91" s="862">
        <f>IF(INDEX(HwyTransitModelGroup,A82,1)=PARAMETERS!$J$10,0.00000110231131*((C91-D91)*PARAMETERS!$CT$28),0)</f>
        <v>0</v>
      </c>
      <c r="AV91" s="860">
        <f>IF(INDEX(HwyTransitModelGroup,A82,1)=PARAMETERS!$J$10,0.00000110231131*((C91-D91)*PARAMETERS!$CU$28),0)</f>
        <v>0</v>
      </c>
      <c r="AW91" s="862">
        <f>IF(INDEX(HwyTransitModelGroup,A82,1)=PARAMETERS!$J$10,0.00000110231131*((C91-D91)*PARAMETERS!$CV$28),0)</f>
        <v>0</v>
      </c>
      <c r="AX91" s="860">
        <f>IF(INDEX(HwyTransitModelGroup,A82,1)=PARAMETERS!$J$10,0.00000110231131*((C91-D91)*PARAMETERS!$CW$28),0)</f>
        <v>0</v>
      </c>
      <c r="AY91" s="393">
        <f>IF(INDEX(HwyTransitModelGroup,A82,1)=PARAMETERS!$J$11,0.00000110231131*((C91-D91)*PARAMETERS!$CQ$36),0)</f>
        <v>0</v>
      </c>
      <c r="AZ91" s="862">
        <f>IF(INDEX(HwyTransitModelGroup,A82,1)=PARAMETERS!$J$11,0.00000110231131*((C91-D91)*PARAMETERS!$CR$36),0)</f>
        <v>0</v>
      </c>
      <c r="BA91" s="860">
        <f>IF(INDEX(HwyTransitModelGroup,A82,1)=PARAMETERS!$J$11,0.00000110231131*((C91-D91)*PARAMETERS!$CS$36),0)</f>
        <v>0</v>
      </c>
      <c r="BB91" s="862">
        <f>IF(INDEX(HwyTransitModelGroup,A82,1)=PARAMETERS!$J$11,0.00000110231131*((C91-D91)*PARAMETERS!$CT$36),0)</f>
        <v>0</v>
      </c>
      <c r="BC91" s="860">
        <f>IF(INDEX(HwyTransitModelGroup,A82,1)=PARAMETERS!$J$11,0.00000110231131*((C91-D91)*PARAMETERS!$CU$36),0)</f>
        <v>0</v>
      </c>
      <c r="BD91" s="862">
        <f>IF(INDEX(HwyTransitModelGroup,A82,1)=PARAMETERS!$J$11,0.00000110231131*((C91-D91)*PARAMETERS!$CV$36),0)</f>
        <v>0</v>
      </c>
      <c r="BE91" s="864">
        <f>IF(INDEX(HwyTransitModelGroup,A82,1)=PARAMETERS!$J$11,0.00000110231131*((C91-D91)*PARAMETERS!$CW$36),0)</f>
        <v>0</v>
      </c>
      <c r="BF91" s="727">
        <f t="shared" ref="BF91:BF110" si="35">(AD91+AK91+AR91+AY91)*VLOOKUP(ProjLoc,EmCost,2)/(1+DiscRate)^($B91-YearCurrent)</f>
        <v>4.4572214799117011</v>
      </c>
      <c r="BG91" s="866">
        <f t="shared" ref="BG91:BG110" si="36">(AE91+AL91+AS91+AZ91)*VLOOKUP(ProjLoc,EmCost,3)*(1+CO2Uprater)^($B91-YearCurrent)/(1+DiscRate)^($B91-YearCurrent)</f>
        <v>471.93189770619625</v>
      </c>
      <c r="BH91" s="866">
        <f t="shared" ref="BH91:BH110" si="37">(AF91+AM91+AT91+BA91)*VLOOKUP(ProjLoc,EmCost,4)/(1+DiscRate)^($B91-YearCurrent)</f>
        <v>259.19391837170457</v>
      </c>
      <c r="BI91" s="866">
        <f t="shared" ref="BI91:BI110" si="38">(AG91+AN91+AU91+BB91)*VLOOKUP(ProjLoc,EmCost,5)/(1+DiscRate)^($B91-YearCurrent)</f>
        <v>14.380746637823565</v>
      </c>
      <c r="BJ91" s="866">
        <f t="shared" ref="BJ91:BJ110" si="39">(AH91+AO91+AV91+BC91)*VLOOKUP(ProjLoc,EmCost,6)/(1+DiscRate)^($B91-YearCurrent)</f>
        <v>5.1094188758357708</v>
      </c>
      <c r="BK91" s="868">
        <f t="shared" ref="BK91:BK110" si="40">(AI91+AP91+AW91+BD91)*VLOOKUP(ProjLoc,EmCost,7)/(1+DiscRate)^($B91-YearCurrent)</f>
        <v>2.4269423249201805</v>
      </c>
      <c r="BL91" s="392"/>
      <c r="BN91" s="355"/>
      <c r="BO91" s="1779"/>
      <c r="BP91" s="1779"/>
      <c r="BQ91" s="1779"/>
      <c r="BR91" s="1779"/>
      <c r="BS91" s="1779"/>
      <c r="BT91" s="1779"/>
    </row>
    <row r="92" spans="1:76" x14ac:dyDescent="0.25">
      <c r="B92" s="375">
        <f>B91+1</f>
        <v>2027</v>
      </c>
      <c r="C92" s="401">
        <f>MAX(TREND(C88:C89,B88:B89,B92),0)</f>
        <v>567283</v>
      </c>
      <c r="D92" s="402">
        <f>MAX(TREND(D88:D89,B88:B89,B92),0)</f>
        <v>557993.75</v>
      </c>
      <c r="E92" s="401">
        <f>MAX(TREND(E88:E89,B88:B89,B92),0)</f>
        <v>15275.25</v>
      </c>
      <c r="F92" s="402">
        <f>MAX(TREND(F88:F89,B88:B89,B92),0)</f>
        <v>11899</v>
      </c>
      <c r="G92" s="401">
        <f>MAX(TREND(G88:G89,B88:B89,B92),0)</f>
        <v>0</v>
      </c>
      <c r="H92" s="402">
        <f>MAX(TREND(H88:H89,B88:B89,B92),0)</f>
        <v>0</v>
      </c>
      <c r="I92" s="401">
        <f>MAX(TREND(I88:I89,B88:B89,B92),0)</f>
        <v>0</v>
      </c>
      <c r="J92" s="402">
        <f>MAX(TREND(J88:J89,B88:B89,B92),0)</f>
        <v>0</v>
      </c>
      <c r="K92" s="435">
        <f>IFERROR(IF(INDEX(HwyTransitModelGroup,A82,1)=Hwy,MAX(5,ROUND(C92/E92,1)),MAX(5,ROUND(G92/I92,1))),55)</f>
        <v>37.1</v>
      </c>
      <c r="L92" s="436">
        <f>IFERROR(IF(INDEX(HwyTransitModelGroup,A82,1)=Hwy,MAX(5,ROUND(D92/F92,1)),MAX(5,ROUND(H92/J92,1))),55)</f>
        <v>46.9</v>
      </c>
      <c r="M92" s="405">
        <f>MIN(MAX(TREND(M88:M89,B88:B89,B92),0),1)</f>
        <v>0.24</v>
      </c>
      <c r="N92" s="406">
        <f>MIN(MAX(TREND(N88:N89,B88:B89,B92),0),1)</f>
        <v>0.24</v>
      </c>
      <c r="O92" s="401">
        <f>MAX(TREND(O88:O89,B88:B89,B92),0)</f>
        <v>0</v>
      </c>
      <c r="P92" s="402">
        <f>MAX(TREND(P88:P89,B88:B89,B92),0)</f>
        <v>0</v>
      </c>
      <c r="Q92" s="729">
        <f>IF(INDEX(HwyTransitModelGroup,A82,1)=Hwy,C92*(1-M92)*0.00000110231131*(VLOOKUP(K92,EmAuto1,2)*VLOOKUP(ProjLoc,EmCost,2)+VLOOKUP(K92,EmAuto1,3)*VLOOKUP(ProjLoc,EmCost,3)*(1+CO2Uprater)^($B92-YearCurrent)+VLOOKUP(K92,EmAuto1,4)*VLOOKUP(ProjLoc,EmCost,4)+VLOOKUP(K92,EmAuto1,5)*VLOOKUP(ProjLoc,EmCost,5)+VLOOKUP(K92,EmAuto1,6)*VLOOKUP(ProjLoc,EmCost,6)+VLOOKUP(K92,EmAuto1,7)*VLOOKUP(ProjLoc,EmCost,7))+C92*M92*0.00000110231131*(VLOOKUP(K92,EmTruck1,2)*VLOOKUP(ProjLoc,EmCost,2)+VLOOKUP(K92,EmTruck1,3)*VLOOKUP(ProjLoc,EmCost,3)*(1+CO2Uprater)^($B92-YearCurrent)+VLOOKUP(K92,EmTruck1,4)*VLOOKUP(ProjLoc,EmCost,4)+VLOOKUP(K92,EmTruck1,5)*VLOOKUP(ProjLoc,EmCost,5)+VLOOKUP(K92,EmTruck1,6)*VLOOKUP(ProjLoc,EmCost,6)+VLOOKUP(K92,EmTruck1,7)*VLOOKUP(ProjLoc,EmCost,7)),0)</f>
        <v>18519.600745164651</v>
      </c>
      <c r="R92" s="802">
        <f>IF(INDEX(HwyTransitModelGroup,A82,1)=Hwy,D92*(1-N92)*0.00000110231131*(VLOOKUP(L92,EmAuto1,2)*VLOOKUP(ProjLoc,EmCost,2)+VLOOKUP(L92,EmAuto1,3)*VLOOKUP(ProjLoc,EmCost,3)*(1+CO2Uprater)^($B92-YearCurrent)+VLOOKUP(L92,EmAuto1,4)*VLOOKUP(ProjLoc,EmCost,4)+VLOOKUP(L92,EmAuto1,5)*VLOOKUP(ProjLoc,EmCost,5)+VLOOKUP(L92,EmAuto1,6)*VLOOKUP(ProjLoc,EmCost,6)+VLOOKUP(L92,EmAuto1,7)*VLOOKUP(ProjLoc,EmCost,7))+D92*N92*0.00000110231131*(VLOOKUP(L92,EmTruck1,2)*VLOOKUP(ProjLoc,EmCost,2)+VLOOKUP(L92,EmTruck1,3)*VLOOKUP(ProjLoc,EmCost,3)*(1+CO2Uprater)^($B92-YearCurrent)+VLOOKUP(L92,EmTruck1,4)*VLOOKUP(ProjLoc,EmCost,4)+VLOOKUP(L92,EmTruck1,5)*VLOOKUP(ProjLoc,EmCost,5)+VLOOKUP(L92,EmTruck1,6)*VLOOKUP(ProjLoc,EmCost,6)+VLOOKUP(L92,EmTruck1,7)*VLOOKUP(ProjLoc,EmCost,7)),0)</f>
        <v>17605.541866744279</v>
      </c>
      <c r="S92" s="729">
        <f>IF(INDEX(HwyTransitModelGroup,A82,1)=Hwy,O92*(1-M92)*0.00000110231131*(VLOOKUP(0,EmAuto1,2)*VLOOKUP(ProjLoc,EmCost,2)+VLOOKUP(0,EmAuto1,3)*VLOOKUP(ProjLoc,EmCost,3)*(1+CO2Uprater)^($B92-YearCurrent)+VLOOKUP(0,EmAuto1,4)*VLOOKUP(ProjLoc,EmCost,4)+VLOOKUP(0,EmAuto1,5)*VLOOKUP(ProjLoc,EmCost,5)+VLOOKUP(0,EmAuto1,6)*VLOOKUP(ProjLoc,EmCost,6)+VLOOKUP(0,EmAuto1,7)*VLOOKUP(ProjLoc,EmCost,7))+O92*M92*0.00000110231131*(VLOOKUP(0,EmTruck1,2)*VLOOKUP(ProjLoc,EmCost,2)+VLOOKUP(0,EmTruck1,3)*VLOOKUP(ProjLoc,EmCost,3)*(1+CO2Uprater)^($B92-YearCurrent)+VLOOKUP(0,EmTruck1,4)*VLOOKUP(ProjLoc,EmCost,4)+VLOOKUP(0,EmTruck1,5)*VLOOKUP(ProjLoc,EmCost,5)+VLOOKUP(0,EmTruck1,6)*VLOOKUP(ProjLoc,EmCost,6)+VLOOKUP(0,EmTruck1,7)*VLOOKUP(ProjLoc,EmCost,7)),0)</f>
        <v>0</v>
      </c>
      <c r="T92" s="802">
        <f>IF(INDEX(HwyTransitModelGroup,A82,1)=Hwy,P92*(1-N92)*0.00000110231131*(VLOOKUP(0,EmAuto1,2)*VLOOKUP(ProjLoc,EmCost,2)+VLOOKUP(0,EmAuto1,3)*VLOOKUP(ProjLoc,EmCost,3)*(1+CO2Uprater)^($B92-YearCurrent)+VLOOKUP(0,EmAuto1,4)*VLOOKUP(ProjLoc,EmCost,4)+VLOOKUP(0,EmAuto1,5)*VLOOKUP(ProjLoc,EmCost,5)+VLOOKUP(0,EmAuto1,6)*VLOOKUP(ProjLoc,EmCost,6)+VLOOKUP(0,EmAuto1,7)*VLOOKUP(ProjLoc,EmCost,7))+P92*N92*0.00000110231131*(VLOOKUP(0,EmTruck1,2)*VLOOKUP(ProjLoc,EmCost,2)+VLOOKUP(0,EmTruck1,3)*VLOOKUP(ProjLoc,EmCost,3)*(1+CO2Uprater)^($B92-YearCurrent)+VLOOKUP(0,EmTruck1,4)*VLOOKUP(ProjLoc,EmCost,4)+VLOOKUP(0,EmTruck1,5)*VLOOKUP(ProjLoc,EmCost,5)+VLOOKUP(0,EmTruck1,6)*VLOOKUP(ProjLoc,EmCost,6)+VLOOKUP(0,EmTruck1,7)*VLOOKUP(ProjLoc,EmCost,7)),0)</f>
        <v>0</v>
      </c>
      <c r="U92" s="729">
        <f>IF(INDEX(HwyTransitModelGroup,A82,1)=PARAMETERS!$J$9,C92*0.00000110231131*(VLOOKUP(K92,EmBus1,2)*VLOOKUP(ProjLoc,EmCost,2)+VLOOKUP(K92,EmBus1,3)*VLOOKUP(ProjLoc,EmCost,3)*(1+CO2Uprater)^($B92-YearCurrent)+VLOOKUP(K92,EmBus1,4)*VLOOKUP(ProjLoc,EmCost,4)+VLOOKUP(K92,EmBus1,5)*VLOOKUP(ProjLoc,EmCost,5)+VLOOKUP(K92,EmBus1,6)*VLOOKUP(ProjLoc,EmCost,6)+VLOOKUP(K92,EmBus1,7)*VLOOKUP(ProjLoc,EmCost,7)),0)</f>
        <v>0</v>
      </c>
      <c r="V92" s="802">
        <f>IF(INDEX(HwyTransitModelGroup,A82,1)=PARAMETERS!$J$9,D92*0.00000110231131*(VLOOKUP(L92,EmBus1,2)*VLOOKUP(ProjLoc,EmCost,2)+VLOOKUP(L92,EmBus1,3)*VLOOKUP(ProjLoc,EmCost,3)*(1+CO2Uprater)^($B92-YearCurrent)+VLOOKUP(L92,EmBus1,4)*VLOOKUP(ProjLoc,EmCost,4)+VLOOKUP(L92,EmBus1,5)*VLOOKUP(ProjLoc,EmCost,5)+VLOOKUP(L92,EmBus1,6)*VLOOKUP(ProjLoc,EmCost,6)+VLOOKUP(L92,EmBus1,7)*VLOOKUP(ProjLoc,EmCost,7)),0)</f>
        <v>0</v>
      </c>
      <c r="W92" s="808">
        <f>IF(INDEX(HwyTransitModelGroup,A82,1)=PARAMETERS!$J$10,C92*0.00000110231131*(PARAMETERS!$CQ$28*VLOOKUP(ProjLoc,EmCost,2)+PARAMETERS!$CR$28*VLOOKUP(ProjLoc,EmCost,3)*(1+CO2Uprater)^($B92-YearCurrent)+PARAMETERS!$CS$28*VLOOKUP(ProjLoc,EmCost,4)+PARAMETERS!$CT$28*VLOOKUP(ProjLoc,EmCost,5)+PARAMETERS!$CU$28*VLOOKUP(ProjLoc,EmCost,6)+PARAMETERS!$CV$28*VLOOKUP(ProjLoc,EmCost,7)),0)</f>
        <v>0</v>
      </c>
      <c r="X92" s="844">
        <f>IF(INDEX(HwyTransitModelGroup,A82,1)=PARAMETERS!$J$10,D92*0.00000110231131*(PARAMETERS!$CQ$28*VLOOKUP(ProjLoc,EmCost,2)+PARAMETERS!$CR$28*VLOOKUP(ProjLoc,EmCost,3)*(1+CO2Uprater)^($B92-YearCurrent)+PARAMETERS!$CS$28*VLOOKUP(ProjLoc,EmCost,4)+PARAMETERS!$CT$28*VLOOKUP(ProjLoc,EmCost,5)+PARAMETERS!$CU$28*VLOOKUP(ProjLoc,EmCost,6)+PARAMETERS!$CV$28*VLOOKUP(ProjLoc,EmCost,7)),0)</f>
        <v>0</v>
      </c>
      <c r="Y92" s="808">
        <f>IF(INDEX(HwyTransitModelGroup,A82,1)=PARAMETERS!$J$11,C92*0.00000110231131*(PARAMETERS!$CQ$36*VLOOKUP(ProjLoc,EmCost,2)+PARAMETERS!$CR$36*VLOOKUP(ProjLoc,EmCost,3)*(1+CO2Uprater)^($B92-YearCurrent)+PARAMETERS!$CS$36*VLOOKUP(ProjLoc,EmCost,4)+PARAMETERS!$CT$36*VLOOKUP(ProjLoc,EmCost,5)+PARAMETERS!$CU$36*VLOOKUP(ProjLoc,EmCost,6)+PARAMETERS!$CV$36*VLOOKUP(ProjLoc,EmCost,7)),0)</f>
        <v>0</v>
      </c>
      <c r="Z92" s="844">
        <f>IF(INDEX(HwyTransitModelGroup,A82,1)=PARAMETERS!$J$11,D92*0.00000110231131*(PARAMETERS!$CQ$36*VLOOKUP(ProjLoc,EmCost,2)+PARAMETERS!$CR$36*VLOOKUP(ProjLoc,EmCost,3)*(1+CO2Uprater)^($B92-YearCurrent)+PARAMETERS!$CS$36*VLOOKUP(ProjLoc,EmCost,4)+PARAMETERS!$CT$36*VLOOKUP(ProjLoc,EmCost,5)+PARAMETERS!$CU$36*VLOOKUP(ProjLoc,EmCost,6)+PARAMETERS!$CV$36*VLOOKUP(ProjLoc,EmCost,7)),0)</f>
        <v>0</v>
      </c>
      <c r="AA92" s="369">
        <f t="shared" si="33"/>
        <v>914.05887842037191</v>
      </c>
      <c r="AB92" s="370">
        <f t="shared" si="34"/>
        <v>751.28976934775415</v>
      </c>
      <c r="AC92" s="371"/>
      <c r="AD92" s="401">
        <f>IF(INDEX(HwyTransitModelGroup,A82,1)=Hwy,0.00000110231131*(C92*(1-M92)*VLOOKUP(K92,EmAuto1,2)-D92*(1-N92)*VLOOKUP(L92,EmAuto1,2)+(O92*(1-M92)-P92*(1-N92))*VLOOKUP(0,EmAuto1,2))+0.00000110231131*(C92*M92*VLOOKUP(K92,EmTruck1,2)-D92*N92*VLOOKUP(L92,EmTruck1,2)+(O92*M92-P92*N92)*VLOOKUP(0,EmTruck1,2)),0)</f>
        <v>6.6417830546259188E-2</v>
      </c>
      <c r="AE92" s="863">
        <f>IF(INDEX(HwyTransitModelGroup,A82,1)=Hwy,0.00000110231131*(C92*(1-M92)*VLOOKUP(K92,EmAuto1,3)-D92*(1-N92)*VLOOKUP(L92,EmAuto1,3)+(O92*(1-M92)-P92*(1-N92))*VLOOKUP(0,EmAuto1,3))+0.00000110231131*(C92*M92*VLOOKUP(K92,EmTruck1,3)-D92*N92*VLOOKUP(L92,EmTruck1,3)+(O92*M92-P92*N92)*VLOOKUP(0,EmTruck1,3)),0)</f>
        <v>10.824398409416858</v>
      </c>
      <c r="AF92" s="861">
        <f>IF(INDEX(HwyTransitModelGroup,A82,1)=Hwy,0.00000110231131*(C92*(1-M92)*VLOOKUP(K92,EmAuto1,4)-D92*(1-N92)*VLOOKUP(L92,EmAuto1,4)+(O92*(1-M92)-P92*(1-N92))*VLOOKUP(0,EmAuto1,4))+0.00000110231131*(C92*M92*VLOOKUP(K92,EmTruck1,4)-D92*N92*VLOOKUP(L92,EmTruck1,4)+(O92*M92-P92*N92)*VLOOKUP(0,EmTruck1,4)),0)</f>
        <v>2.046185784764578E-2</v>
      </c>
      <c r="AG92" s="863">
        <f>IF(INDEX(HwyTransitModelGroup,A82,1)=Hwy,0.00000110231131*(C92*(1-M92)*VLOOKUP(K92,EmAuto1,5)-D92*(1-N92)*VLOOKUP(L92,EmAuto1,5)+(O92*(1-M92)-P92*(1-N92))*VLOOKUP(0,EmAuto1,5))+0.00000110231131*(C92*M92*VLOOKUP(K92,EmTruck1,5)-D92*N92*VLOOKUP(L92,EmTruck1,5)+(O92*M92-P92*N92)*VLOOKUP(0,EmTruck1,5)),0)</f>
        <v>1.4687851879900535E-4</v>
      </c>
      <c r="AH92" s="861">
        <f>IF(INDEX(HwyTransitModelGroup,A82,1)=Hwy,0.00000110231131*(C92*(1-M92)*VLOOKUP(K92,EmAuto1,6)-D92*(1-N92)*VLOOKUP(L92,EmAuto1,6)+(O92*(1-M92)-P92*(1-N92))*VLOOKUP(0,EmAuto1,6))+0.00000110231131*(C92*M92*VLOOKUP(K92,EmTruck1,6)-D92*N92*VLOOKUP(L92,EmTruck1,6)+(O92*M92-P92*N92)*VLOOKUP(0,EmTruck1,6)),0)</f>
        <v>1.032013015579263E-4</v>
      </c>
      <c r="AI92" s="863">
        <f>IF(INDEX(HwyTransitModelGroup,A82,1)=Hwy,0.00000110231131*(C92*(1-M92)*VLOOKUP(K92,EmAuto1,7)-D92*(1-N92)*VLOOKUP(L92,EmAuto1,7)+(O92*(1-M92)-P92*(1-N92))*VLOOKUP(0,EmAuto1,7))+0.00000110231131*(C92*M92*VLOOKUP(K92,EmTruck1,7)-D92*N92*VLOOKUP(L92,EmTruck1,7)+(O92*M92-P92*N92)*VLOOKUP(0,EmTruck1,7)),0)</f>
        <v>2.6065720902856385E-3</v>
      </c>
      <c r="AJ92" s="861">
        <f>IF(INDEX(HwyTransitModelGroup,A82,1)=Hwy,0.00000110231131*(C92*(1-M92)*VLOOKUP(K92,EmAuto1,8)-D92*(1-N92)*VLOOKUP(L92,EmAuto1,8)+(O92*(1-M92)-P92*(1-N92))*VLOOKUP(0,EmAuto1,8))+0.00000110231131*(C92*M92*VLOOKUP(K92,EmTruck1,8)-D92*N92*VLOOKUP(L92,EmTruck1,8)+(O92*M92-P92*N92)*VLOOKUP(0,EmTruck1,8)),0)</f>
        <v>1.2986380910817011E-4</v>
      </c>
      <c r="AK92" s="401">
        <f>IF(INDEX(HwyTransitModelGroup,A82,1)=PARAMETERS!$J$9,0.00000110231131*(C92*VLOOKUP(K92,EmBus1,2)-D92*VLOOKUP(L92,EmBus1,2)+(O92-P92)*VLOOKUP(0,EmBus1,2)),0)</f>
        <v>0</v>
      </c>
      <c r="AL92" s="863">
        <f>IF(INDEX(HwyTransitModelGroup,A82,1)=PARAMETERS!$J$9,0.00000110231131*(C92*VLOOKUP(K92,EmBus1,3)-D92*VLOOKUP(L92,EmBus1,3)+(O92-P92)*VLOOKUP(0,EmBus1,3)),0)</f>
        <v>0</v>
      </c>
      <c r="AM92" s="861">
        <f>IF(INDEX(HwyTransitModelGroup,A82,1)=PARAMETERS!$J$9,0.00000110231131*(C92*VLOOKUP(K92,EmBus1,4)-D92*VLOOKUP(L92,EmBus1,4)+(O92-P92)*VLOOKUP(0,EmBus1,4)),0)</f>
        <v>0</v>
      </c>
      <c r="AN92" s="863">
        <f>IF(INDEX(HwyTransitModelGroup,A82,1)=PARAMETERS!$J$9,0.00000110231131*(C92*VLOOKUP(K92,EmBus1,5)-D92*VLOOKUP(L92,EmBus1,5)+(O92-P92)*VLOOKUP(0,EmBus1,5)),0)</f>
        <v>0</v>
      </c>
      <c r="AO92" s="861">
        <f>IF(INDEX(HwyTransitModelGroup,A82,1)=PARAMETERS!$J$9,0.00000110231131*(C92*VLOOKUP(K92,EmBus1,6)-D92*VLOOKUP(L92,EmBus1,6)+(O92-P92)*VLOOKUP(0,EmBus1,6)),0)</f>
        <v>0</v>
      </c>
      <c r="AP92" s="863">
        <f>IF(INDEX(HwyTransitModelGroup,A82,1)=PARAMETERS!$J$9,0.00000110231131*(C92*VLOOKUP(K92,EmBus1,7)-D92*VLOOKUP(L92,EmBus1,7)+(O92-P92)*VLOOKUP(0,EmBus1,7)),0)</f>
        <v>0</v>
      </c>
      <c r="AQ92" s="861">
        <f>IF(INDEX(HwyTransitModelGroup,A82,1)=PARAMETERS!$J$9,0.00000110231131*(C92*VLOOKUP(K92,EmBus1,8)-D92*VLOOKUP(L92,EmBus1,8)+(O92-P92)*VLOOKUP(0,EmBus1,8)),0)</f>
        <v>0</v>
      </c>
      <c r="AR92" s="401">
        <f>IF(INDEX(HwyTransitModelGroup,A82,1)=PARAMETERS!$J$10,0.00000110231131*((C92-D92)*PARAMETERS!$CQ$28),0)</f>
        <v>0</v>
      </c>
      <c r="AS92" s="863">
        <f>IF(INDEX(HwyTransitModelGroup,A82,1)=PARAMETERS!$J$10,0.00000110231131*((C92-D92)*PARAMETERS!$CR$28),0)</f>
        <v>0</v>
      </c>
      <c r="AT92" s="861">
        <f>IF(INDEX(HwyTransitModelGroup,A82,1)=PARAMETERS!$J$10,0.00000110231131*((C92-D92)*PARAMETERS!$CS$28),0)</f>
        <v>0</v>
      </c>
      <c r="AU92" s="863">
        <f>IF(INDEX(HwyTransitModelGroup,A82,1)=PARAMETERS!$J$10,0.00000110231131*((C92-D92)*PARAMETERS!$CT$28),0)</f>
        <v>0</v>
      </c>
      <c r="AV92" s="861">
        <f>IF(INDEX(HwyTransitModelGroup,A82,1)=PARAMETERS!$J$10,0.00000110231131*((C92-D92)*PARAMETERS!$CU$28),0)</f>
        <v>0</v>
      </c>
      <c r="AW92" s="863">
        <f>IF(INDEX(HwyTransitModelGroup,A82,1)=PARAMETERS!$J$10,0.00000110231131*((C92-D92)*PARAMETERS!$CV$28),0)</f>
        <v>0</v>
      </c>
      <c r="AX92" s="861">
        <f>IF(INDEX(HwyTransitModelGroup,A82,1)=PARAMETERS!$J$10,0.00000110231131*((C92-D92)*PARAMETERS!$CW$28),0)</f>
        <v>0</v>
      </c>
      <c r="AY92" s="401">
        <f>IF(INDEX(HwyTransitModelGroup,A82,1)=PARAMETERS!$J$11,0.00000110231131*((C92-D92)*PARAMETERS!$CQ$36),0)</f>
        <v>0</v>
      </c>
      <c r="AZ92" s="863">
        <f>IF(INDEX(HwyTransitModelGroup,A82,1)=PARAMETERS!$J$11,0.00000110231131*((C92-D92)*PARAMETERS!$CR$36),0)</f>
        <v>0</v>
      </c>
      <c r="BA92" s="861">
        <f>IF(INDEX(HwyTransitModelGroup,A82,1)=PARAMETERS!$J$11,0.00000110231131*((C92-D92)*PARAMETERS!$CS$36),0)</f>
        <v>0</v>
      </c>
      <c r="BB92" s="863">
        <f>IF(INDEX(HwyTransitModelGroup,A82,1)=PARAMETERS!$J$11,0.00000110231131*((C92-D92)*PARAMETERS!$CT$36),0)</f>
        <v>0</v>
      </c>
      <c r="BC92" s="861">
        <f>IF(INDEX(HwyTransitModelGroup,A82,1)=PARAMETERS!$J$11,0.00000110231131*((C92-D92)*PARAMETERS!$CU$36),0)</f>
        <v>0</v>
      </c>
      <c r="BD92" s="863">
        <f>IF(INDEX(HwyTransitModelGroup,A82,1)=PARAMETERS!$J$11,0.00000110231131*((C92-D92)*PARAMETERS!$CV$36),0)</f>
        <v>0</v>
      </c>
      <c r="BE92" s="865">
        <f>IF(INDEX(HwyTransitModelGroup,A82,1)=PARAMETERS!$J$11,0.00000110231131*((C92-D92)*PARAMETERS!$CW$36),0)</f>
        <v>0</v>
      </c>
      <c r="BF92" s="729">
        <f t="shared" si="35"/>
        <v>4.3672492238495755</v>
      </c>
      <c r="BG92" s="867">
        <f t="shared" si="36"/>
        <v>471.49725479604189</v>
      </c>
      <c r="BH92" s="867">
        <f t="shared" si="37"/>
        <v>253.95414985651308</v>
      </c>
      <c r="BI92" s="867">
        <f t="shared" si="38"/>
        <v>14.088424981382694</v>
      </c>
      <c r="BJ92" s="867">
        <f t="shared" si="39"/>
        <v>5.0046128849950371</v>
      </c>
      <c r="BK92" s="869">
        <f t="shared" si="40"/>
        <v>2.3780776049682468</v>
      </c>
      <c r="BL92" s="392"/>
      <c r="BN92" s="375">
        <f>YearOpen</f>
        <v>2026</v>
      </c>
      <c r="BO92" s="870">
        <f t="shared" ref="BO92:BO111" ca="1" si="41">OFFSET($AE9,MATCH(BO$88,$A:$A),0)+OFFSET($AL9,MATCH(BO$88,$A:$A),0)+OFFSET($AS9,MATCH(BO$88,$A:$A),0)+OFFSET($AZ9,MATCH(BO$88,$A:$A),0)</f>
        <v>13.946124925283049</v>
      </c>
      <c r="BP92" s="870">
        <f t="shared" ref="BP92:BT101" ca="1" si="42">OFFSET($AE9,MATCH(BP$88,$A:$A),0)+OFFSET($AL9,MATCH(BP$88,$A:$A),0)+OFFSET($AS9,MATCH(BP$88,$A:$A),0)+OFFSET($AZ9,MATCH(BP$88,$A:$A),0)</f>
        <v>-12.324434415116068</v>
      </c>
      <c r="BQ92" s="870">
        <f t="shared" ca="1" si="42"/>
        <v>10.626023325652692</v>
      </c>
      <c r="BR92" s="870">
        <f t="shared" ca="1" si="42"/>
        <v>-20.287035496856451</v>
      </c>
      <c r="BS92" s="870">
        <f t="shared" ca="1" si="42"/>
        <v>807.94988450123924</v>
      </c>
      <c r="BT92" s="870">
        <f t="shared" ca="1" si="42"/>
        <v>1200.987916089618</v>
      </c>
    </row>
    <row r="93" spans="1:76" x14ac:dyDescent="0.25">
      <c r="B93" s="375">
        <f t="shared" ref="B93:B110" si="43">B92+1</f>
        <v>2028</v>
      </c>
      <c r="C93" s="401">
        <f>MAX(TREND(C88:C89,B88:B89,B93),0)</f>
        <v>577941</v>
      </c>
      <c r="D93" s="402">
        <f>MAX(TREND(D88:D89,B88:B89,B93),0)</f>
        <v>568487.5</v>
      </c>
      <c r="E93" s="401">
        <f>MAX(TREND(E88:E89,B88:B89,B93),0)</f>
        <v>15585.5</v>
      </c>
      <c r="F93" s="402">
        <f>MAX(TREND(F88:F89,B88:B89,B93),0)</f>
        <v>12118</v>
      </c>
      <c r="G93" s="401">
        <f>MAX(TREND(G88:G89,B88:B89,B93),0)</f>
        <v>0</v>
      </c>
      <c r="H93" s="402">
        <f>MAX(TREND(H88:H89,B88:B89,B93),0)</f>
        <v>0</v>
      </c>
      <c r="I93" s="401">
        <f>MAX(TREND(I88:I89,B88:B89,B93),0)</f>
        <v>0</v>
      </c>
      <c r="J93" s="402">
        <f>MAX(TREND(J88:J89,B88:B89,B93),0)</f>
        <v>0</v>
      </c>
      <c r="K93" s="435">
        <f>IFERROR(IF(INDEX(HwyTransitModelGroup,A82,1)=Hwy,MAX(5,ROUND(C93/E93,1)),MAX(5,ROUND(G93/I93,1))),55)</f>
        <v>37.1</v>
      </c>
      <c r="L93" s="436">
        <f>IFERROR(IF(INDEX(HwyTransitModelGroup,A82,1)=Hwy,MAX(5,ROUND(D93/F93,1)),MAX(5,ROUND(H93/J93,1))),55)</f>
        <v>46.9</v>
      </c>
      <c r="M93" s="405">
        <f>MIN(MAX(TREND(M88:M89,B88:B89,B93),0),1)</f>
        <v>0.24</v>
      </c>
      <c r="N93" s="406">
        <f>MIN(MAX(TREND(N88:N89,B88:B89,B93),0),1)</f>
        <v>0.24</v>
      </c>
      <c r="O93" s="401">
        <f>MAX(TREND(O88:O89,B88:B89,B93),0)</f>
        <v>0</v>
      </c>
      <c r="P93" s="402">
        <f>MAX(TREND(P88:P89,B88:B89,B93),0)</f>
        <v>0</v>
      </c>
      <c r="Q93" s="729">
        <f>IF(INDEX(HwyTransitModelGroup,A82,1)=Hwy,C93*(1-M93)*0.00000110231131*(VLOOKUP(K93,EmAuto1,2)*VLOOKUP(ProjLoc,EmCost,2)+VLOOKUP(K93,EmAuto1,3)*VLOOKUP(ProjLoc,EmCost,3)*(1+CO2Uprater)^($B93-YearCurrent)+VLOOKUP(K93,EmAuto1,4)*VLOOKUP(ProjLoc,EmCost,4)+VLOOKUP(K93,EmAuto1,5)*VLOOKUP(ProjLoc,EmCost,5)+VLOOKUP(K93,EmAuto1,6)*VLOOKUP(ProjLoc,EmCost,6)+VLOOKUP(K93,EmAuto1,7)*VLOOKUP(ProjLoc,EmCost,7))+C93*M93*0.00000110231131*(VLOOKUP(K93,EmTruck1,2)*VLOOKUP(ProjLoc,EmCost,2)+VLOOKUP(K93,EmTruck1,3)*VLOOKUP(ProjLoc,EmCost,3)*(1+CO2Uprater)^($B93-YearCurrent)+VLOOKUP(K93,EmTruck1,4)*VLOOKUP(ProjLoc,EmCost,4)+VLOOKUP(K93,EmTruck1,5)*VLOOKUP(ProjLoc,EmCost,5)+VLOOKUP(K93,EmTruck1,6)*VLOOKUP(ProjLoc,EmCost,6)+VLOOKUP(K93,EmTruck1,7)*VLOOKUP(ProjLoc,EmCost,7)),0)</f>
        <v>19171.955078988336</v>
      </c>
      <c r="R93" s="802">
        <f>IF(INDEX(HwyTransitModelGroup,A82,1)=Hwy,D93*(1-N93)*0.00000110231131*(VLOOKUP(L93,EmAuto1,2)*VLOOKUP(ProjLoc,EmCost,2)+VLOOKUP(L93,EmAuto1,3)*VLOOKUP(ProjLoc,EmCost,3)*(1+CO2Uprater)^($B93-YearCurrent)+VLOOKUP(L93,EmAuto1,4)*VLOOKUP(ProjLoc,EmCost,4)+VLOOKUP(L93,EmAuto1,5)*VLOOKUP(ProjLoc,EmCost,5)+VLOOKUP(L93,EmAuto1,6)*VLOOKUP(ProjLoc,EmCost,6)+VLOOKUP(L93,EmAuto1,7)*VLOOKUP(ProjLoc,EmCost,7))+D93*N93*0.00000110231131*(VLOOKUP(L93,EmTruck1,2)*VLOOKUP(ProjLoc,EmCost,2)+VLOOKUP(L93,EmTruck1,3)*VLOOKUP(ProjLoc,EmCost,3)*(1+CO2Uprater)^($B93-YearCurrent)+VLOOKUP(L93,EmTruck1,4)*VLOOKUP(ProjLoc,EmCost,4)+VLOOKUP(L93,EmTruck1,5)*VLOOKUP(ProjLoc,EmCost,5)+VLOOKUP(L93,EmTruck1,6)*VLOOKUP(ProjLoc,EmCost,6)+VLOOKUP(L93,EmTruck1,7)*VLOOKUP(ProjLoc,EmCost,7)),0)</f>
        <v>18229.363991538819</v>
      </c>
      <c r="S93" s="729">
        <f>IF(INDEX(HwyTransitModelGroup,A82,1)=Hwy,O93*(1-M93)*0.00000110231131*(VLOOKUP(0,EmAuto1,2)*VLOOKUP(ProjLoc,EmCost,2)+VLOOKUP(0,EmAuto1,3)*VLOOKUP(ProjLoc,EmCost,3)*(1+CO2Uprater)^($B93-YearCurrent)+VLOOKUP(0,EmAuto1,4)*VLOOKUP(ProjLoc,EmCost,4)+VLOOKUP(0,EmAuto1,5)*VLOOKUP(ProjLoc,EmCost,5)+VLOOKUP(0,EmAuto1,6)*VLOOKUP(ProjLoc,EmCost,6)+VLOOKUP(0,EmAuto1,7)*VLOOKUP(ProjLoc,EmCost,7))+O93*M93*0.00000110231131*(VLOOKUP(0,EmTruck1,2)*VLOOKUP(ProjLoc,EmCost,2)+VLOOKUP(0,EmTruck1,3)*VLOOKUP(ProjLoc,EmCost,3)*(1+CO2Uprater)^($B93-YearCurrent)+VLOOKUP(0,EmTruck1,4)*VLOOKUP(ProjLoc,EmCost,4)+VLOOKUP(0,EmTruck1,5)*VLOOKUP(ProjLoc,EmCost,5)+VLOOKUP(0,EmTruck1,6)*VLOOKUP(ProjLoc,EmCost,6)+VLOOKUP(0,EmTruck1,7)*VLOOKUP(ProjLoc,EmCost,7)),0)</f>
        <v>0</v>
      </c>
      <c r="T93" s="802">
        <f>IF(INDEX(HwyTransitModelGroup,A82,1)=Hwy,P93*(1-N93)*0.00000110231131*(VLOOKUP(0,EmAuto1,2)*VLOOKUP(ProjLoc,EmCost,2)+VLOOKUP(0,EmAuto1,3)*VLOOKUP(ProjLoc,EmCost,3)*(1+CO2Uprater)^($B93-YearCurrent)+VLOOKUP(0,EmAuto1,4)*VLOOKUP(ProjLoc,EmCost,4)+VLOOKUP(0,EmAuto1,5)*VLOOKUP(ProjLoc,EmCost,5)+VLOOKUP(0,EmAuto1,6)*VLOOKUP(ProjLoc,EmCost,6)+VLOOKUP(0,EmAuto1,7)*VLOOKUP(ProjLoc,EmCost,7))+P93*N93*0.00000110231131*(VLOOKUP(0,EmTruck1,2)*VLOOKUP(ProjLoc,EmCost,2)+VLOOKUP(0,EmTruck1,3)*VLOOKUP(ProjLoc,EmCost,3)*(1+CO2Uprater)^($B93-YearCurrent)+VLOOKUP(0,EmTruck1,4)*VLOOKUP(ProjLoc,EmCost,4)+VLOOKUP(0,EmTruck1,5)*VLOOKUP(ProjLoc,EmCost,5)+VLOOKUP(0,EmTruck1,6)*VLOOKUP(ProjLoc,EmCost,6)+VLOOKUP(0,EmTruck1,7)*VLOOKUP(ProjLoc,EmCost,7)),0)</f>
        <v>0</v>
      </c>
      <c r="U93" s="729">
        <f>IF(INDEX(HwyTransitModelGroup,A82,1)=PARAMETERS!$J$9,C93*0.00000110231131*(VLOOKUP(K93,EmBus1,2)*VLOOKUP(ProjLoc,EmCost,2)+VLOOKUP(K93,EmBus1,3)*VLOOKUP(ProjLoc,EmCost,3)*(1+CO2Uprater)^($B93-YearCurrent)+VLOOKUP(K93,EmBus1,4)*VLOOKUP(ProjLoc,EmCost,4)+VLOOKUP(K93,EmBus1,5)*VLOOKUP(ProjLoc,EmCost,5)+VLOOKUP(K93,EmBus1,6)*VLOOKUP(ProjLoc,EmCost,6)+VLOOKUP(K93,EmBus1,7)*VLOOKUP(ProjLoc,EmCost,7)),0)</f>
        <v>0</v>
      </c>
      <c r="V93" s="802">
        <f>IF(INDEX(HwyTransitModelGroup,A82,1)=PARAMETERS!$J$9,D93*0.00000110231131*(VLOOKUP(L93,EmBus1,2)*VLOOKUP(ProjLoc,EmCost,2)+VLOOKUP(L93,EmBus1,3)*VLOOKUP(ProjLoc,EmCost,3)*(1+CO2Uprater)^($B93-YearCurrent)+VLOOKUP(L93,EmBus1,4)*VLOOKUP(ProjLoc,EmCost,4)+VLOOKUP(L93,EmBus1,5)*VLOOKUP(ProjLoc,EmCost,5)+VLOOKUP(L93,EmBus1,6)*VLOOKUP(ProjLoc,EmCost,6)+VLOOKUP(L93,EmBus1,7)*VLOOKUP(ProjLoc,EmCost,7)),0)</f>
        <v>0</v>
      </c>
      <c r="W93" s="808">
        <f>IF(INDEX(HwyTransitModelGroup,A82,1)=PARAMETERS!$J$10,C93*0.00000110231131*(PARAMETERS!$CQ$28*VLOOKUP(ProjLoc,EmCost,2)+PARAMETERS!$CR$28*VLOOKUP(ProjLoc,EmCost,3)*(1+CO2Uprater)^($B93-YearCurrent)+PARAMETERS!$CS$28*VLOOKUP(ProjLoc,EmCost,4)+PARAMETERS!$CT$28*VLOOKUP(ProjLoc,EmCost,5)+PARAMETERS!$CU$28*VLOOKUP(ProjLoc,EmCost,6)+PARAMETERS!$CV$28*VLOOKUP(ProjLoc,EmCost,7)),0)</f>
        <v>0</v>
      </c>
      <c r="X93" s="844">
        <f>IF(INDEX(HwyTransitModelGroup,A82,1)=PARAMETERS!$J$10,D93*0.00000110231131*(PARAMETERS!$CQ$28*VLOOKUP(ProjLoc,EmCost,2)+PARAMETERS!$CR$28*VLOOKUP(ProjLoc,EmCost,3)*(1+CO2Uprater)^($B93-YearCurrent)+PARAMETERS!$CS$28*VLOOKUP(ProjLoc,EmCost,4)+PARAMETERS!$CT$28*VLOOKUP(ProjLoc,EmCost,5)+PARAMETERS!$CU$28*VLOOKUP(ProjLoc,EmCost,6)+PARAMETERS!$CV$28*VLOOKUP(ProjLoc,EmCost,7)),0)</f>
        <v>0</v>
      </c>
      <c r="Y93" s="808">
        <f>IF(INDEX(HwyTransitModelGroup,A82,1)=PARAMETERS!$J$11,C93*0.00000110231131*(PARAMETERS!$CQ$36*VLOOKUP(ProjLoc,EmCost,2)+PARAMETERS!$CR$36*VLOOKUP(ProjLoc,EmCost,3)*(1+CO2Uprater)^($B93-YearCurrent)+PARAMETERS!$CS$36*VLOOKUP(ProjLoc,EmCost,4)+PARAMETERS!$CT$36*VLOOKUP(ProjLoc,EmCost,5)+PARAMETERS!$CU$36*VLOOKUP(ProjLoc,EmCost,6)+PARAMETERS!$CV$36*VLOOKUP(ProjLoc,EmCost,7)),0)</f>
        <v>0</v>
      </c>
      <c r="Z93" s="844">
        <f>IF(INDEX(HwyTransitModelGroup,A82,1)=PARAMETERS!$J$11,D93*0.00000110231131*(PARAMETERS!$CQ$36*VLOOKUP(ProjLoc,EmCost,2)+PARAMETERS!$CR$36*VLOOKUP(ProjLoc,EmCost,3)*(1+CO2Uprater)^($B93-YearCurrent)+PARAMETERS!$CS$36*VLOOKUP(ProjLoc,EmCost,4)+PARAMETERS!$CT$36*VLOOKUP(ProjLoc,EmCost,5)+PARAMETERS!$CU$36*VLOOKUP(ProjLoc,EmCost,6)+PARAMETERS!$CV$36*VLOOKUP(ProjLoc,EmCost,7)),0)</f>
        <v>0</v>
      </c>
      <c r="AA93" s="369">
        <f t="shared" si="33"/>
        <v>942.59108744951664</v>
      </c>
      <c r="AB93" s="370">
        <f t="shared" si="34"/>
        <v>744.94342823512704</v>
      </c>
      <c r="AC93" s="371"/>
      <c r="AD93" s="401">
        <f>IF(INDEX(HwyTransitModelGroup,A82,1)=Hwy,0.00000110231131*(C93*(1-M93)*VLOOKUP(K93,EmAuto1,2)-D93*(1-N93)*VLOOKUP(L93,EmAuto1,2)+(O93*(1-M93)-P93*(1-N93))*VLOOKUP(0,EmAuto1,2))+0.00000110231131*(C93*M93*VLOOKUP(K93,EmTruck1,2)-D93*N93*VLOOKUP(L93,EmTruck1,2)+(O93*M93-P93*N93)*VLOOKUP(0,EmTruck1,2)),0)</f>
        <v>6.7656677316386235E-2</v>
      </c>
      <c r="AE93" s="863">
        <f>IF(INDEX(HwyTransitModelGroup,A82,1)=Hwy,0.00000110231131*(C93*(1-M93)*VLOOKUP(K93,EmAuto1,3)-D93*(1-N93)*VLOOKUP(L93,EmAuto1,3)+(O93*(1-M93)-P93*(1-N93))*VLOOKUP(0,EmAuto1,3))+0.00000110231131*(C93*M93*VLOOKUP(K93,EmTruck1,3)-D93*N93*VLOOKUP(L93,EmTruck1,3)+(O93*M93-P93*N93)*VLOOKUP(0,EmTruck1,3)),0)</f>
        <v>11.022773493181042</v>
      </c>
      <c r="AF93" s="861">
        <f>IF(INDEX(HwyTransitModelGroup,A82,1)=Hwy,0.00000110231131*(C93*(1-M93)*VLOOKUP(K93,EmAuto1,4)-D93*(1-N93)*VLOOKUP(L93,EmAuto1,4)+(O93*(1-M93)-P93*(1-N93))*VLOOKUP(0,EmAuto1,4))+0.00000110231131*(C93*M93*VLOOKUP(K93,EmTruck1,4)-D93*N93*VLOOKUP(L93,EmTruck1,4)+(O93*M93-P93*N93)*VLOOKUP(0,EmTruck1,4)),0)</f>
        <v>2.0842906151776336E-2</v>
      </c>
      <c r="AG93" s="863">
        <f>IF(INDEX(HwyTransitModelGroup,A82,1)=Hwy,0.00000110231131*(C93*(1-M93)*VLOOKUP(K93,EmAuto1,5)-D93*(1-N93)*VLOOKUP(L93,EmAuto1,5)+(O93*(1-M93)-P93*(1-N93))*VLOOKUP(0,EmAuto1,5))+0.00000110231131*(C93*M93*VLOOKUP(K93,EmTruck1,5)-D93*N93*VLOOKUP(L93,EmTruck1,5)+(O93*M93-P93*N93)*VLOOKUP(0,EmTruck1,5)),0)</f>
        <v>1.4959731563186641E-4</v>
      </c>
      <c r="AH93" s="861">
        <f>IF(INDEX(HwyTransitModelGroup,A82,1)=Hwy,0.00000110231131*(C93*(1-M93)*VLOOKUP(K93,EmAuto1,6)-D93*(1-N93)*VLOOKUP(L93,EmAuto1,6)+(O93*(1-M93)-P93*(1-N93))*VLOOKUP(0,EmAuto1,6))+0.00000110231131*(C93*M93*VLOOKUP(K93,EmTruck1,6)-D93*N93*VLOOKUP(L93,EmTruck1,6)+(O93*M93-P93*N93)*VLOOKUP(0,EmTruck1,6)),0)</f>
        <v>1.0509247754768292E-4</v>
      </c>
      <c r="AI93" s="863">
        <f>IF(INDEX(HwyTransitModelGroup,A82,1)=Hwy,0.00000110231131*(C93*(1-M93)*VLOOKUP(K93,EmAuto1,7)-D93*(1-N93)*VLOOKUP(L93,EmAuto1,7)+(O93*(1-M93)-P93*(1-N93))*VLOOKUP(0,EmAuto1,7))+0.00000110231131*(C93*M93*VLOOKUP(K93,EmTruck1,7)-D93*N93*VLOOKUP(L93,EmTruck1,7)+(O93*M93-P93*N93)*VLOOKUP(0,EmTruck1,7)),0)</f>
        <v>2.6553250333332819E-3</v>
      </c>
      <c r="AJ93" s="861">
        <f>IF(INDEX(HwyTransitModelGroup,A82,1)=Hwy,0.00000110231131*(C93*(1-M93)*VLOOKUP(K93,EmAuto1,8)-D93*(1-N93)*VLOOKUP(L93,EmAuto1,8)+(O93*(1-M93)-P93*(1-N93))*VLOOKUP(0,EmAuto1,8))+0.00000110231131*(C93*M93*VLOOKUP(K93,EmTruck1,8)-D93*N93*VLOOKUP(L93,EmTruck1,8)+(O93*M93-P93*N93)*VLOOKUP(0,EmTruck1,8)),0)</f>
        <v>1.3226515681842083E-4</v>
      </c>
      <c r="AK93" s="401">
        <f>IF(INDEX(HwyTransitModelGroup,A82,1)=PARAMETERS!$J$9,0.00000110231131*(C93*VLOOKUP(K93,EmBus1,2)-D93*VLOOKUP(L93,EmBus1,2)+(O93-P93)*VLOOKUP(0,EmBus1,2)),0)</f>
        <v>0</v>
      </c>
      <c r="AL93" s="863">
        <f>IF(INDEX(HwyTransitModelGroup,A82,1)=PARAMETERS!$J$9,0.00000110231131*(C93*VLOOKUP(K93,EmBus1,3)-D93*VLOOKUP(L93,EmBus1,3)+(O93-P93)*VLOOKUP(0,EmBus1,3)),0)</f>
        <v>0</v>
      </c>
      <c r="AM93" s="861">
        <f>IF(INDEX(HwyTransitModelGroup,A82,1)=PARAMETERS!$J$9,0.00000110231131*(C93*VLOOKUP(K93,EmBus1,4)-D93*VLOOKUP(L93,EmBus1,4)+(O93-P93)*VLOOKUP(0,EmBus1,4)),0)</f>
        <v>0</v>
      </c>
      <c r="AN93" s="863">
        <f>IF(INDEX(HwyTransitModelGroup,A82,1)=PARAMETERS!$J$9,0.00000110231131*(C93*VLOOKUP(K93,EmBus1,5)-D93*VLOOKUP(L93,EmBus1,5)+(O93-P93)*VLOOKUP(0,EmBus1,5)),0)</f>
        <v>0</v>
      </c>
      <c r="AO93" s="861">
        <f>IF(INDEX(HwyTransitModelGroup,A82,1)=PARAMETERS!$J$9,0.00000110231131*(C93*VLOOKUP(K93,EmBus1,6)-D93*VLOOKUP(L93,EmBus1,6)+(O93-P93)*VLOOKUP(0,EmBus1,6)),0)</f>
        <v>0</v>
      </c>
      <c r="AP93" s="863">
        <f>IF(INDEX(HwyTransitModelGroup,A82,1)=PARAMETERS!$J$9,0.00000110231131*(C93*VLOOKUP(K93,EmBus1,7)-D93*VLOOKUP(L93,EmBus1,7)+(O93-P93)*VLOOKUP(0,EmBus1,7)),0)</f>
        <v>0</v>
      </c>
      <c r="AQ93" s="861">
        <f>IF(INDEX(HwyTransitModelGroup,A82,1)=PARAMETERS!$J$9,0.00000110231131*(C93*VLOOKUP(K93,EmBus1,8)-D93*VLOOKUP(L93,EmBus1,8)+(O93-P93)*VLOOKUP(0,EmBus1,8)),0)</f>
        <v>0</v>
      </c>
      <c r="AR93" s="401">
        <f>IF(INDEX(HwyTransitModelGroup,A82,1)=PARAMETERS!$J$10,0.00000110231131*((C93-D93)*PARAMETERS!$CQ$28),0)</f>
        <v>0</v>
      </c>
      <c r="AS93" s="863">
        <f>IF(INDEX(HwyTransitModelGroup,A82,1)=PARAMETERS!$J$10,0.00000110231131*((C93-D93)*PARAMETERS!$CR$28),0)</f>
        <v>0</v>
      </c>
      <c r="AT93" s="861">
        <f>IF(INDEX(HwyTransitModelGroup,A82,1)=PARAMETERS!$J$10,0.00000110231131*((C93-D93)*PARAMETERS!$CS$28),0)</f>
        <v>0</v>
      </c>
      <c r="AU93" s="863">
        <f>IF(INDEX(HwyTransitModelGroup,A82,1)=PARAMETERS!$J$10,0.00000110231131*((C93-D93)*PARAMETERS!$CT$28),0)</f>
        <v>0</v>
      </c>
      <c r="AV93" s="861">
        <f>IF(INDEX(HwyTransitModelGroup,A82,1)=PARAMETERS!$J$10,0.00000110231131*((C93-D93)*PARAMETERS!$CU$28),0)</f>
        <v>0</v>
      </c>
      <c r="AW93" s="863">
        <f>IF(INDEX(HwyTransitModelGroup,A82,1)=PARAMETERS!$J$10,0.00000110231131*((C93-D93)*PARAMETERS!$CV$28),0)</f>
        <v>0</v>
      </c>
      <c r="AX93" s="861">
        <f>IF(INDEX(HwyTransitModelGroup,A82,1)=PARAMETERS!$J$10,0.00000110231131*((C93-D93)*PARAMETERS!$CW$28),0)</f>
        <v>0</v>
      </c>
      <c r="AY93" s="401">
        <f>IF(INDEX(HwyTransitModelGroup,A82,1)=PARAMETERS!$J$11,0.00000110231131*((C93-D93)*PARAMETERS!$CQ$36),0)</f>
        <v>0</v>
      </c>
      <c r="AZ93" s="863">
        <f>IF(INDEX(HwyTransitModelGroup,A82,1)=PARAMETERS!$J$11,0.00000110231131*((C93-D93)*PARAMETERS!$CR$36),0)</f>
        <v>0</v>
      </c>
      <c r="BA93" s="861">
        <f>IF(INDEX(HwyTransitModelGroup,A82,1)=PARAMETERS!$J$11,0.00000110231131*((C93-D93)*PARAMETERS!$CS$36),0)</f>
        <v>0</v>
      </c>
      <c r="BB93" s="863">
        <f>IF(INDEX(HwyTransitModelGroup,A82,1)=PARAMETERS!$J$11,0.00000110231131*((C93-D93)*PARAMETERS!$CT$36),0)</f>
        <v>0</v>
      </c>
      <c r="BC93" s="861">
        <f>IF(INDEX(HwyTransitModelGroup,A82,1)=PARAMETERS!$J$11,0.00000110231131*((C93-D93)*PARAMETERS!$CU$36),0)</f>
        <v>0</v>
      </c>
      <c r="BD93" s="863">
        <f>IF(INDEX(HwyTransitModelGroup,A82,1)=PARAMETERS!$J$11,0.00000110231131*((C93-D93)*PARAMETERS!$CV$36),0)</f>
        <v>0</v>
      </c>
      <c r="BE93" s="865">
        <f>IF(INDEX(HwyTransitModelGroup,A82,1)=PARAMETERS!$J$11,0.00000110231131*((C93-D93)*PARAMETERS!$CW$36),0)</f>
        <v>0</v>
      </c>
      <c r="BF93" s="729">
        <f t="shared" si="35"/>
        <v>4.2776043876621834</v>
      </c>
      <c r="BG93" s="867">
        <f t="shared" si="36"/>
        <v>470.90479789363604</v>
      </c>
      <c r="BH93" s="867">
        <f t="shared" si="37"/>
        <v>248.73401750170368</v>
      </c>
      <c r="BI93" s="867">
        <f t="shared" si="38"/>
        <v>13.797316312363636</v>
      </c>
      <c r="BJ93" s="867">
        <f t="shared" si="39"/>
        <v>4.9003105815032777</v>
      </c>
      <c r="BK93" s="869">
        <f t="shared" si="40"/>
        <v>2.3293815582597754</v>
      </c>
      <c r="BL93" s="392"/>
      <c r="BN93" s="375">
        <f>BN92+1</f>
        <v>2027</v>
      </c>
      <c r="BO93" s="871">
        <f t="shared" ca="1" si="41"/>
        <v>10.749383302799311</v>
      </c>
      <c r="BP93" s="871">
        <f t="shared" ca="1" si="42"/>
        <v>-12.559655213175398</v>
      </c>
      <c r="BQ93" s="871">
        <f t="shared" ca="1" si="42"/>
        <v>10.824398409416858</v>
      </c>
      <c r="BR93" s="871">
        <f t="shared" ca="1" si="42"/>
        <v>-20.531478428505654</v>
      </c>
      <c r="BS93" s="871">
        <f t="shared" ca="1" si="42"/>
        <v>853.15961941768637</v>
      </c>
      <c r="BT93" s="871">
        <f t="shared" ca="1" si="42"/>
        <v>1237.793498602447</v>
      </c>
    </row>
    <row r="94" spans="1:76" x14ac:dyDescent="0.25">
      <c r="B94" s="375">
        <f t="shared" si="43"/>
        <v>2029</v>
      </c>
      <c r="C94" s="401">
        <f>MAX(TREND(C88:C89,B88:B89,B94),0)</f>
        <v>588599</v>
      </c>
      <c r="D94" s="402">
        <f>MAX(TREND(D88:D89,B88:B89,B94),0)</f>
        <v>578981.25</v>
      </c>
      <c r="E94" s="401">
        <f>MAX(TREND(E88:E89,B88:B89,B94),0)</f>
        <v>15895.75</v>
      </c>
      <c r="F94" s="402">
        <f>MAX(TREND(F88:F89,B88:B89,B94),0)</f>
        <v>12337</v>
      </c>
      <c r="G94" s="401">
        <f>MAX(TREND(G88:G89,B88:B89,B94),0)</f>
        <v>0</v>
      </c>
      <c r="H94" s="402">
        <f>MAX(TREND(H88:H89,B88:B89,B94),0)</f>
        <v>0</v>
      </c>
      <c r="I94" s="401">
        <f>MAX(TREND(I88:I89,B88:B89,B94),0)</f>
        <v>0</v>
      </c>
      <c r="J94" s="402">
        <f>MAX(TREND(J88:J89,B88:B89,B94),0)</f>
        <v>0</v>
      </c>
      <c r="K94" s="435">
        <f>IFERROR(IF(INDEX(HwyTransitModelGroup,A82,1)=Hwy,MAX(5,ROUND(C94/E94,1)),MAX(5,ROUND(G94/I94,1))),55)</f>
        <v>37</v>
      </c>
      <c r="L94" s="436">
        <f>IFERROR(IF(INDEX(HwyTransitModelGroup,A82,1)=Hwy,MAX(5,ROUND(D94/F94,1)),MAX(5,ROUND(H94/J94,1))),55)</f>
        <v>46.9</v>
      </c>
      <c r="M94" s="405">
        <f>MIN(MAX(TREND(M88:M89,B88:B89,B94),0),1)</f>
        <v>0.24</v>
      </c>
      <c r="N94" s="406">
        <f>MIN(MAX(TREND(N88:N89,B88:B89,B94),0),1)</f>
        <v>0.24</v>
      </c>
      <c r="O94" s="401">
        <f>MAX(TREND(O88:O89,B88:B89,B94),0)</f>
        <v>0</v>
      </c>
      <c r="P94" s="402">
        <f>MAX(TREND(P88:P89,B88:B89,B94),0)</f>
        <v>0</v>
      </c>
      <c r="Q94" s="729">
        <f>IF(INDEX(HwyTransitModelGroup,A82,1)=Hwy,C94*(1-M94)*0.00000110231131*(VLOOKUP(K94,EmAuto1,2)*VLOOKUP(ProjLoc,EmCost,2)+VLOOKUP(K94,EmAuto1,3)*VLOOKUP(ProjLoc,EmCost,3)*(1+CO2Uprater)^($B94-YearCurrent)+VLOOKUP(K94,EmAuto1,4)*VLOOKUP(ProjLoc,EmCost,4)+VLOOKUP(K94,EmAuto1,5)*VLOOKUP(ProjLoc,EmCost,5)+VLOOKUP(K94,EmAuto1,6)*VLOOKUP(ProjLoc,EmCost,6)+VLOOKUP(K94,EmAuto1,7)*VLOOKUP(ProjLoc,EmCost,7))+C94*M94*0.00000110231131*(VLOOKUP(K94,EmTruck1,2)*VLOOKUP(ProjLoc,EmCost,2)+VLOOKUP(K94,EmTruck1,3)*VLOOKUP(ProjLoc,EmCost,3)*(1+CO2Uprater)^($B94-YearCurrent)+VLOOKUP(K94,EmTruck1,4)*VLOOKUP(ProjLoc,EmCost,4)+VLOOKUP(K94,EmTruck1,5)*VLOOKUP(ProjLoc,EmCost,5)+VLOOKUP(K94,EmTruck1,6)*VLOOKUP(ProjLoc,EmCost,6)+VLOOKUP(K94,EmTruck1,7)*VLOOKUP(ProjLoc,EmCost,7)),0)</f>
        <v>19841.737438102762</v>
      </c>
      <c r="R94" s="802">
        <f>IF(INDEX(HwyTransitModelGroup,A82,1)=Hwy,D94*(1-N94)*0.00000110231131*(VLOOKUP(L94,EmAuto1,2)*VLOOKUP(ProjLoc,EmCost,2)+VLOOKUP(L94,EmAuto1,3)*VLOOKUP(ProjLoc,EmCost,3)*(1+CO2Uprater)^($B94-YearCurrent)+VLOOKUP(L94,EmAuto1,4)*VLOOKUP(ProjLoc,EmCost,4)+VLOOKUP(L94,EmAuto1,5)*VLOOKUP(ProjLoc,EmCost,5)+VLOOKUP(L94,EmAuto1,6)*VLOOKUP(ProjLoc,EmCost,6)+VLOOKUP(L94,EmAuto1,7)*VLOOKUP(ProjLoc,EmCost,7))+D94*N94*0.00000110231131*(VLOOKUP(L94,EmTruck1,2)*VLOOKUP(ProjLoc,EmCost,2)+VLOOKUP(L94,EmTruck1,3)*VLOOKUP(ProjLoc,EmCost,3)*(1+CO2Uprater)^($B94-YearCurrent)+VLOOKUP(L94,EmTruck1,4)*VLOOKUP(ProjLoc,EmCost,4)+VLOOKUP(L94,EmTruck1,5)*VLOOKUP(ProjLoc,EmCost,5)+VLOOKUP(L94,EmTruck1,6)*VLOOKUP(ProjLoc,EmCost,6)+VLOOKUP(L94,EmTruck1,7)*VLOOKUP(ProjLoc,EmCost,7)),0)</f>
        <v>18869.955749299315</v>
      </c>
      <c r="S94" s="729">
        <f>IF(INDEX(HwyTransitModelGroup,A82,1)=Hwy,O94*(1-M94)*0.00000110231131*(VLOOKUP(0,EmAuto1,2)*VLOOKUP(ProjLoc,EmCost,2)+VLOOKUP(0,EmAuto1,3)*VLOOKUP(ProjLoc,EmCost,3)*(1+CO2Uprater)^($B94-YearCurrent)+VLOOKUP(0,EmAuto1,4)*VLOOKUP(ProjLoc,EmCost,4)+VLOOKUP(0,EmAuto1,5)*VLOOKUP(ProjLoc,EmCost,5)+VLOOKUP(0,EmAuto1,6)*VLOOKUP(ProjLoc,EmCost,6)+VLOOKUP(0,EmAuto1,7)*VLOOKUP(ProjLoc,EmCost,7))+O94*M94*0.00000110231131*(VLOOKUP(0,EmTruck1,2)*VLOOKUP(ProjLoc,EmCost,2)+VLOOKUP(0,EmTruck1,3)*VLOOKUP(ProjLoc,EmCost,3)*(1+CO2Uprater)^($B94-YearCurrent)+VLOOKUP(0,EmTruck1,4)*VLOOKUP(ProjLoc,EmCost,4)+VLOOKUP(0,EmTruck1,5)*VLOOKUP(ProjLoc,EmCost,5)+VLOOKUP(0,EmTruck1,6)*VLOOKUP(ProjLoc,EmCost,6)+VLOOKUP(0,EmTruck1,7)*VLOOKUP(ProjLoc,EmCost,7)),0)</f>
        <v>0</v>
      </c>
      <c r="T94" s="802">
        <f>IF(INDEX(HwyTransitModelGroup,A82,1)=Hwy,P94*(1-N94)*0.00000110231131*(VLOOKUP(0,EmAuto1,2)*VLOOKUP(ProjLoc,EmCost,2)+VLOOKUP(0,EmAuto1,3)*VLOOKUP(ProjLoc,EmCost,3)*(1+CO2Uprater)^($B94-YearCurrent)+VLOOKUP(0,EmAuto1,4)*VLOOKUP(ProjLoc,EmCost,4)+VLOOKUP(0,EmAuto1,5)*VLOOKUP(ProjLoc,EmCost,5)+VLOOKUP(0,EmAuto1,6)*VLOOKUP(ProjLoc,EmCost,6)+VLOOKUP(0,EmAuto1,7)*VLOOKUP(ProjLoc,EmCost,7))+P94*N94*0.00000110231131*(VLOOKUP(0,EmTruck1,2)*VLOOKUP(ProjLoc,EmCost,2)+VLOOKUP(0,EmTruck1,3)*VLOOKUP(ProjLoc,EmCost,3)*(1+CO2Uprater)^($B94-YearCurrent)+VLOOKUP(0,EmTruck1,4)*VLOOKUP(ProjLoc,EmCost,4)+VLOOKUP(0,EmTruck1,5)*VLOOKUP(ProjLoc,EmCost,5)+VLOOKUP(0,EmTruck1,6)*VLOOKUP(ProjLoc,EmCost,6)+VLOOKUP(0,EmTruck1,7)*VLOOKUP(ProjLoc,EmCost,7)),0)</f>
        <v>0</v>
      </c>
      <c r="U94" s="729">
        <f>IF(INDEX(HwyTransitModelGroup,A82,1)=PARAMETERS!$J$9,C94*0.00000110231131*(VLOOKUP(K94,EmBus1,2)*VLOOKUP(ProjLoc,EmCost,2)+VLOOKUP(K94,EmBus1,3)*VLOOKUP(ProjLoc,EmCost,3)*(1+CO2Uprater)^($B94-YearCurrent)+VLOOKUP(K94,EmBus1,4)*VLOOKUP(ProjLoc,EmCost,4)+VLOOKUP(K94,EmBus1,5)*VLOOKUP(ProjLoc,EmCost,5)+VLOOKUP(K94,EmBus1,6)*VLOOKUP(ProjLoc,EmCost,6)+VLOOKUP(K94,EmBus1,7)*VLOOKUP(ProjLoc,EmCost,7)),0)</f>
        <v>0</v>
      </c>
      <c r="V94" s="802">
        <f>IF(INDEX(HwyTransitModelGroup,A82,1)=PARAMETERS!$J$9,D94*0.00000110231131*(VLOOKUP(L94,EmBus1,2)*VLOOKUP(ProjLoc,EmCost,2)+VLOOKUP(L94,EmBus1,3)*VLOOKUP(ProjLoc,EmCost,3)*(1+CO2Uprater)^($B94-YearCurrent)+VLOOKUP(L94,EmBus1,4)*VLOOKUP(ProjLoc,EmCost,4)+VLOOKUP(L94,EmBus1,5)*VLOOKUP(ProjLoc,EmCost,5)+VLOOKUP(L94,EmBus1,6)*VLOOKUP(ProjLoc,EmCost,6)+VLOOKUP(L94,EmBus1,7)*VLOOKUP(ProjLoc,EmCost,7)),0)</f>
        <v>0</v>
      </c>
      <c r="W94" s="808">
        <f>IF(INDEX(HwyTransitModelGroup,A82,1)=PARAMETERS!$J$10,C94*0.00000110231131*(PARAMETERS!$CQ$28*VLOOKUP(ProjLoc,EmCost,2)+PARAMETERS!$CR$28*VLOOKUP(ProjLoc,EmCost,3)*(1+CO2Uprater)^($B94-YearCurrent)+PARAMETERS!$CS$28*VLOOKUP(ProjLoc,EmCost,4)+PARAMETERS!$CT$28*VLOOKUP(ProjLoc,EmCost,5)+PARAMETERS!$CU$28*VLOOKUP(ProjLoc,EmCost,6)+PARAMETERS!$CV$28*VLOOKUP(ProjLoc,EmCost,7)),0)</f>
        <v>0</v>
      </c>
      <c r="X94" s="844">
        <f>IF(INDEX(HwyTransitModelGroup,A82,1)=PARAMETERS!$J$10,D94*0.00000110231131*(PARAMETERS!$CQ$28*VLOOKUP(ProjLoc,EmCost,2)+PARAMETERS!$CR$28*VLOOKUP(ProjLoc,EmCost,3)*(1+CO2Uprater)^($B94-YearCurrent)+PARAMETERS!$CS$28*VLOOKUP(ProjLoc,EmCost,4)+PARAMETERS!$CT$28*VLOOKUP(ProjLoc,EmCost,5)+PARAMETERS!$CU$28*VLOOKUP(ProjLoc,EmCost,6)+PARAMETERS!$CV$28*VLOOKUP(ProjLoc,EmCost,7)),0)</f>
        <v>0</v>
      </c>
      <c r="Y94" s="808">
        <f>IF(INDEX(HwyTransitModelGroup,A82,1)=PARAMETERS!$J$11,C94*0.00000110231131*(PARAMETERS!$CQ$36*VLOOKUP(ProjLoc,EmCost,2)+PARAMETERS!$CR$36*VLOOKUP(ProjLoc,EmCost,3)*(1+CO2Uprater)^($B94-YearCurrent)+PARAMETERS!$CS$36*VLOOKUP(ProjLoc,EmCost,4)+PARAMETERS!$CT$36*VLOOKUP(ProjLoc,EmCost,5)+PARAMETERS!$CU$36*VLOOKUP(ProjLoc,EmCost,6)+PARAMETERS!$CV$36*VLOOKUP(ProjLoc,EmCost,7)),0)</f>
        <v>0</v>
      </c>
      <c r="Z94" s="844">
        <f>IF(INDEX(HwyTransitModelGroup,A82,1)=PARAMETERS!$J$11,D94*0.00000110231131*(PARAMETERS!$CQ$36*VLOOKUP(ProjLoc,EmCost,2)+PARAMETERS!$CR$36*VLOOKUP(ProjLoc,EmCost,3)*(1+CO2Uprater)^($B94-YearCurrent)+PARAMETERS!$CS$36*VLOOKUP(ProjLoc,EmCost,4)+PARAMETERS!$CT$36*VLOOKUP(ProjLoc,EmCost,5)+PARAMETERS!$CU$36*VLOOKUP(ProjLoc,EmCost,6)+PARAMETERS!$CV$36*VLOOKUP(ProjLoc,EmCost,7)),0)</f>
        <v>0</v>
      </c>
      <c r="AA94" s="369">
        <f t="shared" si="33"/>
        <v>971.78168880344674</v>
      </c>
      <c r="AB94" s="370">
        <f t="shared" si="34"/>
        <v>738.47421586532323</v>
      </c>
      <c r="AC94" s="371"/>
      <c r="AD94" s="401">
        <f>IF(INDEX(HwyTransitModelGroup,A82,1)=Hwy,0.00000110231131*(C94*(1-M94)*VLOOKUP(K94,EmAuto1,2)-D94*(1-N94)*VLOOKUP(L94,EmAuto1,2)+(O94*(1-M94)-P94*(1-N94))*VLOOKUP(0,EmAuto1,2))+0.00000110231131*(C94*M94*VLOOKUP(K94,EmTruck1,2)-D94*N94*VLOOKUP(L94,EmTruck1,2)+(O94*M94-P94*N94)*VLOOKUP(0,EmTruck1,2)),0)</f>
        <v>6.8895524086513241E-2</v>
      </c>
      <c r="AE94" s="863">
        <f>IF(INDEX(HwyTransitModelGroup,A82,1)=Hwy,0.00000110231131*(C94*(1-M94)*VLOOKUP(K94,EmAuto1,3)-D94*(1-N94)*VLOOKUP(L94,EmAuto1,3)+(O94*(1-M94)-P94*(1-N94))*VLOOKUP(0,EmAuto1,3))+0.00000110231131*(C94*M94*VLOOKUP(K94,EmTruck1,3)-D94*N94*VLOOKUP(L94,EmTruck1,3)+(O94*M94-P94*N94)*VLOOKUP(0,EmTruck1,3)),0)</f>
        <v>11.221148576945223</v>
      </c>
      <c r="AF94" s="861">
        <f>IF(INDEX(HwyTransitModelGroup,A82,1)=Hwy,0.00000110231131*(C94*(1-M94)*VLOOKUP(K94,EmAuto1,4)-D94*(1-N94)*VLOOKUP(L94,EmAuto1,4)+(O94*(1-M94)-P94*(1-N94))*VLOOKUP(0,EmAuto1,4))+0.00000110231131*(C94*M94*VLOOKUP(K94,EmTruck1,4)-D94*N94*VLOOKUP(L94,EmTruck1,4)+(O94*M94-P94*N94)*VLOOKUP(0,EmTruck1,4)),0)</f>
        <v>2.1223954455906916E-2</v>
      </c>
      <c r="AG94" s="863">
        <f>IF(INDEX(HwyTransitModelGroup,A82,1)=Hwy,0.00000110231131*(C94*(1-M94)*VLOOKUP(K94,EmAuto1,5)-D94*(1-N94)*VLOOKUP(L94,EmAuto1,5)+(O94*(1-M94)-P94*(1-N94))*VLOOKUP(0,EmAuto1,5))+0.00000110231131*(C94*M94*VLOOKUP(K94,EmTruck1,5)-D94*N94*VLOOKUP(L94,EmTruck1,5)+(O94*M94-P94*N94)*VLOOKUP(0,EmTruck1,5)),0)</f>
        <v>1.5231611246472736E-4</v>
      </c>
      <c r="AH94" s="861">
        <f>IF(INDEX(HwyTransitModelGroup,A82,1)=Hwy,0.00000110231131*(C94*(1-M94)*VLOOKUP(K94,EmAuto1,6)-D94*(1-N94)*VLOOKUP(L94,EmAuto1,6)+(O94*(1-M94)-P94*(1-N94))*VLOOKUP(0,EmAuto1,6))+0.00000110231131*(C94*M94*VLOOKUP(K94,EmTruck1,6)-D94*N94*VLOOKUP(L94,EmTruck1,6)+(O94*M94-P94*N94)*VLOOKUP(0,EmTruck1,6)),0)</f>
        <v>1.069836535374388E-4</v>
      </c>
      <c r="AI94" s="863">
        <f>IF(INDEX(HwyTransitModelGroup,A82,1)=Hwy,0.00000110231131*(C94*(1-M94)*VLOOKUP(K94,EmAuto1,7)-D94*(1-N94)*VLOOKUP(L94,EmAuto1,7)+(O94*(1-M94)-P94*(1-N94))*VLOOKUP(0,EmAuto1,7))+0.00000110231131*(C94*M94*VLOOKUP(K94,EmTruck1,7)-D94*N94*VLOOKUP(L94,EmTruck1,7)+(O94*M94-P94*N94)*VLOOKUP(0,EmTruck1,7)),0)</f>
        <v>2.7040779763809254E-3</v>
      </c>
      <c r="AJ94" s="861">
        <f>IF(INDEX(HwyTransitModelGroup,A82,1)=Hwy,0.00000110231131*(C94*(1-M94)*VLOOKUP(K94,EmAuto1,8)-D94*(1-N94)*VLOOKUP(L94,EmAuto1,8)+(O94*(1-M94)-P94*(1-N94))*VLOOKUP(0,EmAuto1,8))+0.00000110231131*(C94*M94*VLOOKUP(K94,EmTruck1,8)-D94*N94*VLOOKUP(L94,EmTruck1,8)+(O94*M94-P94*N94)*VLOOKUP(0,EmTruck1,8)),0)</f>
        <v>1.3466650452867155E-4</v>
      </c>
      <c r="AK94" s="401">
        <f>IF(INDEX(HwyTransitModelGroup,A82,1)=PARAMETERS!$J$9,0.00000110231131*(C94*VLOOKUP(K94,EmBus1,2)-D94*VLOOKUP(L94,EmBus1,2)+(O94-P94)*VLOOKUP(0,EmBus1,2)),0)</f>
        <v>0</v>
      </c>
      <c r="AL94" s="863">
        <f>IF(INDEX(HwyTransitModelGroup,A82,1)=PARAMETERS!$J$9,0.00000110231131*(C94*VLOOKUP(K94,EmBus1,3)-D94*VLOOKUP(L94,EmBus1,3)+(O94-P94)*VLOOKUP(0,EmBus1,3)),0)</f>
        <v>0</v>
      </c>
      <c r="AM94" s="861">
        <f>IF(INDEX(HwyTransitModelGroup,A82,1)=PARAMETERS!$J$9,0.00000110231131*(C94*VLOOKUP(K94,EmBus1,4)-D94*VLOOKUP(L94,EmBus1,4)+(O94-P94)*VLOOKUP(0,EmBus1,4)),0)</f>
        <v>0</v>
      </c>
      <c r="AN94" s="863">
        <f>IF(INDEX(HwyTransitModelGroup,A82,1)=PARAMETERS!$J$9,0.00000110231131*(C94*VLOOKUP(K94,EmBus1,5)-D94*VLOOKUP(L94,EmBus1,5)+(O94-P94)*VLOOKUP(0,EmBus1,5)),0)</f>
        <v>0</v>
      </c>
      <c r="AO94" s="861">
        <f>IF(INDEX(HwyTransitModelGroup,A82,1)=PARAMETERS!$J$9,0.00000110231131*(C94*VLOOKUP(K94,EmBus1,6)-D94*VLOOKUP(L94,EmBus1,6)+(O94-P94)*VLOOKUP(0,EmBus1,6)),0)</f>
        <v>0</v>
      </c>
      <c r="AP94" s="863">
        <f>IF(INDEX(HwyTransitModelGroup,A82,1)=PARAMETERS!$J$9,0.00000110231131*(C94*VLOOKUP(K94,EmBus1,7)-D94*VLOOKUP(L94,EmBus1,7)+(O94-P94)*VLOOKUP(0,EmBus1,7)),0)</f>
        <v>0</v>
      </c>
      <c r="AQ94" s="861">
        <f>IF(INDEX(HwyTransitModelGroup,A82,1)=PARAMETERS!$J$9,0.00000110231131*(C94*VLOOKUP(K94,EmBus1,8)-D94*VLOOKUP(L94,EmBus1,8)+(O94-P94)*VLOOKUP(0,EmBus1,8)),0)</f>
        <v>0</v>
      </c>
      <c r="AR94" s="401">
        <f>IF(INDEX(HwyTransitModelGroup,A82,1)=PARAMETERS!$J$10,0.00000110231131*((C94-D94)*PARAMETERS!$CQ$28),0)</f>
        <v>0</v>
      </c>
      <c r="AS94" s="863">
        <f>IF(INDEX(HwyTransitModelGroup,A82,1)=PARAMETERS!$J$10,0.00000110231131*((C94-D94)*PARAMETERS!$CR$28),0)</f>
        <v>0</v>
      </c>
      <c r="AT94" s="861">
        <f>IF(INDEX(HwyTransitModelGroup,A82,1)=PARAMETERS!$J$10,0.00000110231131*((C94-D94)*PARAMETERS!$CS$28),0)</f>
        <v>0</v>
      </c>
      <c r="AU94" s="863">
        <f>IF(INDEX(HwyTransitModelGroup,A82,1)=PARAMETERS!$J$10,0.00000110231131*((C94-D94)*PARAMETERS!$CT$28),0)</f>
        <v>0</v>
      </c>
      <c r="AV94" s="861">
        <f>IF(INDEX(HwyTransitModelGroup,A82,1)=PARAMETERS!$J$10,0.00000110231131*((C94-D94)*PARAMETERS!$CU$28),0)</f>
        <v>0</v>
      </c>
      <c r="AW94" s="863">
        <f>IF(INDEX(HwyTransitModelGroup,A82,1)=PARAMETERS!$J$10,0.00000110231131*((C94-D94)*PARAMETERS!$CV$28),0)</f>
        <v>0</v>
      </c>
      <c r="AX94" s="861">
        <f>IF(INDEX(HwyTransitModelGroup,A82,1)=PARAMETERS!$J$10,0.00000110231131*((C94-D94)*PARAMETERS!$CW$28),0)</f>
        <v>0</v>
      </c>
      <c r="AY94" s="401">
        <f>IF(INDEX(HwyTransitModelGroup,A82,1)=PARAMETERS!$J$11,0.00000110231131*((C94-D94)*PARAMETERS!$CQ$36),0)</f>
        <v>0</v>
      </c>
      <c r="AZ94" s="863">
        <f>IF(INDEX(HwyTransitModelGroup,A82,1)=PARAMETERS!$J$11,0.00000110231131*((C94-D94)*PARAMETERS!$CR$36),0)</f>
        <v>0</v>
      </c>
      <c r="BA94" s="861">
        <f>IF(INDEX(HwyTransitModelGroup,A82,1)=PARAMETERS!$J$11,0.00000110231131*((C94-D94)*PARAMETERS!$CS$36),0)</f>
        <v>0</v>
      </c>
      <c r="BB94" s="863">
        <f>IF(INDEX(HwyTransitModelGroup,A82,1)=PARAMETERS!$J$11,0.00000110231131*((C94-D94)*PARAMETERS!$CT$36),0)</f>
        <v>0</v>
      </c>
      <c r="BC94" s="861">
        <f>IF(INDEX(HwyTransitModelGroup,A82,1)=PARAMETERS!$J$11,0.00000110231131*((C94-D94)*PARAMETERS!$CU$36),0)</f>
        <v>0</v>
      </c>
      <c r="BD94" s="863">
        <f>IF(INDEX(HwyTransitModelGroup,A82,1)=PARAMETERS!$J$11,0.00000110231131*((C94-D94)*PARAMETERS!$CV$36),0)</f>
        <v>0</v>
      </c>
      <c r="BE94" s="865">
        <f>IF(INDEX(HwyTransitModelGroup,A82,1)=PARAMETERS!$J$11,0.00000110231131*((C94-D94)*PARAMETERS!$CW$36),0)</f>
        <v>0</v>
      </c>
      <c r="BF94" s="729">
        <f t="shared" si="35"/>
        <v>4.1883948802586577</v>
      </c>
      <c r="BG94" s="867">
        <f t="shared" si="36"/>
        <v>470.16075750863183</v>
      </c>
      <c r="BH94" s="867">
        <f t="shared" si="37"/>
        <v>243.53976197025784</v>
      </c>
      <c r="BI94" s="867">
        <f t="shared" si="38"/>
        <v>13.507759752527422</v>
      </c>
      <c r="BJ94" s="867">
        <f t="shared" si="39"/>
        <v>4.796628258627722</v>
      </c>
      <c r="BK94" s="869">
        <f t="shared" si="40"/>
        <v>2.2809134950185714</v>
      </c>
      <c r="BL94" s="392"/>
      <c r="BN94" s="375">
        <f t="shared" ref="BN94:BN111" si="44">BN93+1</f>
        <v>2028</v>
      </c>
      <c r="BO94" s="871">
        <f t="shared" ca="1" si="41"/>
        <v>7.5526416803156042</v>
      </c>
      <c r="BP94" s="871">
        <f t="shared" ca="1" si="42"/>
        <v>-12.794876011234727</v>
      </c>
      <c r="BQ94" s="871">
        <f t="shared" ca="1" si="42"/>
        <v>11.022773493181042</v>
      </c>
      <c r="BR94" s="871">
        <f t="shared" ca="1" si="42"/>
        <v>-20.775921360154861</v>
      </c>
      <c r="BS94" s="871">
        <f t="shared" ca="1" si="42"/>
        <v>898.36935433413669</v>
      </c>
      <c r="BT94" s="871">
        <f t="shared" ca="1" si="42"/>
        <v>1274.5990811152778</v>
      </c>
    </row>
    <row r="95" spans="1:76" x14ac:dyDescent="0.25">
      <c r="B95" s="375">
        <f t="shared" si="43"/>
        <v>2030</v>
      </c>
      <c r="C95" s="401">
        <f>MAX(TREND(C88:C89,B88:B89,B95),0)</f>
        <v>599257</v>
      </c>
      <c r="D95" s="402">
        <f>MAX(TREND(D88:D89,B88:B89,B95),0)</f>
        <v>589475</v>
      </c>
      <c r="E95" s="401">
        <f>MAX(TREND(E88:E89,B88:B89,B95),0)</f>
        <v>16206</v>
      </c>
      <c r="F95" s="402">
        <f>MAX(TREND(F88:F89,B88:B89,B95),0)</f>
        <v>12556</v>
      </c>
      <c r="G95" s="401">
        <f>MAX(TREND(G88:G89,B88:B89,B95),0)</f>
        <v>0</v>
      </c>
      <c r="H95" s="402">
        <f>MAX(TREND(H88:H89,B88:B89,B95),0)</f>
        <v>0</v>
      </c>
      <c r="I95" s="401">
        <f>MAX(TREND(I88:I89,B88:B89,B95),0)</f>
        <v>0</v>
      </c>
      <c r="J95" s="402">
        <f>MAX(TREND(J88:J89,B88:B89,B95),0)</f>
        <v>0</v>
      </c>
      <c r="K95" s="435">
        <f>IFERROR(IF(INDEX(HwyTransitModelGroup,A82,1)=Hwy,MAX(5,ROUND(C95/E95,1)),MAX(5,ROUND(G95/I95,1))),55)</f>
        <v>37</v>
      </c>
      <c r="L95" s="436">
        <f>IFERROR(IF(INDEX(HwyTransitModelGroup,A82,1)=Hwy,MAX(5,ROUND(D95/F95,1)),MAX(5,ROUND(H95/J95,1))),55)</f>
        <v>46.9</v>
      </c>
      <c r="M95" s="405">
        <f>MIN(MAX(TREND(M88:M89,B88:B89,B95),0),1)</f>
        <v>0.24</v>
      </c>
      <c r="N95" s="406">
        <f>MIN(MAX(TREND(N88:N89,B88:B89,B95),0),1)</f>
        <v>0.24</v>
      </c>
      <c r="O95" s="401">
        <f>MAX(TREND(O88:O89,B88:B89,B95),0)</f>
        <v>0</v>
      </c>
      <c r="P95" s="402">
        <f>MAX(TREND(P88:P89,B88:B89,B95),0)</f>
        <v>0</v>
      </c>
      <c r="Q95" s="729">
        <f>IF(INDEX(HwyTransitModelGroup,A82,1)=Hwy,C95*(1-M95)*0.00000110231131*(VLOOKUP(K95,EmAuto1,2)*VLOOKUP(ProjLoc,EmCost,2)+VLOOKUP(K95,EmAuto1,3)*VLOOKUP(ProjLoc,EmCost,3)*(1+CO2Uprater)^($B95-YearCurrent)+VLOOKUP(K95,EmAuto1,4)*VLOOKUP(ProjLoc,EmCost,4)+VLOOKUP(K95,EmAuto1,5)*VLOOKUP(ProjLoc,EmCost,5)+VLOOKUP(K95,EmAuto1,6)*VLOOKUP(ProjLoc,EmCost,6)+VLOOKUP(K95,EmAuto1,7)*VLOOKUP(ProjLoc,EmCost,7))+C95*M95*0.00000110231131*(VLOOKUP(K95,EmTruck1,2)*VLOOKUP(ProjLoc,EmCost,2)+VLOOKUP(K95,EmTruck1,3)*VLOOKUP(ProjLoc,EmCost,3)*(1+CO2Uprater)^($B95-YearCurrent)+VLOOKUP(K95,EmTruck1,4)*VLOOKUP(ProjLoc,EmCost,4)+VLOOKUP(K95,EmTruck1,5)*VLOOKUP(ProjLoc,EmCost,5)+VLOOKUP(K95,EmTruck1,6)*VLOOKUP(ProjLoc,EmCost,6)+VLOOKUP(K95,EmTruck1,7)*VLOOKUP(ProjLoc,EmCost,7)),0)</f>
        <v>20529.41090366531</v>
      </c>
      <c r="R95" s="802">
        <f>IF(INDEX(HwyTransitModelGroup,A82,1)=Hwy,D95*(1-N95)*0.00000110231131*(VLOOKUP(L95,EmAuto1,2)*VLOOKUP(ProjLoc,EmCost,2)+VLOOKUP(L95,EmAuto1,3)*VLOOKUP(ProjLoc,EmCost,3)*(1+CO2Uprater)^($B95-YearCurrent)+VLOOKUP(L95,EmAuto1,4)*VLOOKUP(ProjLoc,EmCost,4)+VLOOKUP(L95,EmAuto1,5)*VLOOKUP(ProjLoc,EmCost,5)+VLOOKUP(L95,EmAuto1,6)*VLOOKUP(ProjLoc,EmCost,6)+VLOOKUP(L95,EmAuto1,7)*VLOOKUP(ProjLoc,EmCost,7))+D95*N95*0.00000110231131*(VLOOKUP(L95,EmTruck1,2)*VLOOKUP(ProjLoc,EmCost,2)+VLOOKUP(L95,EmTruck1,3)*VLOOKUP(ProjLoc,EmCost,3)*(1+CO2Uprater)^($B95-YearCurrent)+VLOOKUP(L95,EmTruck1,4)*VLOOKUP(ProjLoc,EmCost,4)+VLOOKUP(L95,EmTruck1,5)*VLOOKUP(ProjLoc,EmCost,5)+VLOOKUP(L95,EmTruck1,6)*VLOOKUP(ProjLoc,EmCost,6)+VLOOKUP(L95,EmTruck1,7)*VLOOKUP(ProjLoc,EmCost,7)),0)</f>
        <v>19527.762764007432</v>
      </c>
      <c r="S95" s="729">
        <f>IF(INDEX(HwyTransitModelGroup,A82,1)=Hwy,O95*(1-M95)*0.00000110231131*(VLOOKUP(0,EmAuto1,2)*VLOOKUP(ProjLoc,EmCost,2)+VLOOKUP(0,EmAuto1,3)*VLOOKUP(ProjLoc,EmCost,3)*(1+CO2Uprater)^($B95-YearCurrent)+VLOOKUP(0,EmAuto1,4)*VLOOKUP(ProjLoc,EmCost,4)+VLOOKUP(0,EmAuto1,5)*VLOOKUP(ProjLoc,EmCost,5)+VLOOKUP(0,EmAuto1,6)*VLOOKUP(ProjLoc,EmCost,6)+VLOOKUP(0,EmAuto1,7)*VLOOKUP(ProjLoc,EmCost,7))+O95*M95*0.00000110231131*(VLOOKUP(0,EmTruck1,2)*VLOOKUP(ProjLoc,EmCost,2)+VLOOKUP(0,EmTruck1,3)*VLOOKUP(ProjLoc,EmCost,3)*(1+CO2Uprater)^($B95-YearCurrent)+VLOOKUP(0,EmTruck1,4)*VLOOKUP(ProjLoc,EmCost,4)+VLOOKUP(0,EmTruck1,5)*VLOOKUP(ProjLoc,EmCost,5)+VLOOKUP(0,EmTruck1,6)*VLOOKUP(ProjLoc,EmCost,6)+VLOOKUP(0,EmTruck1,7)*VLOOKUP(ProjLoc,EmCost,7)),0)</f>
        <v>0</v>
      </c>
      <c r="T95" s="802">
        <f>IF(INDEX(HwyTransitModelGroup,A82,1)=Hwy,P95*(1-N95)*0.00000110231131*(VLOOKUP(0,EmAuto1,2)*VLOOKUP(ProjLoc,EmCost,2)+VLOOKUP(0,EmAuto1,3)*VLOOKUP(ProjLoc,EmCost,3)*(1+CO2Uprater)^($B95-YearCurrent)+VLOOKUP(0,EmAuto1,4)*VLOOKUP(ProjLoc,EmCost,4)+VLOOKUP(0,EmAuto1,5)*VLOOKUP(ProjLoc,EmCost,5)+VLOOKUP(0,EmAuto1,6)*VLOOKUP(ProjLoc,EmCost,6)+VLOOKUP(0,EmAuto1,7)*VLOOKUP(ProjLoc,EmCost,7))+P95*N95*0.00000110231131*(VLOOKUP(0,EmTruck1,2)*VLOOKUP(ProjLoc,EmCost,2)+VLOOKUP(0,EmTruck1,3)*VLOOKUP(ProjLoc,EmCost,3)*(1+CO2Uprater)^($B95-YearCurrent)+VLOOKUP(0,EmTruck1,4)*VLOOKUP(ProjLoc,EmCost,4)+VLOOKUP(0,EmTruck1,5)*VLOOKUP(ProjLoc,EmCost,5)+VLOOKUP(0,EmTruck1,6)*VLOOKUP(ProjLoc,EmCost,6)+VLOOKUP(0,EmTruck1,7)*VLOOKUP(ProjLoc,EmCost,7)),0)</f>
        <v>0</v>
      </c>
      <c r="U95" s="729">
        <f>IF(INDEX(HwyTransitModelGroup,A82,1)=PARAMETERS!$J$9,C95*0.00000110231131*(VLOOKUP(K95,EmBus1,2)*VLOOKUP(ProjLoc,EmCost,2)+VLOOKUP(K95,EmBus1,3)*VLOOKUP(ProjLoc,EmCost,3)*(1+CO2Uprater)^($B95-YearCurrent)+VLOOKUP(K95,EmBus1,4)*VLOOKUP(ProjLoc,EmCost,4)+VLOOKUP(K95,EmBus1,5)*VLOOKUP(ProjLoc,EmCost,5)+VLOOKUP(K95,EmBus1,6)*VLOOKUP(ProjLoc,EmCost,6)+VLOOKUP(K95,EmBus1,7)*VLOOKUP(ProjLoc,EmCost,7)),0)</f>
        <v>0</v>
      </c>
      <c r="V95" s="802">
        <f>IF(INDEX(HwyTransitModelGroup,A82,1)=PARAMETERS!$J$9,D95*0.00000110231131*(VLOOKUP(L95,EmBus1,2)*VLOOKUP(ProjLoc,EmCost,2)+VLOOKUP(L95,EmBus1,3)*VLOOKUP(ProjLoc,EmCost,3)*(1+CO2Uprater)^($B95-YearCurrent)+VLOOKUP(L95,EmBus1,4)*VLOOKUP(ProjLoc,EmCost,4)+VLOOKUP(L95,EmBus1,5)*VLOOKUP(ProjLoc,EmCost,5)+VLOOKUP(L95,EmBus1,6)*VLOOKUP(ProjLoc,EmCost,6)+VLOOKUP(L95,EmBus1,7)*VLOOKUP(ProjLoc,EmCost,7)),0)</f>
        <v>0</v>
      </c>
      <c r="W95" s="808">
        <f>IF(INDEX(HwyTransitModelGroup,A82,1)=PARAMETERS!$J$10,C95*0.00000110231131*(PARAMETERS!$CQ$28*VLOOKUP(ProjLoc,EmCost,2)+PARAMETERS!$CR$28*VLOOKUP(ProjLoc,EmCost,3)*(1+CO2Uprater)^($B95-YearCurrent)+PARAMETERS!$CS$28*VLOOKUP(ProjLoc,EmCost,4)+PARAMETERS!$CT$28*VLOOKUP(ProjLoc,EmCost,5)+PARAMETERS!$CU$28*VLOOKUP(ProjLoc,EmCost,6)+PARAMETERS!$CV$28*VLOOKUP(ProjLoc,EmCost,7)),0)</f>
        <v>0</v>
      </c>
      <c r="X95" s="844">
        <f>IF(INDEX(HwyTransitModelGroup,A82,1)=PARAMETERS!$J$10,D95*0.00000110231131*(PARAMETERS!$CQ$28*VLOOKUP(ProjLoc,EmCost,2)+PARAMETERS!$CR$28*VLOOKUP(ProjLoc,EmCost,3)*(1+CO2Uprater)^($B95-YearCurrent)+PARAMETERS!$CS$28*VLOOKUP(ProjLoc,EmCost,4)+PARAMETERS!$CT$28*VLOOKUP(ProjLoc,EmCost,5)+PARAMETERS!$CU$28*VLOOKUP(ProjLoc,EmCost,6)+PARAMETERS!$CV$28*VLOOKUP(ProjLoc,EmCost,7)),0)</f>
        <v>0</v>
      </c>
      <c r="Y95" s="808">
        <f>IF(INDEX(HwyTransitModelGroup,A82,1)=PARAMETERS!$J$11,C95*0.00000110231131*(PARAMETERS!$CQ$36*VLOOKUP(ProjLoc,EmCost,2)+PARAMETERS!$CR$36*VLOOKUP(ProjLoc,EmCost,3)*(1+CO2Uprater)^($B95-YearCurrent)+PARAMETERS!$CS$36*VLOOKUP(ProjLoc,EmCost,4)+PARAMETERS!$CT$36*VLOOKUP(ProjLoc,EmCost,5)+PARAMETERS!$CU$36*VLOOKUP(ProjLoc,EmCost,6)+PARAMETERS!$CV$36*VLOOKUP(ProjLoc,EmCost,7)),0)</f>
        <v>0</v>
      </c>
      <c r="Z95" s="844">
        <f>IF(INDEX(HwyTransitModelGroup,A82,1)=PARAMETERS!$J$11,D95*0.00000110231131*(PARAMETERS!$CQ$36*VLOOKUP(ProjLoc,EmCost,2)+PARAMETERS!$CR$36*VLOOKUP(ProjLoc,EmCost,3)*(1+CO2Uprater)^($B95-YearCurrent)+PARAMETERS!$CS$36*VLOOKUP(ProjLoc,EmCost,4)+PARAMETERS!$CT$36*VLOOKUP(ProjLoc,EmCost,5)+PARAMETERS!$CU$36*VLOOKUP(ProjLoc,EmCost,6)+PARAMETERS!$CV$36*VLOOKUP(ProjLoc,EmCost,7)),0)</f>
        <v>0</v>
      </c>
      <c r="AA95" s="369">
        <f t="shared" si="33"/>
        <v>1001.6481396578783</v>
      </c>
      <c r="AB95" s="370">
        <f t="shared" si="34"/>
        <v>731.8944845064708</v>
      </c>
      <c r="AC95" s="371"/>
      <c r="AD95" s="401">
        <f>IF(INDEX(HwyTransitModelGroup,A82,1)=Hwy,0.00000110231131*(C95*(1-M95)*VLOOKUP(K95,EmAuto1,2)-D95*(1-N95)*VLOOKUP(L95,EmAuto1,2)+(O95*(1-M95)-P95*(1-N95))*VLOOKUP(0,EmAuto1,2))+0.00000110231131*(C95*M95*VLOOKUP(K95,EmTruck1,2)-D95*N95*VLOOKUP(L95,EmTruck1,2)+(O95*M95-P95*N95)*VLOOKUP(0,EmTruck1,2)),0)</f>
        <v>7.0134370856640274E-2</v>
      </c>
      <c r="AE95" s="863">
        <f>IF(INDEX(HwyTransitModelGroup,A82,1)=Hwy,0.00000110231131*(C95*(1-M95)*VLOOKUP(K95,EmAuto1,3)-D95*(1-N95)*VLOOKUP(L95,EmAuto1,3)+(O95*(1-M95)-P95*(1-N95))*VLOOKUP(0,EmAuto1,3))+0.00000110231131*(C95*M95*VLOOKUP(K95,EmTruck1,3)-D95*N95*VLOOKUP(L95,EmTruck1,3)+(O95*M95-P95*N95)*VLOOKUP(0,EmTruck1,3)),0)</f>
        <v>11.419523660709389</v>
      </c>
      <c r="AF95" s="861">
        <f>IF(INDEX(HwyTransitModelGroup,A82,1)=Hwy,0.00000110231131*(C95*(1-M95)*VLOOKUP(K95,EmAuto1,4)-D95*(1-N95)*VLOOKUP(L95,EmAuto1,4)+(O95*(1-M95)-P95*(1-N95))*VLOOKUP(0,EmAuto1,4))+0.00000110231131*(C95*M95*VLOOKUP(K95,EmTruck1,4)-D95*N95*VLOOKUP(L95,EmTruck1,4)+(O95*M95-P95*N95)*VLOOKUP(0,EmTruck1,4)),0)</f>
        <v>2.1605002760037441E-2</v>
      </c>
      <c r="AG95" s="863">
        <f>IF(INDEX(HwyTransitModelGroup,A82,1)=Hwy,0.00000110231131*(C95*(1-M95)*VLOOKUP(K95,EmAuto1,5)-D95*(1-N95)*VLOOKUP(L95,EmAuto1,5)+(O95*(1-M95)-P95*(1-N95))*VLOOKUP(0,EmAuto1,5))+0.00000110231131*(C95*M95*VLOOKUP(K95,EmTruck1,5)-D95*N95*VLOOKUP(L95,EmTruck1,5)+(O95*M95-P95*N95)*VLOOKUP(0,EmTruck1,5)),0)</f>
        <v>1.5503490929758798E-4</v>
      </c>
      <c r="AH95" s="861">
        <f>IF(INDEX(HwyTransitModelGroup,A82,1)=Hwy,0.00000110231131*(C95*(1-M95)*VLOOKUP(K95,EmAuto1,6)-D95*(1-N95)*VLOOKUP(L95,EmAuto1,6)+(O95*(1-M95)-P95*(1-N95))*VLOOKUP(0,EmAuto1,6))+0.00000110231131*(C95*M95*VLOOKUP(K95,EmTruck1,6)-D95*N95*VLOOKUP(L95,EmTruck1,6)+(O95*M95-P95*N95)*VLOOKUP(0,EmTruck1,6)),0)</f>
        <v>1.0887482952719517E-4</v>
      </c>
      <c r="AI95" s="863">
        <f>IF(INDEX(HwyTransitModelGroup,A82,1)=Hwy,0.00000110231131*(C95*(1-M95)*VLOOKUP(K95,EmAuto1,7)-D95*(1-N95)*VLOOKUP(L95,EmAuto1,7)+(O95*(1-M95)-P95*(1-N95))*VLOOKUP(0,EmAuto1,7))+0.00000110231131*(C95*M95*VLOOKUP(K95,EmTruck1,7)-D95*N95*VLOOKUP(L95,EmTruck1,7)+(O95*M95-P95*N95)*VLOOKUP(0,EmTruck1,7)),0)</f>
        <v>2.7528309194285662E-3</v>
      </c>
      <c r="AJ95" s="861">
        <f>IF(INDEX(HwyTransitModelGroup,A82,1)=Hwy,0.00000110231131*(C95*(1-M95)*VLOOKUP(K95,EmAuto1,8)-D95*(1-N95)*VLOOKUP(L95,EmAuto1,8)+(O95*(1-M95)-P95*(1-N95))*VLOOKUP(0,EmAuto1,8))+0.00000110231131*(C95*M95*VLOOKUP(K95,EmTruck1,8)-D95*N95*VLOOKUP(L95,EmTruck1,8)+(O95*M95-P95*N95)*VLOOKUP(0,EmTruck1,8)),0)</f>
        <v>1.3706785223892179E-4</v>
      </c>
      <c r="AK95" s="401">
        <f>IF(INDEX(HwyTransitModelGroup,A82,1)=PARAMETERS!$J$9,0.00000110231131*(C95*VLOOKUP(K95,EmBus1,2)-D95*VLOOKUP(L95,EmBus1,2)+(O95-P95)*VLOOKUP(0,EmBus1,2)),0)</f>
        <v>0</v>
      </c>
      <c r="AL95" s="863">
        <f>IF(INDEX(HwyTransitModelGroup,A82,1)=PARAMETERS!$J$9,0.00000110231131*(C95*VLOOKUP(K95,EmBus1,3)-D95*VLOOKUP(L95,EmBus1,3)+(O95-P95)*VLOOKUP(0,EmBus1,3)),0)</f>
        <v>0</v>
      </c>
      <c r="AM95" s="861">
        <f>IF(INDEX(HwyTransitModelGroup,A82,1)=PARAMETERS!$J$9,0.00000110231131*(C95*VLOOKUP(K95,EmBus1,4)-D95*VLOOKUP(L95,EmBus1,4)+(O95-P95)*VLOOKUP(0,EmBus1,4)),0)</f>
        <v>0</v>
      </c>
      <c r="AN95" s="863">
        <f>IF(INDEX(HwyTransitModelGroup,A82,1)=PARAMETERS!$J$9,0.00000110231131*(C95*VLOOKUP(K95,EmBus1,5)-D95*VLOOKUP(L95,EmBus1,5)+(O95-P95)*VLOOKUP(0,EmBus1,5)),0)</f>
        <v>0</v>
      </c>
      <c r="AO95" s="861">
        <f>IF(INDEX(HwyTransitModelGroup,A82,1)=PARAMETERS!$J$9,0.00000110231131*(C95*VLOOKUP(K95,EmBus1,6)-D95*VLOOKUP(L95,EmBus1,6)+(O95-P95)*VLOOKUP(0,EmBus1,6)),0)</f>
        <v>0</v>
      </c>
      <c r="AP95" s="863">
        <f>IF(INDEX(HwyTransitModelGroup,A82,1)=PARAMETERS!$J$9,0.00000110231131*(C95*VLOOKUP(K95,EmBus1,7)-D95*VLOOKUP(L95,EmBus1,7)+(O95-P95)*VLOOKUP(0,EmBus1,7)),0)</f>
        <v>0</v>
      </c>
      <c r="AQ95" s="861">
        <f>IF(INDEX(HwyTransitModelGroup,A82,1)=PARAMETERS!$J$9,0.00000110231131*(C95*VLOOKUP(K95,EmBus1,8)-D95*VLOOKUP(L95,EmBus1,8)+(O95-P95)*VLOOKUP(0,EmBus1,8)),0)</f>
        <v>0</v>
      </c>
      <c r="AR95" s="401">
        <f>IF(INDEX(HwyTransitModelGroup,A82,1)=PARAMETERS!$J$10,0.00000110231131*((C95-D95)*PARAMETERS!$CQ$28),0)</f>
        <v>0</v>
      </c>
      <c r="AS95" s="863">
        <f>IF(INDEX(HwyTransitModelGroup,A82,1)=PARAMETERS!$J$10,0.00000110231131*((C95-D95)*PARAMETERS!$CR$28),0)</f>
        <v>0</v>
      </c>
      <c r="AT95" s="861">
        <f>IF(INDEX(HwyTransitModelGroup,A82,1)=PARAMETERS!$J$10,0.00000110231131*((C95-D95)*PARAMETERS!$CS$28),0)</f>
        <v>0</v>
      </c>
      <c r="AU95" s="863">
        <f>IF(INDEX(HwyTransitModelGroup,A82,1)=PARAMETERS!$J$10,0.00000110231131*((C95-D95)*PARAMETERS!$CT$28),0)</f>
        <v>0</v>
      </c>
      <c r="AV95" s="861">
        <f>IF(INDEX(HwyTransitModelGroup,A82,1)=PARAMETERS!$J$10,0.00000110231131*((C95-D95)*PARAMETERS!$CU$28),0)</f>
        <v>0</v>
      </c>
      <c r="AW95" s="863">
        <f>IF(INDEX(HwyTransitModelGroup,A82,1)=PARAMETERS!$J$10,0.00000110231131*((C95-D95)*PARAMETERS!$CV$28),0)</f>
        <v>0</v>
      </c>
      <c r="AX95" s="861">
        <f>IF(INDEX(HwyTransitModelGroup,A82,1)=PARAMETERS!$J$10,0.00000110231131*((C95-D95)*PARAMETERS!$CW$28),0)</f>
        <v>0</v>
      </c>
      <c r="AY95" s="401">
        <f>IF(INDEX(HwyTransitModelGroup,A82,1)=PARAMETERS!$J$11,0.00000110231131*((C95-D95)*PARAMETERS!$CQ$36),0)</f>
        <v>0</v>
      </c>
      <c r="AZ95" s="863">
        <f>IF(INDEX(HwyTransitModelGroup,A82,1)=PARAMETERS!$J$11,0.00000110231131*((C95-D95)*PARAMETERS!$CR$36),0)</f>
        <v>0</v>
      </c>
      <c r="BA95" s="861">
        <f>IF(INDEX(HwyTransitModelGroup,A82,1)=PARAMETERS!$J$11,0.00000110231131*((C95-D95)*PARAMETERS!$CS$36),0)</f>
        <v>0</v>
      </c>
      <c r="BB95" s="863">
        <f>IF(INDEX(HwyTransitModelGroup,A82,1)=PARAMETERS!$J$11,0.00000110231131*((C95-D95)*PARAMETERS!$CT$36),0)</f>
        <v>0</v>
      </c>
      <c r="BC95" s="861">
        <f>IF(INDEX(HwyTransitModelGroup,A82,1)=PARAMETERS!$J$11,0.00000110231131*((C95-D95)*PARAMETERS!$CU$36),0)</f>
        <v>0</v>
      </c>
      <c r="BD95" s="863">
        <f>IF(INDEX(HwyTransitModelGroup,A82,1)=PARAMETERS!$J$11,0.00000110231131*((C95-D95)*PARAMETERS!$CV$36),0)</f>
        <v>0</v>
      </c>
      <c r="BE95" s="865">
        <f>IF(INDEX(HwyTransitModelGroup,A82,1)=PARAMETERS!$J$11,0.00000110231131*((C95-D95)*PARAMETERS!$CW$36),0)</f>
        <v>0</v>
      </c>
      <c r="BF95" s="729">
        <f t="shared" si="35"/>
        <v>4.0997198255138905</v>
      </c>
      <c r="BG95" s="867">
        <f t="shared" si="36"/>
        <v>469.27118287885878</v>
      </c>
      <c r="BH95" s="867">
        <f t="shared" si="37"/>
        <v>238.37711482658275</v>
      </c>
      <c r="BI95" s="867">
        <f t="shared" si="38"/>
        <v>13.22006654298573</v>
      </c>
      <c r="BJ95" s="867">
        <f t="shared" si="39"/>
        <v>4.6936725189001542</v>
      </c>
      <c r="BK95" s="869">
        <f t="shared" si="40"/>
        <v>2.2327279136268947</v>
      </c>
      <c r="BL95" s="392"/>
      <c r="BN95" s="375">
        <f t="shared" si="44"/>
        <v>2029</v>
      </c>
      <c r="BO95" s="871">
        <f t="shared" ca="1" si="41"/>
        <v>4.3559000578318656</v>
      </c>
      <c r="BP95" s="871">
        <f t="shared" ca="1" si="42"/>
        <v>-13.030096809294076</v>
      </c>
      <c r="BQ95" s="871">
        <f t="shared" ca="1" si="42"/>
        <v>11.221148576945223</v>
      </c>
      <c r="BR95" s="871">
        <f t="shared" ca="1" si="42"/>
        <v>-21.020364291804132</v>
      </c>
      <c r="BS95" s="871">
        <f t="shared" ca="1" si="42"/>
        <v>943.57908925058496</v>
      </c>
      <c r="BT95" s="871">
        <f t="shared" ca="1" si="42"/>
        <v>1311.4046636281091</v>
      </c>
    </row>
    <row r="96" spans="1:76" x14ac:dyDescent="0.25">
      <c r="B96" s="375">
        <f t="shared" si="43"/>
        <v>2031</v>
      </c>
      <c r="C96" s="401">
        <f>MAX(TREND(C88:C89,B88:B89,B96),0)</f>
        <v>609915</v>
      </c>
      <c r="D96" s="402">
        <f>MAX(TREND(D88:D89,B88:B89,B96),0)</f>
        <v>599968.75</v>
      </c>
      <c r="E96" s="401">
        <f>MAX(TREND(E88:E89,B88:B89,B96),0)</f>
        <v>16516.25</v>
      </c>
      <c r="F96" s="402">
        <f>MAX(TREND(F88:F89,B88:B89,B96),0)</f>
        <v>12775</v>
      </c>
      <c r="G96" s="401">
        <f>MAX(TREND(G88:G89,B88:B89,B96),0)</f>
        <v>0</v>
      </c>
      <c r="H96" s="402">
        <f>MAX(TREND(H88:H89,B88:B89,B96),0)</f>
        <v>0</v>
      </c>
      <c r="I96" s="401">
        <f>MAX(TREND(I88:I89,B88:B89,B96),0)</f>
        <v>0</v>
      </c>
      <c r="J96" s="402">
        <f>MAX(TREND(J88:J89,B88:B89,B96),0)</f>
        <v>0</v>
      </c>
      <c r="K96" s="435">
        <f>IFERROR(IF(INDEX(HwyTransitModelGroup,A82,1)=Hwy,MAX(5,ROUND(C96/E96,1)),MAX(5,ROUND(G96/I96,1))),55)</f>
        <v>36.9</v>
      </c>
      <c r="L96" s="436">
        <f>IFERROR(IF(INDEX(HwyTransitModelGroup,A82,1)=Hwy,MAX(5,ROUND(D96/F96,1)),MAX(5,ROUND(H96/J96,1))),55)</f>
        <v>47</v>
      </c>
      <c r="M96" s="405">
        <f>MIN(MAX(TREND(M88:M89,B88:B89,B96),0),1)</f>
        <v>0.24</v>
      </c>
      <c r="N96" s="406">
        <f>MIN(MAX(TREND(N88:N89,B88:B89,B96),0),1)</f>
        <v>0.24</v>
      </c>
      <c r="O96" s="401">
        <f>MAX(TREND(O88:O89,B88:B89,B96),0)</f>
        <v>0</v>
      </c>
      <c r="P96" s="402">
        <f>MAX(TREND(P88:P89,B88:B89,B96),0)</f>
        <v>0</v>
      </c>
      <c r="Q96" s="729">
        <f>IF(INDEX(HwyTransitModelGroup,A82,1)=Hwy,C96*(1-M96)*0.00000110231131*(VLOOKUP(K96,EmAuto1,2)*VLOOKUP(ProjLoc,EmCost,2)+VLOOKUP(K96,EmAuto1,3)*VLOOKUP(ProjLoc,EmCost,3)*(1+CO2Uprater)^($B96-YearCurrent)+VLOOKUP(K96,EmAuto1,4)*VLOOKUP(ProjLoc,EmCost,4)+VLOOKUP(K96,EmAuto1,5)*VLOOKUP(ProjLoc,EmCost,5)+VLOOKUP(K96,EmAuto1,6)*VLOOKUP(ProjLoc,EmCost,6)+VLOOKUP(K96,EmAuto1,7)*VLOOKUP(ProjLoc,EmCost,7))+C96*M96*0.00000110231131*(VLOOKUP(K96,EmTruck1,2)*VLOOKUP(ProjLoc,EmCost,2)+VLOOKUP(K96,EmTruck1,3)*VLOOKUP(ProjLoc,EmCost,3)*(1+CO2Uprater)^($B96-YearCurrent)+VLOOKUP(K96,EmTruck1,4)*VLOOKUP(ProjLoc,EmCost,4)+VLOOKUP(K96,EmTruck1,5)*VLOOKUP(ProjLoc,EmCost,5)+VLOOKUP(K96,EmTruck1,6)*VLOOKUP(ProjLoc,EmCost,6)+VLOOKUP(K96,EmTruck1,7)*VLOOKUP(ProjLoc,EmCost,7)),0)</f>
        <v>21261.0363292851</v>
      </c>
      <c r="R96" s="802">
        <f>IF(INDEX(HwyTransitModelGroup,A82,1)=Hwy,D96*(1-N96)*0.00000110231131*(VLOOKUP(L96,EmAuto1,2)*VLOOKUP(ProjLoc,EmCost,2)+VLOOKUP(L96,EmAuto1,3)*VLOOKUP(ProjLoc,EmCost,3)*(1+CO2Uprater)^($B96-YearCurrent)+VLOOKUP(L96,EmAuto1,4)*VLOOKUP(ProjLoc,EmCost,4)+VLOOKUP(L96,EmAuto1,5)*VLOOKUP(ProjLoc,EmCost,5)+VLOOKUP(L96,EmAuto1,6)*VLOOKUP(ProjLoc,EmCost,6)+VLOOKUP(L96,EmAuto1,7)*VLOOKUP(ProjLoc,EmCost,7))+D96*N96*0.00000110231131*(VLOOKUP(L96,EmTruck1,2)*VLOOKUP(ProjLoc,EmCost,2)+VLOOKUP(L96,EmTruck1,3)*VLOOKUP(ProjLoc,EmCost,3)*(1+CO2Uprater)^($B96-YearCurrent)+VLOOKUP(L96,EmTruck1,4)*VLOOKUP(ProjLoc,EmCost,4)+VLOOKUP(L96,EmTruck1,5)*VLOOKUP(ProjLoc,EmCost,5)+VLOOKUP(L96,EmTruck1,6)*VLOOKUP(ProjLoc,EmCost,6)+VLOOKUP(L96,EmTruck1,7)*VLOOKUP(ProjLoc,EmCost,7)),0)</f>
        <v>19963.490869641959</v>
      </c>
      <c r="S96" s="729">
        <f>IF(INDEX(HwyTransitModelGroup,A82,1)=Hwy,O96*(1-M96)*0.00000110231131*(VLOOKUP(0,EmAuto1,2)*VLOOKUP(ProjLoc,EmCost,2)+VLOOKUP(0,EmAuto1,3)*VLOOKUP(ProjLoc,EmCost,3)*(1+CO2Uprater)^($B96-YearCurrent)+VLOOKUP(0,EmAuto1,4)*VLOOKUP(ProjLoc,EmCost,4)+VLOOKUP(0,EmAuto1,5)*VLOOKUP(ProjLoc,EmCost,5)+VLOOKUP(0,EmAuto1,6)*VLOOKUP(ProjLoc,EmCost,6)+VLOOKUP(0,EmAuto1,7)*VLOOKUP(ProjLoc,EmCost,7))+O96*M96*0.00000110231131*(VLOOKUP(0,EmTruck1,2)*VLOOKUP(ProjLoc,EmCost,2)+VLOOKUP(0,EmTruck1,3)*VLOOKUP(ProjLoc,EmCost,3)*(1+CO2Uprater)^($B96-YearCurrent)+VLOOKUP(0,EmTruck1,4)*VLOOKUP(ProjLoc,EmCost,4)+VLOOKUP(0,EmTruck1,5)*VLOOKUP(ProjLoc,EmCost,5)+VLOOKUP(0,EmTruck1,6)*VLOOKUP(ProjLoc,EmCost,6)+VLOOKUP(0,EmTruck1,7)*VLOOKUP(ProjLoc,EmCost,7)),0)</f>
        <v>0</v>
      </c>
      <c r="T96" s="802">
        <f>IF(INDEX(HwyTransitModelGroup,A82,1)=Hwy,P96*(1-N96)*0.00000110231131*(VLOOKUP(0,EmAuto1,2)*VLOOKUP(ProjLoc,EmCost,2)+VLOOKUP(0,EmAuto1,3)*VLOOKUP(ProjLoc,EmCost,3)*(1+CO2Uprater)^($B96-YearCurrent)+VLOOKUP(0,EmAuto1,4)*VLOOKUP(ProjLoc,EmCost,4)+VLOOKUP(0,EmAuto1,5)*VLOOKUP(ProjLoc,EmCost,5)+VLOOKUP(0,EmAuto1,6)*VLOOKUP(ProjLoc,EmCost,6)+VLOOKUP(0,EmAuto1,7)*VLOOKUP(ProjLoc,EmCost,7))+P96*N96*0.00000110231131*(VLOOKUP(0,EmTruck1,2)*VLOOKUP(ProjLoc,EmCost,2)+VLOOKUP(0,EmTruck1,3)*VLOOKUP(ProjLoc,EmCost,3)*(1+CO2Uprater)^($B96-YearCurrent)+VLOOKUP(0,EmTruck1,4)*VLOOKUP(ProjLoc,EmCost,4)+VLOOKUP(0,EmTruck1,5)*VLOOKUP(ProjLoc,EmCost,5)+VLOOKUP(0,EmTruck1,6)*VLOOKUP(ProjLoc,EmCost,6)+VLOOKUP(0,EmTruck1,7)*VLOOKUP(ProjLoc,EmCost,7)),0)</f>
        <v>0</v>
      </c>
      <c r="U96" s="729">
        <f>IF(INDEX(HwyTransitModelGroup,A82,1)=PARAMETERS!$J$9,C96*0.00000110231131*(VLOOKUP(K96,EmBus1,2)*VLOOKUP(ProjLoc,EmCost,2)+VLOOKUP(K96,EmBus1,3)*VLOOKUP(ProjLoc,EmCost,3)*(1+CO2Uprater)^($B96-YearCurrent)+VLOOKUP(K96,EmBus1,4)*VLOOKUP(ProjLoc,EmCost,4)+VLOOKUP(K96,EmBus1,5)*VLOOKUP(ProjLoc,EmCost,5)+VLOOKUP(K96,EmBus1,6)*VLOOKUP(ProjLoc,EmCost,6)+VLOOKUP(K96,EmBus1,7)*VLOOKUP(ProjLoc,EmCost,7)),0)</f>
        <v>0</v>
      </c>
      <c r="V96" s="802">
        <f>IF(INDEX(HwyTransitModelGroup,A82,1)=PARAMETERS!$J$9,D96*0.00000110231131*(VLOOKUP(L96,EmBus1,2)*VLOOKUP(ProjLoc,EmCost,2)+VLOOKUP(L96,EmBus1,3)*VLOOKUP(ProjLoc,EmCost,3)*(1+CO2Uprater)^($B96-YearCurrent)+VLOOKUP(L96,EmBus1,4)*VLOOKUP(ProjLoc,EmCost,4)+VLOOKUP(L96,EmBus1,5)*VLOOKUP(ProjLoc,EmCost,5)+VLOOKUP(L96,EmBus1,6)*VLOOKUP(ProjLoc,EmCost,6)+VLOOKUP(L96,EmBus1,7)*VLOOKUP(ProjLoc,EmCost,7)),0)</f>
        <v>0</v>
      </c>
      <c r="W96" s="808">
        <f>IF(INDEX(HwyTransitModelGroup,A82,1)=PARAMETERS!$J$10,C96*0.00000110231131*(PARAMETERS!$CQ$28*VLOOKUP(ProjLoc,EmCost,2)+PARAMETERS!$CR$28*VLOOKUP(ProjLoc,EmCost,3)*(1+CO2Uprater)^($B96-YearCurrent)+PARAMETERS!$CS$28*VLOOKUP(ProjLoc,EmCost,4)+PARAMETERS!$CT$28*VLOOKUP(ProjLoc,EmCost,5)+PARAMETERS!$CU$28*VLOOKUP(ProjLoc,EmCost,6)+PARAMETERS!$CV$28*VLOOKUP(ProjLoc,EmCost,7)),0)</f>
        <v>0</v>
      </c>
      <c r="X96" s="844">
        <f>IF(INDEX(HwyTransitModelGroup,A82,1)=PARAMETERS!$J$10,D96*0.00000110231131*(PARAMETERS!$CQ$28*VLOOKUP(ProjLoc,EmCost,2)+PARAMETERS!$CR$28*VLOOKUP(ProjLoc,EmCost,3)*(1+CO2Uprater)^($B96-YearCurrent)+PARAMETERS!$CS$28*VLOOKUP(ProjLoc,EmCost,4)+PARAMETERS!$CT$28*VLOOKUP(ProjLoc,EmCost,5)+PARAMETERS!$CU$28*VLOOKUP(ProjLoc,EmCost,6)+PARAMETERS!$CV$28*VLOOKUP(ProjLoc,EmCost,7)),0)</f>
        <v>0</v>
      </c>
      <c r="Y96" s="808">
        <f>IF(INDEX(HwyTransitModelGroup,A82,1)=PARAMETERS!$J$11,C96*0.00000110231131*(PARAMETERS!$CQ$36*VLOOKUP(ProjLoc,EmCost,2)+PARAMETERS!$CR$36*VLOOKUP(ProjLoc,EmCost,3)*(1+CO2Uprater)^($B96-YearCurrent)+PARAMETERS!$CS$36*VLOOKUP(ProjLoc,EmCost,4)+PARAMETERS!$CT$36*VLOOKUP(ProjLoc,EmCost,5)+PARAMETERS!$CU$36*VLOOKUP(ProjLoc,EmCost,6)+PARAMETERS!$CV$36*VLOOKUP(ProjLoc,EmCost,7)),0)</f>
        <v>0</v>
      </c>
      <c r="Z96" s="844">
        <f>IF(INDEX(HwyTransitModelGroup,A82,1)=PARAMETERS!$J$11,D96*0.00000110231131*(PARAMETERS!$CQ$36*VLOOKUP(ProjLoc,EmCost,2)+PARAMETERS!$CR$36*VLOOKUP(ProjLoc,EmCost,3)*(1+CO2Uprater)^($B96-YearCurrent)+PARAMETERS!$CS$36*VLOOKUP(ProjLoc,EmCost,4)+PARAMETERS!$CT$36*VLOOKUP(ProjLoc,EmCost,5)+PARAMETERS!$CU$36*VLOOKUP(ProjLoc,EmCost,6)+PARAMETERS!$CV$36*VLOOKUP(ProjLoc,EmCost,7)),0)</f>
        <v>0</v>
      </c>
      <c r="AA96" s="369">
        <f t="shared" si="33"/>
        <v>1297.5454596431409</v>
      </c>
      <c r="AB96" s="370">
        <f t="shared" si="34"/>
        <v>911.63822875580752</v>
      </c>
      <c r="AC96" s="371"/>
      <c r="AD96" s="401">
        <f>IF(INDEX(HwyTransitModelGroup,A82,1)=Hwy,0.00000110231131*(C96*(1-M96)*VLOOKUP(K96,EmAuto1,2)-D96*(1-N96)*VLOOKUP(L96,EmAuto1,2)+(O96*(1-M96)-P96*(1-N96))*VLOOKUP(0,EmAuto1,2))+0.00000110231131*(C96*M96*VLOOKUP(K96,EmTruck1,2)-D96*N96*VLOOKUP(L96,EmTruck1,2)+(O96*M96-P96*N96)*VLOOKUP(0,EmTruck1,2)),0)</f>
        <v>8.2029508297941103E-2</v>
      </c>
      <c r="AE96" s="863">
        <f>IF(INDEX(HwyTransitModelGroup,A82,1)=Hwy,0.00000110231131*(C96*(1-M96)*VLOOKUP(K96,EmAuto1,3)-D96*(1-N96)*VLOOKUP(L96,EmAuto1,3)+(O96*(1-M96)-P96*(1-N96))*VLOOKUP(0,EmAuto1,3))+0.00000110231131*(C96*M96*VLOOKUP(K96,EmTruck1,3)-D96*N96*VLOOKUP(L96,EmTruck1,3)+(O96*M96-P96*N96)*VLOOKUP(0,EmTruck1,3)),0)</f>
        <v>15.564231907609507</v>
      </c>
      <c r="AF96" s="861">
        <f>IF(INDEX(HwyTransitModelGroup,A82,1)=Hwy,0.00000110231131*(C96*(1-M96)*VLOOKUP(K96,EmAuto1,4)-D96*(1-N96)*VLOOKUP(L96,EmAuto1,4)+(O96*(1-M96)-P96*(1-N96))*VLOOKUP(0,EmAuto1,4))+0.00000110231131*(C96*M96*VLOOKUP(K96,EmTruck1,4)-D96*N96*VLOOKUP(L96,EmTruck1,4)+(O96*M96-P96*N96)*VLOOKUP(0,EmTruck1,4)),0)</f>
        <v>2.4613666369955701E-2</v>
      </c>
      <c r="AG96" s="863">
        <f>IF(INDEX(HwyTransitModelGroup,A82,1)=Hwy,0.00000110231131*(C96*(1-M96)*VLOOKUP(K96,EmAuto1,5)-D96*(1-N96)*VLOOKUP(L96,EmAuto1,5)+(O96*(1-M96)-P96*(1-N96))*VLOOKUP(0,EmAuto1,5))+0.00000110231131*(C96*M96*VLOOKUP(K96,EmTruck1,5)-D96*N96*VLOOKUP(L96,EmTruck1,5)+(O96*M96-P96*N96)*VLOOKUP(0,EmTruck1,5)),0)</f>
        <v>1.4240751546555164E-4</v>
      </c>
      <c r="AH96" s="861">
        <f>IF(INDEX(HwyTransitModelGroup,A82,1)=Hwy,0.00000110231131*(C96*(1-M96)*VLOOKUP(K96,EmAuto1,6)-D96*(1-N96)*VLOOKUP(L96,EmAuto1,6)+(O96*(1-M96)-P96*(1-N96))*VLOOKUP(0,EmAuto1,6))+0.00000110231131*(C96*M96*VLOOKUP(K96,EmTruck1,6)-D96*N96*VLOOKUP(L96,EmTruck1,6)+(O96*M96-P96*N96)*VLOOKUP(0,EmTruck1,6)),0)</f>
        <v>1.0812059616186522E-4</v>
      </c>
      <c r="AI96" s="863">
        <f>IF(INDEX(HwyTransitModelGroup,A82,1)=Hwy,0.00000110231131*(C96*(1-M96)*VLOOKUP(K96,EmAuto1,7)-D96*(1-N96)*VLOOKUP(L96,EmAuto1,7)+(O96*(1-M96)-P96*(1-N96))*VLOOKUP(0,EmAuto1,7))+0.00000110231131*(C96*M96*VLOOKUP(K96,EmTruck1,7)-D96*N96*VLOOKUP(L96,EmTruck1,7)+(O96*M96-P96*N96)*VLOOKUP(0,EmTruck1,7)),0)</f>
        <v>3.1397890881755628E-3</v>
      </c>
      <c r="AJ96" s="861">
        <f>IF(INDEX(HwyTransitModelGroup,A82,1)=Hwy,0.00000110231131*(C96*(1-M96)*VLOOKUP(K96,EmAuto1,8)-D96*(1-N96)*VLOOKUP(L96,EmAuto1,8)+(O96*(1-M96)-P96*(1-N96))*VLOOKUP(0,EmAuto1,8))+0.00000110231131*(C96*M96*VLOOKUP(K96,EmTruck1,8)-D96*N96*VLOOKUP(L96,EmTruck1,8)+(O96*M96-P96*N96)*VLOOKUP(0,EmTruck1,8)),0)</f>
        <v>1.5613105427812008E-4</v>
      </c>
      <c r="AK96" s="401">
        <f>IF(INDEX(HwyTransitModelGroup,A82,1)=PARAMETERS!$J$9,0.00000110231131*(C96*VLOOKUP(K96,EmBus1,2)-D96*VLOOKUP(L96,EmBus1,2)+(O96-P96)*VLOOKUP(0,EmBus1,2)),0)</f>
        <v>0</v>
      </c>
      <c r="AL96" s="863">
        <f>IF(INDEX(HwyTransitModelGroup,A82,1)=PARAMETERS!$J$9,0.00000110231131*(C96*VLOOKUP(K96,EmBus1,3)-D96*VLOOKUP(L96,EmBus1,3)+(O96-P96)*VLOOKUP(0,EmBus1,3)),0)</f>
        <v>0</v>
      </c>
      <c r="AM96" s="861">
        <f>IF(INDEX(HwyTransitModelGroup,A82,1)=PARAMETERS!$J$9,0.00000110231131*(C96*VLOOKUP(K96,EmBus1,4)-D96*VLOOKUP(L96,EmBus1,4)+(O96-P96)*VLOOKUP(0,EmBus1,4)),0)</f>
        <v>0</v>
      </c>
      <c r="AN96" s="863">
        <f>IF(INDEX(HwyTransitModelGroup,A82,1)=PARAMETERS!$J$9,0.00000110231131*(C96*VLOOKUP(K96,EmBus1,5)-D96*VLOOKUP(L96,EmBus1,5)+(O96-P96)*VLOOKUP(0,EmBus1,5)),0)</f>
        <v>0</v>
      </c>
      <c r="AO96" s="861">
        <f>IF(INDEX(HwyTransitModelGroup,A82,1)=PARAMETERS!$J$9,0.00000110231131*(C96*VLOOKUP(K96,EmBus1,6)-D96*VLOOKUP(L96,EmBus1,6)+(O96-P96)*VLOOKUP(0,EmBus1,6)),0)</f>
        <v>0</v>
      </c>
      <c r="AP96" s="863">
        <f>IF(INDEX(HwyTransitModelGroup,A82,1)=PARAMETERS!$J$9,0.00000110231131*(C96*VLOOKUP(K96,EmBus1,7)-D96*VLOOKUP(L96,EmBus1,7)+(O96-P96)*VLOOKUP(0,EmBus1,7)),0)</f>
        <v>0</v>
      </c>
      <c r="AQ96" s="861">
        <f>IF(INDEX(HwyTransitModelGroup,A82,1)=PARAMETERS!$J$9,0.00000110231131*(C96*VLOOKUP(K96,EmBus1,8)-D96*VLOOKUP(L96,EmBus1,8)+(O96-P96)*VLOOKUP(0,EmBus1,8)),0)</f>
        <v>0</v>
      </c>
      <c r="AR96" s="401">
        <f>IF(INDEX(HwyTransitModelGroup,A82,1)=PARAMETERS!$J$10,0.00000110231131*((C96-D96)*PARAMETERS!$CQ$28),0)</f>
        <v>0</v>
      </c>
      <c r="AS96" s="863">
        <f>IF(INDEX(HwyTransitModelGroup,A82,1)=PARAMETERS!$J$10,0.00000110231131*((C96-D96)*PARAMETERS!$CR$28),0)</f>
        <v>0</v>
      </c>
      <c r="AT96" s="861">
        <f>IF(INDEX(HwyTransitModelGroup,A82,1)=PARAMETERS!$J$10,0.00000110231131*((C96-D96)*PARAMETERS!$CS$28),0)</f>
        <v>0</v>
      </c>
      <c r="AU96" s="863">
        <f>IF(INDEX(HwyTransitModelGroup,A82,1)=PARAMETERS!$J$10,0.00000110231131*((C96-D96)*PARAMETERS!$CT$28),0)</f>
        <v>0</v>
      </c>
      <c r="AV96" s="861">
        <f>IF(INDEX(HwyTransitModelGroup,A82,1)=PARAMETERS!$J$10,0.00000110231131*((C96-D96)*PARAMETERS!$CU$28),0)</f>
        <v>0</v>
      </c>
      <c r="AW96" s="863">
        <f>IF(INDEX(HwyTransitModelGroup,A82,1)=PARAMETERS!$J$10,0.00000110231131*((C96-D96)*PARAMETERS!$CV$28),0)</f>
        <v>0</v>
      </c>
      <c r="AX96" s="861">
        <f>IF(INDEX(HwyTransitModelGroup,A82,1)=PARAMETERS!$J$10,0.00000110231131*((C96-D96)*PARAMETERS!$CW$28),0)</f>
        <v>0</v>
      </c>
      <c r="AY96" s="401">
        <f>IF(INDEX(HwyTransitModelGroup,A82,1)=PARAMETERS!$J$11,0.00000110231131*((C96-D96)*PARAMETERS!$CQ$36),0)</f>
        <v>0</v>
      </c>
      <c r="AZ96" s="863">
        <f>IF(INDEX(HwyTransitModelGroup,A82,1)=PARAMETERS!$J$11,0.00000110231131*((C96-D96)*PARAMETERS!$CR$36),0)</f>
        <v>0</v>
      </c>
      <c r="BA96" s="861">
        <f>IF(INDEX(HwyTransitModelGroup,A82,1)=PARAMETERS!$J$11,0.00000110231131*((C96-D96)*PARAMETERS!$CS$36),0)</f>
        <v>0</v>
      </c>
      <c r="BB96" s="863">
        <f>IF(INDEX(HwyTransitModelGroup,A82,1)=PARAMETERS!$J$11,0.00000110231131*((C96-D96)*PARAMETERS!$CT$36),0)</f>
        <v>0</v>
      </c>
      <c r="BC96" s="861">
        <f>IF(INDEX(HwyTransitModelGroup,A82,1)=PARAMETERS!$J$11,0.00000110231131*((C96-D96)*PARAMETERS!$CU$36),0)</f>
        <v>0</v>
      </c>
      <c r="BD96" s="863">
        <f>IF(INDEX(HwyTransitModelGroup,A82,1)=PARAMETERS!$J$11,0.00000110231131*((C96-D96)*PARAMETERS!$CV$36),0)</f>
        <v>0</v>
      </c>
      <c r="BE96" s="865">
        <f>IF(INDEX(HwyTransitModelGroup,A82,1)=PARAMETERS!$J$11,0.00000110231131*((C96-D96)*PARAMETERS!$CW$36),0)</f>
        <v>0</v>
      </c>
      <c r="BF96" s="729">
        <f t="shared" si="35"/>
        <v>4.6106275564949621</v>
      </c>
      <c r="BG96" s="867">
        <f t="shared" si="36"/>
        <v>627.29297325070411</v>
      </c>
      <c r="BH96" s="867">
        <f t="shared" si="37"/>
        <v>261.12785613295364</v>
      </c>
      <c r="BI96" s="867">
        <f t="shared" si="38"/>
        <v>11.676258785877698</v>
      </c>
      <c r="BJ96" s="867">
        <f t="shared" si="39"/>
        <v>4.4818817056659128</v>
      </c>
      <c r="BK96" s="869">
        <f t="shared" si="40"/>
        <v>2.4486313241127045</v>
      </c>
      <c r="BL96" s="392"/>
      <c r="BN96" s="375">
        <f t="shared" si="44"/>
        <v>2030</v>
      </c>
      <c r="BO96" s="871">
        <f t="shared" ca="1" si="41"/>
        <v>1.1591584353482256</v>
      </c>
      <c r="BP96" s="871">
        <f t="shared" ca="1" si="42"/>
        <v>-13.265317607353373</v>
      </c>
      <c r="BQ96" s="871">
        <f t="shared" ca="1" si="42"/>
        <v>11.419523660709389</v>
      </c>
      <c r="BR96" s="871">
        <f t="shared" ca="1" si="42"/>
        <v>-21.264807223453371</v>
      </c>
      <c r="BS96" s="871">
        <f t="shared" ca="1" si="42"/>
        <v>988.78882416703209</v>
      </c>
      <c r="BT96" s="871">
        <f t="shared" ca="1" si="42"/>
        <v>1348.2102461409388</v>
      </c>
    </row>
    <row r="97" spans="2:72" x14ac:dyDescent="0.25">
      <c r="B97" s="375">
        <f t="shared" si="43"/>
        <v>2032</v>
      </c>
      <c r="C97" s="401">
        <f>MAX(TREND(C88:C89,B88:B89,B97),0)</f>
        <v>620573</v>
      </c>
      <c r="D97" s="402">
        <f>MAX(TREND(D88:D89,B88:B89,B97),0)</f>
        <v>610462.5</v>
      </c>
      <c r="E97" s="401">
        <f>MAX(TREND(E88:E89,B88:B89,B97),0)</f>
        <v>16826.5</v>
      </c>
      <c r="F97" s="402">
        <f>MAX(TREND(F88:F89,B88:B89,B97),0)</f>
        <v>12994</v>
      </c>
      <c r="G97" s="401">
        <f>MAX(TREND(G88:G89,B88:B89,B97),0)</f>
        <v>0</v>
      </c>
      <c r="H97" s="402">
        <f>MAX(TREND(H88:H89,B88:B89,B97),0)</f>
        <v>0</v>
      </c>
      <c r="I97" s="401">
        <f>MAX(TREND(I88:I89,B88:B89,B97),0)</f>
        <v>0</v>
      </c>
      <c r="J97" s="402">
        <f>MAX(TREND(J88:J89,B88:B89,B97),0)</f>
        <v>0</v>
      </c>
      <c r="K97" s="435">
        <f>IFERROR(IF(INDEX(HwyTransitModelGroup,A82,1)=Hwy,MAX(5,ROUND(C97/E97,1)),MAX(5,ROUND(G97/I97,1))),55)</f>
        <v>36.9</v>
      </c>
      <c r="L97" s="436">
        <f>IFERROR(IF(INDEX(HwyTransitModelGroup,A82,1)=Hwy,MAX(5,ROUND(D97/F97,1)),MAX(5,ROUND(H97/J97,1))),55)</f>
        <v>47</v>
      </c>
      <c r="M97" s="405">
        <f>MIN(MAX(TREND(M88:M89,B88:B89,B97),0),1)</f>
        <v>0.24</v>
      </c>
      <c r="N97" s="406">
        <f>MIN(MAX(TREND(N88:N89,B88:B89,B97),0),1)</f>
        <v>0.24</v>
      </c>
      <c r="O97" s="401">
        <f>MAX(TREND(O88:O89,B88:B89,B97),0)</f>
        <v>0</v>
      </c>
      <c r="P97" s="402">
        <f>MAX(TREND(P88:P89,B88:B89,B97),0)</f>
        <v>0</v>
      </c>
      <c r="Q97" s="729">
        <f>IF(INDEX(HwyTransitModelGroup,A82,1)=Hwy,C97*(1-M97)*0.00000110231131*(VLOOKUP(K97,EmAuto1,2)*VLOOKUP(ProjLoc,EmCost,2)+VLOOKUP(K97,EmAuto1,3)*VLOOKUP(ProjLoc,EmCost,3)*(1+CO2Uprater)^($B97-YearCurrent)+VLOOKUP(K97,EmAuto1,4)*VLOOKUP(ProjLoc,EmCost,4)+VLOOKUP(K97,EmAuto1,5)*VLOOKUP(ProjLoc,EmCost,5)+VLOOKUP(K97,EmAuto1,6)*VLOOKUP(ProjLoc,EmCost,6)+VLOOKUP(K97,EmAuto1,7)*VLOOKUP(ProjLoc,EmCost,7))+C97*M97*0.00000110231131*(VLOOKUP(K97,EmTruck1,2)*VLOOKUP(ProjLoc,EmCost,2)+VLOOKUP(K97,EmTruck1,3)*VLOOKUP(ProjLoc,EmCost,3)*(1+CO2Uprater)^($B97-YearCurrent)+VLOOKUP(K97,EmTruck1,4)*VLOOKUP(ProjLoc,EmCost,4)+VLOOKUP(K97,EmTruck1,5)*VLOOKUP(ProjLoc,EmCost,5)+VLOOKUP(K97,EmTruck1,6)*VLOOKUP(ProjLoc,EmCost,6)+VLOOKUP(K97,EmTruck1,7)*VLOOKUP(ProjLoc,EmCost,7)),0)</f>
        <v>21986.080295182928</v>
      </c>
      <c r="R97" s="802">
        <f>IF(INDEX(HwyTransitModelGroup,A82,1)=Hwy,D97*(1-N97)*0.00000110231131*(VLOOKUP(L97,EmAuto1,2)*VLOOKUP(ProjLoc,EmCost,2)+VLOOKUP(L97,EmAuto1,3)*VLOOKUP(ProjLoc,EmCost,3)*(1+CO2Uprater)^($B97-YearCurrent)+VLOOKUP(L97,EmAuto1,4)*VLOOKUP(ProjLoc,EmCost,4)+VLOOKUP(L97,EmAuto1,5)*VLOOKUP(ProjLoc,EmCost,5)+VLOOKUP(L97,EmAuto1,6)*VLOOKUP(ProjLoc,EmCost,6)+VLOOKUP(L97,EmAuto1,7)*VLOOKUP(ProjLoc,EmCost,7))+D97*N97*0.00000110231131*(VLOOKUP(L97,EmTruck1,2)*VLOOKUP(ProjLoc,EmCost,2)+VLOOKUP(L97,EmTruck1,3)*VLOOKUP(ProjLoc,EmCost,3)*(1+CO2Uprater)^($B97-YearCurrent)+VLOOKUP(L97,EmTruck1,4)*VLOOKUP(ProjLoc,EmCost,4)+VLOOKUP(L97,EmTruck1,5)*VLOOKUP(ProjLoc,EmCost,5)+VLOOKUP(L97,EmTruck1,6)*VLOOKUP(ProjLoc,EmCost,6)+VLOOKUP(L97,EmTruck1,7)*VLOOKUP(ProjLoc,EmCost,7)),0)</f>
        <v>20648.015315654404</v>
      </c>
      <c r="S97" s="729">
        <f>IF(INDEX(HwyTransitModelGroup,A82,1)=Hwy,O97*(1-M97)*0.00000110231131*(VLOOKUP(0,EmAuto1,2)*VLOOKUP(ProjLoc,EmCost,2)+VLOOKUP(0,EmAuto1,3)*VLOOKUP(ProjLoc,EmCost,3)*(1+CO2Uprater)^($B97-YearCurrent)+VLOOKUP(0,EmAuto1,4)*VLOOKUP(ProjLoc,EmCost,4)+VLOOKUP(0,EmAuto1,5)*VLOOKUP(ProjLoc,EmCost,5)+VLOOKUP(0,EmAuto1,6)*VLOOKUP(ProjLoc,EmCost,6)+VLOOKUP(0,EmAuto1,7)*VLOOKUP(ProjLoc,EmCost,7))+O97*M97*0.00000110231131*(VLOOKUP(0,EmTruck1,2)*VLOOKUP(ProjLoc,EmCost,2)+VLOOKUP(0,EmTruck1,3)*VLOOKUP(ProjLoc,EmCost,3)*(1+CO2Uprater)^($B97-YearCurrent)+VLOOKUP(0,EmTruck1,4)*VLOOKUP(ProjLoc,EmCost,4)+VLOOKUP(0,EmTruck1,5)*VLOOKUP(ProjLoc,EmCost,5)+VLOOKUP(0,EmTruck1,6)*VLOOKUP(ProjLoc,EmCost,6)+VLOOKUP(0,EmTruck1,7)*VLOOKUP(ProjLoc,EmCost,7)),0)</f>
        <v>0</v>
      </c>
      <c r="T97" s="802">
        <f>IF(INDEX(HwyTransitModelGroup,A82,1)=Hwy,P97*(1-N97)*0.00000110231131*(VLOOKUP(0,EmAuto1,2)*VLOOKUP(ProjLoc,EmCost,2)+VLOOKUP(0,EmAuto1,3)*VLOOKUP(ProjLoc,EmCost,3)*(1+CO2Uprater)^($B97-YearCurrent)+VLOOKUP(0,EmAuto1,4)*VLOOKUP(ProjLoc,EmCost,4)+VLOOKUP(0,EmAuto1,5)*VLOOKUP(ProjLoc,EmCost,5)+VLOOKUP(0,EmAuto1,6)*VLOOKUP(ProjLoc,EmCost,6)+VLOOKUP(0,EmAuto1,7)*VLOOKUP(ProjLoc,EmCost,7))+P97*N97*0.00000110231131*(VLOOKUP(0,EmTruck1,2)*VLOOKUP(ProjLoc,EmCost,2)+VLOOKUP(0,EmTruck1,3)*VLOOKUP(ProjLoc,EmCost,3)*(1+CO2Uprater)^($B97-YearCurrent)+VLOOKUP(0,EmTruck1,4)*VLOOKUP(ProjLoc,EmCost,4)+VLOOKUP(0,EmTruck1,5)*VLOOKUP(ProjLoc,EmCost,5)+VLOOKUP(0,EmTruck1,6)*VLOOKUP(ProjLoc,EmCost,6)+VLOOKUP(0,EmTruck1,7)*VLOOKUP(ProjLoc,EmCost,7)),0)</f>
        <v>0</v>
      </c>
      <c r="U97" s="729">
        <f>IF(INDEX(HwyTransitModelGroup,A82,1)=PARAMETERS!$J$9,C97*0.00000110231131*(VLOOKUP(K97,EmBus1,2)*VLOOKUP(ProjLoc,EmCost,2)+VLOOKUP(K97,EmBus1,3)*VLOOKUP(ProjLoc,EmCost,3)*(1+CO2Uprater)^($B97-YearCurrent)+VLOOKUP(K97,EmBus1,4)*VLOOKUP(ProjLoc,EmCost,4)+VLOOKUP(K97,EmBus1,5)*VLOOKUP(ProjLoc,EmCost,5)+VLOOKUP(K97,EmBus1,6)*VLOOKUP(ProjLoc,EmCost,6)+VLOOKUP(K97,EmBus1,7)*VLOOKUP(ProjLoc,EmCost,7)),0)</f>
        <v>0</v>
      </c>
      <c r="V97" s="802">
        <f>IF(INDEX(HwyTransitModelGroup,A82,1)=PARAMETERS!$J$9,D97*0.00000110231131*(VLOOKUP(L97,EmBus1,2)*VLOOKUP(ProjLoc,EmCost,2)+VLOOKUP(L97,EmBus1,3)*VLOOKUP(ProjLoc,EmCost,3)*(1+CO2Uprater)^($B97-YearCurrent)+VLOOKUP(L97,EmBus1,4)*VLOOKUP(ProjLoc,EmCost,4)+VLOOKUP(L97,EmBus1,5)*VLOOKUP(ProjLoc,EmCost,5)+VLOOKUP(L97,EmBus1,6)*VLOOKUP(ProjLoc,EmCost,6)+VLOOKUP(L97,EmBus1,7)*VLOOKUP(ProjLoc,EmCost,7)),0)</f>
        <v>0</v>
      </c>
      <c r="W97" s="808">
        <f>IF(INDEX(HwyTransitModelGroup,A82,1)=PARAMETERS!$J$10,C97*0.00000110231131*(PARAMETERS!$CQ$28*VLOOKUP(ProjLoc,EmCost,2)+PARAMETERS!$CR$28*VLOOKUP(ProjLoc,EmCost,3)*(1+CO2Uprater)^($B97-YearCurrent)+PARAMETERS!$CS$28*VLOOKUP(ProjLoc,EmCost,4)+PARAMETERS!$CT$28*VLOOKUP(ProjLoc,EmCost,5)+PARAMETERS!$CU$28*VLOOKUP(ProjLoc,EmCost,6)+PARAMETERS!$CV$28*VLOOKUP(ProjLoc,EmCost,7)),0)</f>
        <v>0</v>
      </c>
      <c r="X97" s="844">
        <f>IF(INDEX(HwyTransitModelGroup,A82,1)=PARAMETERS!$J$10,D97*0.00000110231131*(PARAMETERS!$CQ$28*VLOOKUP(ProjLoc,EmCost,2)+PARAMETERS!$CR$28*VLOOKUP(ProjLoc,EmCost,3)*(1+CO2Uprater)^($B97-YearCurrent)+PARAMETERS!$CS$28*VLOOKUP(ProjLoc,EmCost,4)+PARAMETERS!$CT$28*VLOOKUP(ProjLoc,EmCost,5)+PARAMETERS!$CU$28*VLOOKUP(ProjLoc,EmCost,6)+PARAMETERS!$CV$28*VLOOKUP(ProjLoc,EmCost,7)),0)</f>
        <v>0</v>
      </c>
      <c r="Y97" s="808">
        <f>IF(INDEX(HwyTransitModelGroup,A82,1)=PARAMETERS!$J$11,C97*0.00000110231131*(PARAMETERS!$CQ$36*VLOOKUP(ProjLoc,EmCost,2)+PARAMETERS!$CR$36*VLOOKUP(ProjLoc,EmCost,3)*(1+CO2Uprater)^($B97-YearCurrent)+PARAMETERS!$CS$36*VLOOKUP(ProjLoc,EmCost,4)+PARAMETERS!$CT$36*VLOOKUP(ProjLoc,EmCost,5)+PARAMETERS!$CU$36*VLOOKUP(ProjLoc,EmCost,6)+PARAMETERS!$CV$36*VLOOKUP(ProjLoc,EmCost,7)),0)</f>
        <v>0</v>
      </c>
      <c r="Z97" s="844">
        <f>IF(INDEX(HwyTransitModelGroup,A82,1)=PARAMETERS!$J$11,D97*0.00000110231131*(PARAMETERS!$CQ$36*VLOOKUP(ProjLoc,EmCost,2)+PARAMETERS!$CR$36*VLOOKUP(ProjLoc,EmCost,3)*(1+CO2Uprater)^($B97-YearCurrent)+PARAMETERS!$CS$36*VLOOKUP(ProjLoc,EmCost,4)+PARAMETERS!$CT$36*VLOOKUP(ProjLoc,EmCost,5)+PARAMETERS!$CU$36*VLOOKUP(ProjLoc,EmCost,6)+PARAMETERS!$CV$36*VLOOKUP(ProjLoc,EmCost,7)),0)</f>
        <v>0</v>
      </c>
      <c r="AA97" s="369">
        <f t="shared" si="33"/>
        <v>1338.0649795285244</v>
      </c>
      <c r="AB97" s="370">
        <f t="shared" si="34"/>
        <v>903.94875573009676</v>
      </c>
      <c r="AC97" s="371"/>
      <c r="AD97" s="401">
        <f>IF(INDEX(HwyTransitModelGroup,A82,1)=Hwy,0.00000110231131*(C97*(1-M97)*VLOOKUP(K97,EmAuto1,2)-D97*(1-N97)*VLOOKUP(L97,EmAuto1,2)+(O97*(1-M97)-P97*(1-N97))*VLOOKUP(0,EmAuto1,2))+0.00000110231131*(C97*M97*VLOOKUP(K97,EmTruck1,2)-D97*N97*VLOOKUP(L97,EmTruck1,2)+(O97*M97-P97*N97)*VLOOKUP(0,EmTruck1,2)),0)</f>
        <v>8.3454611681972643E-2</v>
      </c>
      <c r="AE97" s="863">
        <f>IF(INDEX(HwyTransitModelGroup,A82,1)=Hwy,0.00000110231131*(C97*(1-M97)*VLOOKUP(K97,EmAuto1,3)-D97*(1-N97)*VLOOKUP(L97,EmAuto1,3)+(O97*(1-M97)-P97*(1-N97))*VLOOKUP(0,EmAuto1,3))+0.00000110231131*(C97*M97*VLOOKUP(K97,EmTruck1,3)-D97*N97*VLOOKUP(L97,EmTruck1,3)+(O97*M97-P97*N97)*VLOOKUP(0,EmTruck1,3)),0)</f>
        <v>15.831634328141307</v>
      </c>
      <c r="AF97" s="861">
        <f>IF(INDEX(HwyTransitModelGroup,A82,1)=Hwy,0.00000110231131*(C97*(1-M97)*VLOOKUP(K97,EmAuto1,4)-D97*(1-N97)*VLOOKUP(L97,EmAuto1,4)+(O97*(1-M97)-P97*(1-N97))*VLOOKUP(0,EmAuto1,4))+0.00000110231131*(C97*M97*VLOOKUP(K97,EmTruck1,4)-D97*N97*VLOOKUP(L97,EmTruck1,4)+(O97*M97-P97*N97)*VLOOKUP(0,EmTruck1,4)),0)</f>
        <v>2.5040636083616372E-2</v>
      </c>
      <c r="AG97" s="863">
        <f>IF(INDEX(HwyTransitModelGroup,A82,1)=Hwy,0.00000110231131*(C97*(1-M97)*VLOOKUP(K97,EmAuto1,5)-D97*(1-N97)*VLOOKUP(L97,EmAuto1,5)+(O97*(1-M97)-P97*(1-N97))*VLOOKUP(0,EmAuto1,5))+0.00000110231131*(C97*M97*VLOOKUP(K97,EmTruck1,5)-D97*N97*VLOOKUP(L97,EmTruck1,5)+(O97*M97-P97*N97)*VLOOKUP(0,EmTruck1,5)),0)</f>
        <v>1.4485738581735682E-4</v>
      </c>
      <c r="AH97" s="861">
        <f>IF(INDEX(HwyTransitModelGroup,A82,1)=Hwy,0.00000110231131*(C97*(1-M97)*VLOOKUP(K97,EmAuto1,6)-D97*(1-N97)*VLOOKUP(L97,EmAuto1,6)+(O97*(1-M97)-P97*(1-N97))*VLOOKUP(0,EmAuto1,6))+0.00000110231131*(C97*M97*VLOOKUP(K97,EmTruck1,6)-D97*N97*VLOOKUP(L97,EmTruck1,6)+(O97*M97-P97*N97)*VLOOKUP(0,EmTruck1,6)),0)</f>
        <v>1.0996550263438425E-4</v>
      </c>
      <c r="AI97" s="863">
        <f>IF(INDEX(HwyTransitModelGroup,A82,1)=Hwy,0.00000110231131*(C97*(1-M97)*VLOOKUP(K97,EmAuto1,7)-D97*(1-N97)*VLOOKUP(L97,EmAuto1,7)+(O97*(1-M97)-P97*(1-N97))*VLOOKUP(0,EmAuto1,7))+0.00000110231131*(C97*M97*VLOOKUP(K97,EmTruck1,7)-D97*N97*VLOOKUP(L97,EmTruck1,7)+(O97*M97-P97*N97)*VLOOKUP(0,EmTruck1,7)),0)</f>
        <v>3.1944474700597385E-3</v>
      </c>
      <c r="AJ97" s="861">
        <f>IF(INDEX(HwyTransitModelGroup,A82,1)=Hwy,0.00000110231131*(C97*(1-M97)*VLOOKUP(K97,EmAuto1,8)-D97*(1-N97)*VLOOKUP(L97,EmAuto1,8)+(O97*(1-M97)-P97*(1-N97))*VLOOKUP(0,EmAuto1,8))+0.00000110231131*(C97*M97*VLOOKUP(K97,EmTruck1,8)-D97*N97*VLOOKUP(L97,EmTruck1,8)+(O97*M97-P97*N97)*VLOOKUP(0,EmTruck1,8)),0)</f>
        <v>1.5882305502534576E-4</v>
      </c>
      <c r="AK97" s="401">
        <f>IF(INDEX(HwyTransitModelGroup,A82,1)=PARAMETERS!$J$9,0.00000110231131*(C97*VLOOKUP(K97,EmBus1,2)-D97*VLOOKUP(L97,EmBus1,2)+(O97-P97)*VLOOKUP(0,EmBus1,2)),0)</f>
        <v>0</v>
      </c>
      <c r="AL97" s="863">
        <f>IF(INDEX(HwyTransitModelGroup,A82,1)=PARAMETERS!$J$9,0.00000110231131*(C97*VLOOKUP(K97,EmBus1,3)-D97*VLOOKUP(L97,EmBus1,3)+(O97-P97)*VLOOKUP(0,EmBus1,3)),0)</f>
        <v>0</v>
      </c>
      <c r="AM97" s="861">
        <f>IF(INDEX(HwyTransitModelGroup,A82,1)=PARAMETERS!$J$9,0.00000110231131*(C97*VLOOKUP(K97,EmBus1,4)-D97*VLOOKUP(L97,EmBus1,4)+(O97-P97)*VLOOKUP(0,EmBus1,4)),0)</f>
        <v>0</v>
      </c>
      <c r="AN97" s="863">
        <f>IF(INDEX(HwyTransitModelGroup,A82,1)=PARAMETERS!$J$9,0.00000110231131*(C97*VLOOKUP(K97,EmBus1,5)-D97*VLOOKUP(L97,EmBus1,5)+(O97-P97)*VLOOKUP(0,EmBus1,5)),0)</f>
        <v>0</v>
      </c>
      <c r="AO97" s="861">
        <f>IF(INDEX(HwyTransitModelGroup,A82,1)=PARAMETERS!$J$9,0.00000110231131*(C97*VLOOKUP(K97,EmBus1,6)-D97*VLOOKUP(L97,EmBus1,6)+(O97-P97)*VLOOKUP(0,EmBus1,6)),0)</f>
        <v>0</v>
      </c>
      <c r="AP97" s="863">
        <f>IF(INDEX(HwyTransitModelGroup,A82,1)=PARAMETERS!$J$9,0.00000110231131*(C97*VLOOKUP(K97,EmBus1,7)-D97*VLOOKUP(L97,EmBus1,7)+(O97-P97)*VLOOKUP(0,EmBus1,7)),0)</f>
        <v>0</v>
      </c>
      <c r="AQ97" s="861">
        <f>IF(INDEX(HwyTransitModelGroup,A82,1)=PARAMETERS!$J$9,0.00000110231131*(C97*VLOOKUP(K97,EmBus1,8)-D97*VLOOKUP(L97,EmBus1,8)+(O97-P97)*VLOOKUP(0,EmBus1,8)),0)</f>
        <v>0</v>
      </c>
      <c r="AR97" s="401">
        <f>IF(INDEX(HwyTransitModelGroup,A82,1)=PARAMETERS!$J$10,0.00000110231131*((C97-D97)*PARAMETERS!$CQ$28),0)</f>
        <v>0</v>
      </c>
      <c r="AS97" s="863">
        <f>IF(INDEX(HwyTransitModelGroup,A82,1)=PARAMETERS!$J$10,0.00000110231131*((C97-D97)*PARAMETERS!$CR$28),0)</f>
        <v>0</v>
      </c>
      <c r="AT97" s="861">
        <f>IF(INDEX(HwyTransitModelGroup,A82,1)=PARAMETERS!$J$10,0.00000110231131*((C97-D97)*PARAMETERS!$CS$28),0)</f>
        <v>0</v>
      </c>
      <c r="AU97" s="863">
        <f>IF(INDEX(HwyTransitModelGroup,A82,1)=PARAMETERS!$J$10,0.00000110231131*((C97-D97)*PARAMETERS!$CT$28),0)</f>
        <v>0</v>
      </c>
      <c r="AV97" s="861">
        <f>IF(INDEX(HwyTransitModelGroup,A82,1)=PARAMETERS!$J$10,0.00000110231131*((C97-D97)*PARAMETERS!$CU$28),0)</f>
        <v>0</v>
      </c>
      <c r="AW97" s="863">
        <f>IF(INDEX(HwyTransitModelGroup,A82,1)=PARAMETERS!$J$10,0.00000110231131*((C97-D97)*PARAMETERS!$CV$28),0)</f>
        <v>0</v>
      </c>
      <c r="AX97" s="861">
        <f>IF(INDEX(HwyTransitModelGroup,A82,1)=PARAMETERS!$J$10,0.00000110231131*((C97-D97)*PARAMETERS!$CW$28),0)</f>
        <v>0</v>
      </c>
      <c r="AY97" s="401">
        <f>IF(INDEX(HwyTransitModelGroup,A82,1)=PARAMETERS!$J$11,0.00000110231131*((C97-D97)*PARAMETERS!$CQ$36),0)</f>
        <v>0</v>
      </c>
      <c r="AZ97" s="863">
        <f>IF(INDEX(HwyTransitModelGroup,A82,1)=PARAMETERS!$J$11,0.00000110231131*((C97-D97)*PARAMETERS!$CR$36),0)</f>
        <v>0</v>
      </c>
      <c r="BA97" s="861">
        <f>IF(INDEX(HwyTransitModelGroup,A82,1)=PARAMETERS!$J$11,0.00000110231131*((C97-D97)*PARAMETERS!$CS$36),0)</f>
        <v>0</v>
      </c>
      <c r="BB97" s="863">
        <f>IF(INDEX(HwyTransitModelGroup,A82,1)=PARAMETERS!$J$11,0.00000110231131*((C97-D97)*PARAMETERS!$CT$36),0)</f>
        <v>0</v>
      </c>
      <c r="BC97" s="861">
        <f>IF(INDEX(HwyTransitModelGroup,A82,1)=PARAMETERS!$J$11,0.00000110231131*((C97-D97)*PARAMETERS!$CU$36),0)</f>
        <v>0</v>
      </c>
      <c r="BD97" s="863">
        <f>IF(INDEX(HwyTransitModelGroup,A82,1)=PARAMETERS!$J$11,0.00000110231131*((C97-D97)*PARAMETERS!$CV$36),0)</f>
        <v>0</v>
      </c>
      <c r="BE97" s="865">
        <f>IF(INDEX(HwyTransitModelGroup,A82,1)=PARAMETERS!$J$11,0.00000110231131*((C97-D97)*PARAMETERS!$CW$36),0)</f>
        <v>0</v>
      </c>
      <c r="BF97" s="729">
        <f t="shared" si="35"/>
        <v>4.5103156300489307</v>
      </c>
      <c r="BG97" s="867">
        <f t="shared" si="36"/>
        <v>625.79964462445571</v>
      </c>
      <c r="BH97" s="867">
        <f t="shared" si="37"/>
        <v>255.44000319073368</v>
      </c>
      <c r="BI97" s="867">
        <f t="shared" si="38"/>
        <v>11.420315617579345</v>
      </c>
      <c r="BJ97" s="867">
        <f t="shared" si="39"/>
        <v>4.3830364498158287</v>
      </c>
      <c r="BK97" s="869">
        <f t="shared" si="40"/>
        <v>2.3954402174651261</v>
      </c>
      <c r="BL97" s="392"/>
      <c r="BN97" s="375">
        <f t="shared" si="44"/>
        <v>2031</v>
      </c>
      <c r="BO97" s="871">
        <f t="shared" ca="1" si="41"/>
        <v>-2.037583187135513</v>
      </c>
      <c r="BP97" s="871">
        <f t="shared" ca="1" si="42"/>
        <v>-13.500538405412737</v>
      </c>
      <c r="BQ97" s="871">
        <f t="shared" ca="1" si="42"/>
        <v>15.564231907609507</v>
      </c>
      <c r="BR97" s="871">
        <f t="shared" ca="1" si="42"/>
        <v>-21.509250155102514</v>
      </c>
      <c r="BS97" s="871">
        <f t="shared" ca="1" si="42"/>
        <v>1033.9985590834847</v>
      </c>
      <c r="BT97" s="871">
        <f t="shared" ca="1" si="42"/>
        <v>1385.0158286537712</v>
      </c>
    </row>
    <row r="98" spans="2:72" x14ac:dyDescent="0.25">
      <c r="B98" s="375">
        <f t="shared" si="43"/>
        <v>2033</v>
      </c>
      <c r="C98" s="401">
        <f>MAX(TREND(C88:C89,B88:B89,B98),0)</f>
        <v>631231</v>
      </c>
      <c r="D98" s="402">
        <f>MAX(TREND(D88:D89,B88:B89,B98),0)</f>
        <v>620956.25</v>
      </c>
      <c r="E98" s="401">
        <f>MAX(TREND(E88:E89,B88:B89,B98),0)</f>
        <v>17136.75</v>
      </c>
      <c r="F98" s="402">
        <f>MAX(TREND(F88:F89,B88:B89,B98),0)</f>
        <v>13213</v>
      </c>
      <c r="G98" s="401">
        <f>MAX(TREND(G88:G89,B88:B89,B98),0)</f>
        <v>0</v>
      </c>
      <c r="H98" s="402">
        <f>MAX(TREND(H88:H89,B88:B89,B98),0)</f>
        <v>0</v>
      </c>
      <c r="I98" s="401">
        <f>MAX(TREND(I88:I89,B88:B89,B98),0)</f>
        <v>0</v>
      </c>
      <c r="J98" s="402">
        <f>MAX(TREND(J88:J89,B88:B89,B98),0)</f>
        <v>0</v>
      </c>
      <c r="K98" s="435">
        <f>IFERROR(IF(INDEX(HwyTransitModelGroup,A82,1)=Hwy,MAX(5,ROUND(C98/E98,1)),MAX(5,ROUND(G98/I98,1))),55)</f>
        <v>36.799999999999997</v>
      </c>
      <c r="L98" s="436">
        <f>IFERROR(IF(INDEX(HwyTransitModelGroup,A82,1)=Hwy,MAX(5,ROUND(D98/F98,1)),MAX(5,ROUND(H98/J98,1))),55)</f>
        <v>47</v>
      </c>
      <c r="M98" s="405">
        <f>MIN(MAX(TREND(M88:M89,B88:B89,B98),0),1)</f>
        <v>0.24</v>
      </c>
      <c r="N98" s="406">
        <f>MIN(MAX(TREND(N88:N89,B88:B89,B98),0),1)</f>
        <v>0.24</v>
      </c>
      <c r="O98" s="401">
        <f>MAX(TREND(O88:O89,B88:B89,B98),0)</f>
        <v>0</v>
      </c>
      <c r="P98" s="402">
        <f>MAX(TREND(P88:P89,B88:B89,B98),0)</f>
        <v>0</v>
      </c>
      <c r="Q98" s="729">
        <f>IF(INDEX(HwyTransitModelGroup,A82,1)=Hwy,C98*(1-M98)*0.00000110231131*(VLOOKUP(K98,EmAuto20,2)*VLOOKUP(ProjLoc,EmCost,2)+VLOOKUP(K98,EmAuto20,3)*VLOOKUP(ProjLoc,EmCost,3)*(1+CO2Uprater)^($B98-YearCurrent)+VLOOKUP(K98,EmAuto20,4)*VLOOKUP(ProjLoc,EmCost,4)+VLOOKUP(K98,EmAuto20,5)*VLOOKUP(ProjLoc,EmCost,5)+VLOOKUP(K98,EmAuto20,6)*VLOOKUP(ProjLoc,EmCost,6)+VLOOKUP(K98,EmAuto20,7)*VLOOKUP(ProjLoc,EmCost,7))+C98*M98*0.00000110231131*(VLOOKUP(K98,EmTruck20,2)*VLOOKUP(ProjLoc,EmCost,2)+VLOOKUP(K98,EmTruck20,3)*VLOOKUP(ProjLoc,EmCost,3)*(1+CO2Uprater)^($B98-YearCurrent)+VLOOKUP(K98,EmTruck20,4)*VLOOKUP(ProjLoc,EmCost,4)+VLOOKUP(K98,EmTruck20,5)*VLOOKUP(ProjLoc,EmCost,5)+VLOOKUP(K98,EmTruck20,6)*VLOOKUP(ProjLoc,EmCost,6)+VLOOKUP(K98,EmTruck20,7)*VLOOKUP(ProjLoc,EmCost,7)),0)</f>
        <v>14378.514000382871</v>
      </c>
      <c r="R98" s="802">
        <f>IF(INDEX(HwyTransitModelGroup,A82,1)=Hwy,D98*(1-N98)*0.00000110231131*(VLOOKUP(L98,EmAuto20,2)*VLOOKUP(ProjLoc,EmCost,2)+VLOOKUP(L98,EmAuto20,3)*VLOOKUP(ProjLoc,EmCost,3)*(1+CO2Uprater)^($B98-YearCurrent)+VLOOKUP(L98,EmAuto20,4)*VLOOKUP(ProjLoc,EmCost,4)+VLOOKUP(L98,EmAuto20,5)*VLOOKUP(ProjLoc,EmCost,5)+VLOOKUP(L98,EmAuto20,6)*VLOOKUP(ProjLoc,EmCost,6)+VLOOKUP(L98,EmAuto20,7)*VLOOKUP(ProjLoc,EmCost,7))+D98*N98*0.00000110231131*(VLOOKUP(L98,EmTruck20,2)*VLOOKUP(ProjLoc,EmCost,2)+VLOOKUP(L98,EmTruck20,3)*VLOOKUP(ProjLoc,EmCost,3)*(1+CO2Uprater)^($B98-YearCurrent)+VLOOKUP(L98,EmTruck20,4)*VLOOKUP(ProjLoc,EmCost,4)+VLOOKUP(L98,EmTruck20,5)*VLOOKUP(ProjLoc,EmCost,5)+VLOOKUP(L98,EmTruck20,6)*VLOOKUP(ProjLoc,EmCost,6)+VLOOKUP(L98,EmTruck20,7)*VLOOKUP(ProjLoc,EmCost,7)),0)</f>
        <v>14086.843751726356</v>
      </c>
      <c r="S98" s="729">
        <f>IF(INDEX(HwyTransitModelGroup,A82,1)=Hwy,O98*(1-M98)*0.00000110231131*(VLOOKUP(0,EmAuto20,2)*VLOOKUP(ProjLoc,EmCost,2)+VLOOKUP(0,EmAuto20,3)*VLOOKUP(ProjLoc,EmCost,3)*(1+CO2Uprater)^($B98-YearCurrent)+VLOOKUP(0,EmAuto20,4)*VLOOKUP(ProjLoc,EmCost,4)+VLOOKUP(0,EmAuto20,5)*VLOOKUP(ProjLoc,EmCost,5)+VLOOKUP(0,EmAuto20,6)*VLOOKUP(ProjLoc,EmCost,6)+VLOOKUP(0,EmAuto20,7)*VLOOKUP(ProjLoc,EmCost,7))+O98*M98*0.00000110231131*(VLOOKUP(0,EmTruck20,2)*VLOOKUP(ProjLoc,EmCost,2)+VLOOKUP(0,EmTruck20,3)*VLOOKUP(ProjLoc,EmCost,3)*(1+CO2Uprater)^($B98-YearCurrent)+VLOOKUP(0,EmTruck20,4)*VLOOKUP(ProjLoc,EmCost,4)+VLOOKUP(0,EmTruck20,5)*VLOOKUP(ProjLoc,EmCost,5)+VLOOKUP(0,EmTruck20,6)*VLOOKUP(ProjLoc,EmCost,6)+VLOOKUP(0,EmTruck20,7)*VLOOKUP(ProjLoc,EmCost,7)),0)</f>
        <v>0</v>
      </c>
      <c r="T98" s="802">
        <f>IF(INDEX(HwyTransitModelGroup,A82,1)=Hwy,P98*(1-N98)*0.00000110231131*(VLOOKUP(0,EmAuto20,2)*VLOOKUP(ProjLoc,EmCost,2)+VLOOKUP(0,EmAuto20,3)*VLOOKUP(ProjLoc,EmCost,3)*(1+CO2Uprater)^($B98-YearCurrent)+VLOOKUP(0,EmAuto20,4)*VLOOKUP(ProjLoc,EmCost,4)+VLOOKUP(0,EmAuto20,5)*VLOOKUP(ProjLoc,EmCost,5)+VLOOKUP(0,EmAuto20,6)*VLOOKUP(ProjLoc,EmCost,6)+VLOOKUP(0,EmAuto20,7)*VLOOKUP(ProjLoc,EmCost,7))+P98*N98*0.00000110231131*(VLOOKUP(0,EmTruck20,2)*VLOOKUP(ProjLoc,EmCost,2)+VLOOKUP(0,EmTruck20,3)*VLOOKUP(ProjLoc,EmCost,3)*(1+CO2Uprater)^($B98-YearCurrent)+VLOOKUP(0,EmTruck20,4)*VLOOKUP(ProjLoc,EmCost,4)+VLOOKUP(0,EmTruck20,5)*VLOOKUP(ProjLoc,EmCost,5)+VLOOKUP(0,EmTruck20,6)*VLOOKUP(ProjLoc,EmCost,6)+VLOOKUP(0,EmTruck20,7)*VLOOKUP(ProjLoc,EmCost,7)),0)</f>
        <v>0</v>
      </c>
      <c r="U98" s="729">
        <f>IF(INDEX(HwyTransitModelGroup,A82,1)=PARAMETERS!$J$9,C98*0.00000110231131*(VLOOKUP(K98,EmBus20,2)*VLOOKUP(ProjLoc,EmCost,2)+VLOOKUP(K98,EmBus20,3)*VLOOKUP(ProjLoc,EmCost,3)*(1+CO2Uprater)^($B98-YearCurrent)+VLOOKUP(K98,EmBus20,4)*VLOOKUP(ProjLoc,EmCost,4)+VLOOKUP(K98,EmBus20,5)*VLOOKUP(ProjLoc,EmCost,5)+VLOOKUP(K98,EmBus20,6)*VLOOKUP(ProjLoc,EmCost,6)+VLOOKUP(K98,EmBus20,7)*VLOOKUP(ProjLoc,EmCost,7)),0)</f>
        <v>0</v>
      </c>
      <c r="V98" s="802">
        <f>IF(INDEX(HwyTransitModelGroup,A82,1)=PARAMETERS!$J$9,D98*0.00000110231131*(VLOOKUP(L98,EmBus20,2)*VLOOKUP(ProjLoc,EmCost,2)+VLOOKUP(L98,EmBus20,3)*VLOOKUP(ProjLoc,EmCost,3)*(1+CO2Uprater)^($B98-YearCurrent)+VLOOKUP(L98,EmBus20,4)*VLOOKUP(ProjLoc,EmCost,4)+VLOOKUP(L98,EmBus20,5)*VLOOKUP(ProjLoc,EmCost,5)+VLOOKUP(L98,EmBus20,6)*VLOOKUP(ProjLoc,EmCost,6)+VLOOKUP(L98,EmBus20,7)*VLOOKUP(ProjLoc,EmCost,7)),0)</f>
        <v>0</v>
      </c>
      <c r="W98" s="808">
        <f>IF(INDEX(HwyTransitModelGroup,A82,1)=PARAMETERS!$J$10,C98*0.00000110231131*(PARAMETERS!$CQ$29*VLOOKUP(ProjLoc,EmCost,2)+PARAMETERS!$CR$29*VLOOKUP(ProjLoc,EmCost,3)*(1+CO2Uprater)^($B98-YearCurrent)+PARAMETERS!$CS$29*VLOOKUP(ProjLoc,EmCost,4)+PARAMETERS!$CT$29*VLOOKUP(ProjLoc,EmCost,5)+PARAMETERS!$CU$29*VLOOKUP(ProjLoc,EmCost,6)+PARAMETERS!$CV$29*VLOOKUP(ProjLoc,EmCost,7)),0)</f>
        <v>0</v>
      </c>
      <c r="X98" s="844">
        <f>IF(INDEX(HwyTransitModelGroup,A82,1)=PARAMETERS!$J$10,D98*0.00000110231131*(PARAMETERS!$CQ$29*VLOOKUP(ProjLoc,EmCost,2)+PARAMETERS!$CR$29*VLOOKUP(ProjLoc,EmCost,3)*(1+CO2Uprater)^($B98-YearCurrent)+PARAMETERS!$CS$29*VLOOKUP(ProjLoc,EmCost,4)+PARAMETERS!$CT$29*VLOOKUP(ProjLoc,EmCost,5)+PARAMETERS!$CU$29*VLOOKUP(ProjLoc,EmCost,6)+PARAMETERS!$CV$29*VLOOKUP(ProjLoc,EmCost,7)),0)</f>
        <v>0</v>
      </c>
      <c r="Y98" s="808">
        <f>IF(INDEX(HwyTransitModelGroup,A82,1)=PARAMETERS!$J$11,C98*0.00000110231131*(PARAMETERS!$CQ$37*VLOOKUP(ProjLoc,EmCost,2)+PARAMETERS!$CR$37*VLOOKUP(ProjLoc,EmCost,3)*(1+CO2Uprater)^($B98-YearCurrent)+PARAMETERS!$CS$37*VLOOKUP(ProjLoc,EmCost,4)+PARAMETERS!$CT$37*VLOOKUP(ProjLoc,EmCost,5)+PARAMETERS!$CU$37*VLOOKUP(ProjLoc,EmCost,6)+PARAMETERS!$CV$37*VLOOKUP(ProjLoc,EmCost,7)),0)</f>
        <v>0</v>
      </c>
      <c r="Z98" s="844">
        <f>IF(INDEX(HwyTransitModelGroup,A82,1)=PARAMETERS!$J$11,D98*0.00000110231131*(PARAMETERS!$CQ$37*VLOOKUP(ProjLoc,EmCost,2)+PARAMETERS!$CR$37*VLOOKUP(ProjLoc,EmCost,3)*(1+CO2Uprater)^($B98-YearCurrent)+PARAMETERS!$CS$37*VLOOKUP(ProjLoc,EmCost,4)+PARAMETERS!$CT$37*VLOOKUP(ProjLoc,EmCost,5)+PARAMETERS!$CU$37*VLOOKUP(ProjLoc,EmCost,6)+PARAMETERS!$CV$37*VLOOKUP(ProjLoc,EmCost,7)),0)</f>
        <v>0</v>
      </c>
      <c r="AA98" s="369">
        <f t="shared" si="33"/>
        <v>291.67024865651547</v>
      </c>
      <c r="AB98" s="370">
        <f t="shared" si="34"/>
        <v>189.4634318315893</v>
      </c>
      <c r="AC98" s="371"/>
      <c r="AD98" s="401">
        <f>IF(INDEX(HwyTransitModelGroup,A82,1)=Hwy,0.00000110231131*(C98*(1-M98)*VLOOKUP(K98,EmAuto20,2)-D98*(1-N98)*VLOOKUP(L98,EmAuto20,2)+(O98*(1-M98)-P98*(1-N98))*VLOOKUP(0,EmAuto20,2))+0.00000110231131*(C98*M98*VLOOKUP(K98,EmTruck20,2)-D98*N98*VLOOKUP(L98,EmTruck20,2)+(O98*M98-P98*N98)*VLOOKUP(0,EmTruck20,2)),0)</f>
        <v>4.7395816021931006E-2</v>
      </c>
      <c r="AE98" s="863">
        <f>IF(INDEX(HwyTransitModelGroup,A82,1)=Hwy,0.00000110231131*(C98*(1-M98)*VLOOKUP(K98,EmAuto20,3)-D98*(1-N98)*VLOOKUP(L98,EmAuto20,3)+(O98*(1-M98)-P98*(1-N98))*VLOOKUP(0,EmAuto20,3))+0.00000110231131*(C98*M98*VLOOKUP(K98,EmTruck20,3)-D98*N98*VLOOKUP(L98,EmTruck20,3)+(O98*M98-P98*N98)*VLOOKUP(0,EmTruck20,3)),0)</f>
        <v>0.8850553771128048</v>
      </c>
      <c r="AF98" s="861">
        <f>IF(INDEX(HwyTransitModelGroup,A82,1)=Hwy,0.00000110231131*(C98*(1-M98)*VLOOKUP(K98,EmAuto20,4)-D98*(1-N98)*VLOOKUP(L98,EmAuto20,4)+(O98*(1-M98)-P98*(1-N98))*VLOOKUP(0,EmAuto20,4))+0.00000110231131*(C98*M98*VLOOKUP(K98,EmTruck20,4)-D98*N98*VLOOKUP(L98,EmTruck20,4)+(O98*M98-P98*N98)*VLOOKUP(0,EmTruck20,4)),0)</f>
        <v>1.7651113988724935E-2</v>
      </c>
      <c r="AG98" s="863">
        <f>IF(INDEX(HwyTransitModelGroup,A82,1)=Hwy,0.00000110231131*(C98*(1-M98)*VLOOKUP(K98,EmAuto20,5)-D98*(1-N98)*VLOOKUP(L98,EmAuto20,5)+(O98*(1-M98)-P98*(1-N98))*VLOOKUP(0,EmAuto20,5))+0.00000110231131*(C98*M98*VLOOKUP(K98,EmTruck20,5)-D98*N98*VLOOKUP(L98,EmTruck20,5)+(O98*M98-P98*N98)*VLOOKUP(0,EmTruck20,5)),0)</f>
        <v>-2.6189963005854582E-4</v>
      </c>
      <c r="AH98" s="861">
        <f>IF(INDEX(HwyTransitModelGroup,A82,1)=Hwy,0.00000110231131*(C98*(1-M98)*VLOOKUP(K98,EmAuto20,6)-D98*(1-N98)*VLOOKUP(L98,EmAuto20,6)+(O98*(1-M98)-P98*(1-N98))*VLOOKUP(0,EmAuto20,6))+0.00000110231131*(C98*M98*VLOOKUP(K98,EmTruck20,6)-D98*N98*VLOOKUP(L98,EmTruck20,6)+(O98*M98-P98*N98)*VLOOKUP(0,EmTruck20,6)),0)</f>
        <v>-3.4833221481988704E-5</v>
      </c>
      <c r="AI98" s="863">
        <f>IF(INDEX(HwyTransitModelGroup,A82,1)=Hwy,0.00000110231131*(C98*(1-M98)*VLOOKUP(K98,EmAuto20,7)-D98*(1-N98)*VLOOKUP(L98,EmAuto20,7)+(O98*(1-M98)-P98*(1-N98))*VLOOKUP(0,EmAuto20,7))+0.00000110231131*(C98*M98*VLOOKUP(K98,EmTruck20,7)-D98*N98*VLOOKUP(L98,EmTruck20,7)+(O98*M98-P98*N98)*VLOOKUP(0,EmTruck20,7)),0)</f>
        <v>1.0304174816874708E-3</v>
      </c>
      <c r="AJ98" s="861">
        <f>IF(INDEX(HwyTransitModelGroup,A82,1)=Hwy,0.00000110231131*(C98*(1-M98)*VLOOKUP(K98,EmAuto20,8)-D98*(1-N98)*VLOOKUP(L98,EmAuto20,8)+(O98*(1-M98)-P98*(1-N98))*VLOOKUP(0,EmAuto20,8))+0.00000110231131*(C98*M98*VLOOKUP(K98,EmTruck20,8)-D98*N98*VLOOKUP(L98,EmTruck20,8)+(O98*M98-P98*N98)*VLOOKUP(0,EmTruck20,8)),0)</f>
        <v>-2.9889737979125591E-4</v>
      </c>
      <c r="AK98" s="401">
        <f>IF(INDEX(HwyTransitModelGroup,A82,1)=PARAMETERS!$J$9,0.00000110231131*(C98*VLOOKUP(K98,EmBus20,2)-D98*VLOOKUP(L98,EmBus20,2)+(O98-P98)*VLOOKUP(0,EmBus20,2)),0)</f>
        <v>0</v>
      </c>
      <c r="AL98" s="863">
        <f>IF(INDEX(HwyTransitModelGroup,A82,1)=PARAMETERS!$J$9,0.00000110231131*(C98*VLOOKUP(K98,EmBus20,3)-D98*VLOOKUP(L98,EmBus20,3)+(O98-P98)*VLOOKUP(0,EmBus20,3)),0)</f>
        <v>0</v>
      </c>
      <c r="AM98" s="861">
        <f>IF(INDEX(HwyTransitModelGroup,A82,1)=PARAMETERS!$J$9,0.00000110231131*(C98*VLOOKUP(K98,EmBus20,4)-D98*VLOOKUP(L98,EmBus20,4)+(O98-P98)*VLOOKUP(0,EmBus20,4)),0)</f>
        <v>0</v>
      </c>
      <c r="AN98" s="863">
        <f>IF(INDEX(HwyTransitModelGroup,A82,1)=PARAMETERS!$J$9,0.00000110231131*(C98*VLOOKUP(K98,EmBus20,5)-D98*VLOOKUP(L98,EmBus20,5)+(O98-P98)*VLOOKUP(0,EmBus20,5)),0)</f>
        <v>0</v>
      </c>
      <c r="AO98" s="861">
        <f>IF(INDEX(HwyTransitModelGroup,A82,1)=PARAMETERS!$J$9,0.00000110231131*(C98*VLOOKUP(K98,EmBus20,6)-D98*VLOOKUP(L98,EmBus20,6)+(O98-P98)*VLOOKUP(0,EmBus20,6)),0)</f>
        <v>0</v>
      </c>
      <c r="AP98" s="863">
        <f>IF(INDEX(HwyTransitModelGroup,A82,1)=PARAMETERS!$J$9,0.00000110231131*(C98*VLOOKUP(K98,EmBus20,7)-D98*VLOOKUP(L98,EmBus20,7)+(O98-P98)*VLOOKUP(0,EmBus20,7)),0)</f>
        <v>0</v>
      </c>
      <c r="AQ98" s="861">
        <f>IF(INDEX(HwyTransitModelGroup,A82,1)=PARAMETERS!$J$9,0.00000110231131*(C98*VLOOKUP(K98,EmBus20,8)-D98*VLOOKUP(L98,EmBus20,8)+(O98-P98)*VLOOKUP(0,EmBus20,8)),0)</f>
        <v>0</v>
      </c>
      <c r="AR98" s="401">
        <f>IF(INDEX(HwyTransitModelGroup,A82,1)=PARAMETERS!$J$10,0.00000110231131*((C98-D98)*PARAMETERS!$CQ$29),0)</f>
        <v>0</v>
      </c>
      <c r="AS98" s="863">
        <f>IF(INDEX(HwyTransitModelGroup,A82,1)=PARAMETERS!$J$10,0.00000110231131*((C98-D98)*PARAMETERS!$CR$29),0)</f>
        <v>0</v>
      </c>
      <c r="AT98" s="861">
        <f>IF(INDEX(HwyTransitModelGroup,A82,1)=PARAMETERS!$J$10,0.00000110231131*((C98-D98)*PARAMETERS!$CS$29),0)</f>
        <v>0</v>
      </c>
      <c r="AU98" s="863">
        <f>IF(INDEX(HwyTransitModelGroup,A82,1)=PARAMETERS!$J$10,0.00000110231131*((C98-D98)*PARAMETERS!$CT$29),0)</f>
        <v>0</v>
      </c>
      <c r="AV98" s="861">
        <f>IF(INDEX(HwyTransitModelGroup,A82,1)=PARAMETERS!$J$10,0.00000110231131*((C98-D98)*PARAMETERS!$CU$29),0)</f>
        <v>0</v>
      </c>
      <c r="AW98" s="863">
        <f>IF(INDEX(HwyTransitModelGroup,A82,1)=PARAMETERS!$J$10,0.00000110231131*((C98-D98)*PARAMETERS!$CV$29),0)</f>
        <v>0</v>
      </c>
      <c r="AX98" s="861">
        <f>IF(INDEX(HwyTransitModelGroup,A82,1)=PARAMETERS!$J$10,0.00000110231131*((C98-D98)*PARAMETERS!$CW$29),0)</f>
        <v>0</v>
      </c>
      <c r="AY98" s="401">
        <f>IF(INDEX(HwyTransitModelGroup,A82,1)=PARAMETERS!$J$11,0.00000110231131*((C98-D98)*PARAMETERS!$CQ$37),0)</f>
        <v>0</v>
      </c>
      <c r="AZ98" s="863">
        <f>IF(INDEX(HwyTransitModelGroup,A82,1)=PARAMETERS!$J$11,0.00000110231131*((C98-D98)*PARAMETERS!$CR$37),0)</f>
        <v>0</v>
      </c>
      <c r="BA98" s="861">
        <f>IF(INDEX(HwyTransitModelGroup,A82,1)=PARAMETERS!$J$11,0.00000110231131*((C98-D98)*PARAMETERS!$CS$37),0)</f>
        <v>0</v>
      </c>
      <c r="BB98" s="863">
        <f>IF(INDEX(HwyTransitModelGroup,A82,1)=PARAMETERS!$J$11,0.00000110231131*((C98-D98)*PARAMETERS!$CT$37),0)</f>
        <v>0</v>
      </c>
      <c r="BC98" s="861">
        <f>IF(INDEX(HwyTransitModelGroup,A82,1)=PARAMETERS!$J$11,0.00000110231131*((C98-D98)*PARAMETERS!$CU$37),0)</f>
        <v>0</v>
      </c>
      <c r="BD98" s="863">
        <f>IF(INDEX(HwyTransitModelGroup,A82,1)=PARAMETERS!$J$11,0.00000110231131*((C98-D98)*PARAMETERS!$CV$37),0)</f>
        <v>0</v>
      </c>
      <c r="BE98" s="865">
        <f>IF(INDEX(HwyTransitModelGroup,A82,1)=PARAMETERS!$J$11,0.00000110231131*((C98-D98)*PARAMETERS!$CW$37),0)</f>
        <v>0</v>
      </c>
      <c r="BF98" s="729">
        <f t="shared" si="35"/>
        <v>2.462993465898176</v>
      </c>
      <c r="BG98" s="867">
        <f t="shared" si="36"/>
        <v>34.312063694872549</v>
      </c>
      <c r="BH98" s="867">
        <f t="shared" si="37"/>
        <v>173.13398872567313</v>
      </c>
      <c r="BI98" s="867">
        <f t="shared" si="38"/>
        <v>-19.853588161631283</v>
      </c>
      <c r="BJ98" s="867">
        <f t="shared" si="39"/>
        <v>-1.3349927911175714</v>
      </c>
      <c r="BK98" s="869">
        <f t="shared" si="40"/>
        <v>0.74296689789552239</v>
      </c>
      <c r="BL98" s="392"/>
      <c r="BN98" s="375">
        <f t="shared" si="44"/>
        <v>2032</v>
      </c>
      <c r="BO98" s="871">
        <f t="shared" ca="1" si="41"/>
        <v>-5.2343248096192525</v>
      </c>
      <c r="BP98" s="871">
        <f t="shared" ca="1" si="42"/>
        <v>-21.221656336535727</v>
      </c>
      <c r="BQ98" s="871">
        <f t="shared" ca="1" si="42"/>
        <v>15.831634328141307</v>
      </c>
      <c r="BR98" s="871">
        <f t="shared" ca="1" si="42"/>
        <v>-21.753693086751753</v>
      </c>
      <c r="BS98" s="871">
        <f t="shared" ca="1" si="42"/>
        <v>1079.2082939999318</v>
      </c>
      <c r="BT98" s="871">
        <f t="shared" ca="1" si="42"/>
        <v>1421.8214111666009</v>
      </c>
    </row>
    <row r="99" spans="2:72" x14ac:dyDescent="0.25">
      <c r="B99" s="375">
        <f t="shared" si="43"/>
        <v>2034</v>
      </c>
      <c r="C99" s="401">
        <f>MAX(TREND(C88:C89,B88:B89,B99),0)</f>
        <v>641889</v>
      </c>
      <c r="D99" s="402">
        <f>MAX(TREND(D88:D89,B88:B89,B99),0)</f>
        <v>631450</v>
      </c>
      <c r="E99" s="401">
        <f>MAX(TREND(E88:E89,B88:B89,B99),0)</f>
        <v>17447</v>
      </c>
      <c r="F99" s="402">
        <f>MAX(TREND(F88:F89,B88:B89,B99),0)</f>
        <v>13432</v>
      </c>
      <c r="G99" s="401">
        <f>MAX(TREND(G88:G89,B88:B89,B99),0)</f>
        <v>0</v>
      </c>
      <c r="H99" s="402">
        <f>MAX(TREND(H88:H89,B88:B89,B99),0)</f>
        <v>0</v>
      </c>
      <c r="I99" s="401">
        <f>MAX(TREND(I88:I89,B88:B89,B99),0)</f>
        <v>0</v>
      </c>
      <c r="J99" s="402">
        <f>MAX(TREND(J88:J89,B88:B89,B99),0)</f>
        <v>0</v>
      </c>
      <c r="K99" s="435">
        <f>IFERROR(IF(INDEX(HwyTransitModelGroup,A82,1)=Hwy,MAX(5,ROUND(C99/E99,1)),MAX(5,ROUND(G99/I99,1))),55)</f>
        <v>36.799999999999997</v>
      </c>
      <c r="L99" s="436">
        <f>IFERROR(IF(INDEX(HwyTransitModelGroup,A82,1)=Hwy,MAX(5,ROUND(D99/F99,1)),MAX(5,ROUND(H99/J99,1))),55)</f>
        <v>47</v>
      </c>
      <c r="M99" s="405">
        <f>MIN(MAX(TREND(M88:M89,B88:B89,B99),0),1)</f>
        <v>0.24</v>
      </c>
      <c r="N99" s="406">
        <f>MIN(MAX(TREND(N88:N89,B88:B89,B99),0),1)</f>
        <v>0.24</v>
      </c>
      <c r="O99" s="401">
        <f>MAX(TREND(O88:O89,B88:B89,B99),0)</f>
        <v>0</v>
      </c>
      <c r="P99" s="402">
        <f>MAX(TREND(P88:P89,B88:B89,B99),0)</f>
        <v>0</v>
      </c>
      <c r="Q99" s="729">
        <f>IF(INDEX(HwyTransitModelGroup,A82,1)=Hwy,C99*(1-M99)*0.00000110231131*(VLOOKUP(K99,EmAuto20,2)*VLOOKUP(ProjLoc,EmCost,2)+VLOOKUP(K99,EmAuto20,3)*VLOOKUP(ProjLoc,EmCost,3)*(1+CO2Uprater)^($B99-YearCurrent)+VLOOKUP(K99,EmAuto20,4)*VLOOKUP(ProjLoc,EmCost,4)+VLOOKUP(K99,EmAuto20,5)*VLOOKUP(ProjLoc,EmCost,5)+VLOOKUP(K99,EmAuto20,6)*VLOOKUP(ProjLoc,EmCost,6)+VLOOKUP(K99,EmAuto20,7)*VLOOKUP(ProjLoc,EmCost,7))+C99*M99*0.00000110231131*(VLOOKUP(K99,EmTruck20,2)*VLOOKUP(ProjLoc,EmCost,2)+VLOOKUP(K99,EmTruck20,3)*VLOOKUP(ProjLoc,EmCost,3)*(1+CO2Uprater)^($B99-YearCurrent)+VLOOKUP(K99,EmTruck20,4)*VLOOKUP(ProjLoc,EmCost,4)+VLOOKUP(K99,EmTruck20,5)*VLOOKUP(ProjLoc,EmCost,5)+VLOOKUP(K99,EmTruck20,6)*VLOOKUP(ProjLoc,EmCost,6)+VLOOKUP(K99,EmTruck20,7)*VLOOKUP(ProjLoc,EmCost,7)),0)</f>
        <v>14885.107352097686</v>
      </c>
      <c r="R99" s="802">
        <f>IF(INDEX(HwyTransitModelGroup,A82,1)=Hwy,D99*(1-N99)*0.00000110231131*(VLOOKUP(L99,EmAuto20,2)*VLOOKUP(ProjLoc,EmCost,2)+VLOOKUP(L99,EmAuto20,3)*VLOOKUP(ProjLoc,EmCost,3)*(1+CO2Uprater)^($B99-YearCurrent)+VLOOKUP(L99,EmAuto20,4)*VLOOKUP(ProjLoc,EmCost,4)+VLOOKUP(L99,EmAuto20,5)*VLOOKUP(ProjLoc,EmCost,5)+VLOOKUP(L99,EmAuto20,6)*VLOOKUP(ProjLoc,EmCost,6)+VLOOKUP(L99,EmAuto20,7)*VLOOKUP(ProjLoc,EmCost,7))+D99*N99*0.00000110231131*(VLOOKUP(L99,EmTruck20,2)*VLOOKUP(ProjLoc,EmCost,2)+VLOOKUP(L99,EmTruck20,3)*VLOOKUP(ProjLoc,EmCost,3)*(1+CO2Uprater)^($B99-YearCurrent)+VLOOKUP(L99,EmTruck20,4)*VLOOKUP(ProjLoc,EmCost,4)+VLOOKUP(L99,EmTruck20,5)*VLOOKUP(ProjLoc,EmCost,5)+VLOOKUP(L99,EmTruck20,6)*VLOOKUP(ProjLoc,EmCost,6)+VLOOKUP(L99,EmTruck20,7)*VLOOKUP(ProjLoc,EmCost,7)),0)</f>
        <v>14587.651447233784</v>
      </c>
      <c r="S99" s="729">
        <f>IF(INDEX(HwyTransitModelGroup,A82,1)=Hwy,O99*(1-M99)*0.00000110231131*(VLOOKUP(0,EmAuto20,2)*VLOOKUP(ProjLoc,EmCost,2)+VLOOKUP(0,EmAuto20,3)*VLOOKUP(ProjLoc,EmCost,3)*(1+CO2Uprater)^($B99-YearCurrent)+VLOOKUP(0,EmAuto20,4)*VLOOKUP(ProjLoc,EmCost,4)+VLOOKUP(0,EmAuto20,5)*VLOOKUP(ProjLoc,EmCost,5)+VLOOKUP(0,EmAuto20,6)*VLOOKUP(ProjLoc,EmCost,6)+VLOOKUP(0,EmAuto20,7)*VLOOKUP(ProjLoc,EmCost,7))+O99*M99*0.00000110231131*(VLOOKUP(0,EmTruck20,2)*VLOOKUP(ProjLoc,EmCost,2)+VLOOKUP(0,EmTruck20,3)*VLOOKUP(ProjLoc,EmCost,3)*(1+CO2Uprater)^($B99-YearCurrent)+VLOOKUP(0,EmTruck20,4)*VLOOKUP(ProjLoc,EmCost,4)+VLOOKUP(0,EmTruck20,5)*VLOOKUP(ProjLoc,EmCost,5)+VLOOKUP(0,EmTruck20,6)*VLOOKUP(ProjLoc,EmCost,6)+VLOOKUP(0,EmTruck20,7)*VLOOKUP(ProjLoc,EmCost,7)),0)</f>
        <v>0</v>
      </c>
      <c r="T99" s="802">
        <f>IF(INDEX(HwyTransitModelGroup,A82,1)=Hwy,P99*(1-N99)*0.00000110231131*(VLOOKUP(0,EmAuto20,2)*VLOOKUP(ProjLoc,EmCost,2)+VLOOKUP(0,EmAuto20,3)*VLOOKUP(ProjLoc,EmCost,3)*(1+CO2Uprater)^($B99-YearCurrent)+VLOOKUP(0,EmAuto20,4)*VLOOKUP(ProjLoc,EmCost,4)+VLOOKUP(0,EmAuto20,5)*VLOOKUP(ProjLoc,EmCost,5)+VLOOKUP(0,EmAuto20,6)*VLOOKUP(ProjLoc,EmCost,6)+VLOOKUP(0,EmAuto20,7)*VLOOKUP(ProjLoc,EmCost,7))+P99*N99*0.00000110231131*(VLOOKUP(0,EmTruck20,2)*VLOOKUP(ProjLoc,EmCost,2)+VLOOKUP(0,EmTruck20,3)*VLOOKUP(ProjLoc,EmCost,3)*(1+CO2Uprater)^($B99-YearCurrent)+VLOOKUP(0,EmTruck20,4)*VLOOKUP(ProjLoc,EmCost,4)+VLOOKUP(0,EmTruck20,5)*VLOOKUP(ProjLoc,EmCost,5)+VLOOKUP(0,EmTruck20,6)*VLOOKUP(ProjLoc,EmCost,6)+VLOOKUP(0,EmTruck20,7)*VLOOKUP(ProjLoc,EmCost,7)),0)</f>
        <v>0</v>
      </c>
      <c r="U99" s="729">
        <f>IF(INDEX(HwyTransitModelGroup,A82,1)=PARAMETERS!$J$9,C99*0.00000110231131*(VLOOKUP(K99,EmBus20,2)*VLOOKUP(ProjLoc,EmCost,2)+VLOOKUP(K99,EmBus20,3)*VLOOKUP(ProjLoc,EmCost,3)*(1+CO2Uprater)^($B99-YearCurrent)+VLOOKUP(K99,EmBus20,4)*VLOOKUP(ProjLoc,EmCost,4)+VLOOKUP(K99,EmBus20,5)*VLOOKUP(ProjLoc,EmCost,5)+VLOOKUP(K99,EmBus20,6)*VLOOKUP(ProjLoc,EmCost,6)+VLOOKUP(K99,EmBus20,7)*VLOOKUP(ProjLoc,EmCost,7)),0)</f>
        <v>0</v>
      </c>
      <c r="V99" s="802">
        <f>IF(INDEX(HwyTransitModelGroup,A82,1)=PARAMETERS!$J$9,D99*0.00000110231131*(VLOOKUP(L99,EmBus20,2)*VLOOKUP(ProjLoc,EmCost,2)+VLOOKUP(L99,EmBus20,3)*VLOOKUP(ProjLoc,EmCost,3)*(1+CO2Uprater)^($B99-YearCurrent)+VLOOKUP(L99,EmBus20,4)*VLOOKUP(ProjLoc,EmCost,4)+VLOOKUP(L99,EmBus20,5)*VLOOKUP(ProjLoc,EmCost,5)+VLOOKUP(L99,EmBus20,6)*VLOOKUP(ProjLoc,EmCost,6)+VLOOKUP(L99,EmBus20,7)*VLOOKUP(ProjLoc,EmCost,7)),0)</f>
        <v>0</v>
      </c>
      <c r="W99" s="808">
        <f>IF(INDEX(HwyTransitModelGroup,A82,1)=PARAMETERS!$J$10,C99*0.00000110231131*(PARAMETERS!$CQ$29*VLOOKUP(ProjLoc,EmCost,2)+PARAMETERS!$CR$29*VLOOKUP(ProjLoc,EmCost,3)*(1+CO2Uprater)^($B99-YearCurrent)+PARAMETERS!$CS$29*VLOOKUP(ProjLoc,EmCost,4)+PARAMETERS!$CT$29*VLOOKUP(ProjLoc,EmCost,5)+PARAMETERS!$CU$29*VLOOKUP(ProjLoc,EmCost,6)+PARAMETERS!$CV$29*VLOOKUP(ProjLoc,EmCost,7)),0)</f>
        <v>0</v>
      </c>
      <c r="X99" s="844">
        <f>IF(INDEX(HwyTransitModelGroup,A82,1)=PARAMETERS!$J$10,D99*0.00000110231131*(PARAMETERS!$CQ$29*VLOOKUP(ProjLoc,EmCost,2)+PARAMETERS!$CR$29*VLOOKUP(ProjLoc,EmCost,3)*(1+CO2Uprater)^($B99-YearCurrent)+PARAMETERS!$CS$29*VLOOKUP(ProjLoc,EmCost,4)+PARAMETERS!$CT$29*VLOOKUP(ProjLoc,EmCost,5)+PARAMETERS!$CU$29*VLOOKUP(ProjLoc,EmCost,6)+PARAMETERS!$CV$29*VLOOKUP(ProjLoc,EmCost,7)),0)</f>
        <v>0</v>
      </c>
      <c r="Y99" s="808">
        <f>IF(INDEX(HwyTransitModelGroup,A82,1)=PARAMETERS!$J$11,C99*0.00000110231131*(PARAMETERS!$CQ$37*VLOOKUP(ProjLoc,EmCost,2)+PARAMETERS!$CR$37*VLOOKUP(ProjLoc,EmCost,3)*(1+CO2Uprater)^($B99-YearCurrent)+PARAMETERS!$CS$37*VLOOKUP(ProjLoc,EmCost,4)+PARAMETERS!$CT$37*VLOOKUP(ProjLoc,EmCost,5)+PARAMETERS!$CU$37*VLOOKUP(ProjLoc,EmCost,6)+PARAMETERS!$CV$37*VLOOKUP(ProjLoc,EmCost,7)),0)</f>
        <v>0</v>
      </c>
      <c r="Z99" s="844">
        <f>IF(INDEX(HwyTransitModelGroup,A82,1)=PARAMETERS!$J$11,D99*0.00000110231131*(PARAMETERS!$CQ$37*VLOOKUP(ProjLoc,EmCost,2)+PARAMETERS!$CR$37*VLOOKUP(ProjLoc,EmCost,3)*(1+CO2Uprater)^($B99-YearCurrent)+PARAMETERS!$CS$37*VLOOKUP(ProjLoc,EmCost,4)+PARAMETERS!$CT$37*VLOOKUP(ProjLoc,EmCost,5)+PARAMETERS!$CU$37*VLOOKUP(ProjLoc,EmCost,6)+PARAMETERS!$CV$37*VLOOKUP(ProjLoc,EmCost,7)),0)</f>
        <v>0</v>
      </c>
      <c r="AA99" s="369">
        <f t="shared" si="33"/>
        <v>297.45590486390211</v>
      </c>
      <c r="AB99" s="370">
        <f t="shared" si="34"/>
        <v>185.7900805581618</v>
      </c>
      <c r="AC99" s="371"/>
      <c r="AD99" s="401">
        <f>IF(INDEX(HwyTransitModelGroup,A82,1)=Hwy,0.00000110231131*(C99*(1-M99)*VLOOKUP(K99,EmAuto20,2)-D99*(1-N99)*VLOOKUP(L99,EmAuto20,2)+(O99*(1-M99)-P99*(1-N99))*VLOOKUP(0,EmAuto20,2))+0.00000110231131*(C99*M99*VLOOKUP(K99,EmTruck20,2)-D99*N99*VLOOKUP(L99,EmTruck20,2)+(O99*M99-P99*N99)*VLOOKUP(0,EmTruck20,2)),0)</f>
        <v>4.8191849751945431E-2</v>
      </c>
      <c r="AE99" s="863">
        <f>IF(INDEX(HwyTransitModelGroup,A82,1)=Hwy,0.00000110231131*(C99*(1-M99)*VLOOKUP(K99,EmAuto20,3)-D99*(1-N99)*VLOOKUP(L99,EmAuto20,3)+(O99*(1-M99)-P99*(1-N99))*VLOOKUP(0,EmAuto20,3))+0.00000110231131*(C99*M99*VLOOKUP(K99,EmTruck20,3)-D99*N99*VLOOKUP(L99,EmTruck20,3)+(O99*M99-P99*N99)*VLOOKUP(0,EmTruck20,3)),0)</f>
        <v>0.89678018503459744</v>
      </c>
      <c r="AF99" s="861">
        <f>IF(INDEX(HwyTransitModelGroup,A82,1)=Hwy,0.00000110231131*(C99*(1-M99)*VLOOKUP(K99,EmAuto20,4)-D99*(1-N99)*VLOOKUP(L99,EmAuto20,4)+(O99*(1-M99)-P99*(1-N99))*VLOOKUP(0,EmAuto20,4))+0.00000110231131*(C99*M99*VLOOKUP(K99,EmTruck20,4)-D99*N99*VLOOKUP(L99,EmTruck20,4)+(O99*M99-P99*N99)*VLOOKUP(0,EmTruck20,4)),0)</f>
        <v>1.7948275979979247E-2</v>
      </c>
      <c r="AG99" s="863">
        <f>IF(INDEX(HwyTransitModelGroup,A82,1)=Hwy,0.00000110231131*(C99*(1-M99)*VLOOKUP(K99,EmAuto20,5)-D99*(1-N99)*VLOOKUP(L99,EmAuto20,5)+(O99*(1-M99)-P99*(1-N99))*VLOOKUP(0,EmAuto20,5))+0.00000110231131*(C99*M99*VLOOKUP(K99,EmTruck20,5)-D99*N99*VLOOKUP(L99,EmTruck20,5)+(O99*M99-P99*N99)*VLOOKUP(0,EmTruck20,5)),0)</f>
        <v>-2.6633892871410174E-4</v>
      </c>
      <c r="AH99" s="861">
        <f>IF(INDEX(HwyTransitModelGroup,A82,1)=Hwy,0.00000110231131*(C99*(1-M99)*VLOOKUP(K99,EmAuto20,6)-D99*(1-N99)*VLOOKUP(L99,EmAuto20,6)+(O99*(1-M99)-P99*(1-N99))*VLOOKUP(0,EmAuto20,6))+0.00000110231131*(C99*M99*VLOOKUP(K99,EmTruck20,6)-D99*N99*VLOOKUP(L99,EmTruck20,6)+(O99*M99-P99*N99)*VLOOKUP(0,EmTruck20,6)),0)</f>
        <v>-3.5452589263162535E-5</v>
      </c>
      <c r="AI99" s="863">
        <f>IF(INDEX(HwyTransitModelGroup,A82,1)=Hwy,0.00000110231131*(C99*(1-M99)*VLOOKUP(K99,EmAuto20,7)-D99*(1-N99)*VLOOKUP(L99,EmAuto20,7)+(O99*(1-M99)-P99*(1-N99))*VLOOKUP(0,EmAuto20,7))+0.00000110231131*(C99*M99*VLOOKUP(K99,EmTruck20,7)-D99*N99*VLOOKUP(L99,EmTruck20,7)+(O99*M99-P99*N99)*VLOOKUP(0,EmTruck20,7)),0)</f>
        <v>1.0477549514368084E-3</v>
      </c>
      <c r="AJ99" s="861">
        <f>IF(INDEX(HwyTransitModelGroup,A82,1)=Hwy,0.00000110231131*(C99*(1-M99)*VLOOKUP(K99,EmAuto20,8)-D99*(1-N99)*VLOOKUP(L99,EmAuto20,8)+(O99*(1-M99)-P99*(1-N99))*VLOOKUP(0,EmAuto20,8))+0.00000110231131*(C99*M99*VLOOKUP(K99,EmTruck20,8)-D99*N99*VLOOKUP(L99,EmTruck20,8)+(O99*M99-P99*N99)*VLOOKUP(0,EmTruck20,8)),0)</f>
        <v>-3.0396063294534673E-4</v>
      </c>
      <c r="AK99" s="401">
        <f>IF(INDEX(HwyTransitModelGroup,A82,1)=PARAMETERS!$J$9,0.00000110231131*(C99*VLOOKUP(K99,EmBus20,2)-D99*VLOOKUP(L99,EmBus20,2)+(O99-P99)*VLOOKUP(0,EmBus20,2)),0)</f>
        <v>0</v>
      </c>
      <c r="AL99" s="863">
        <f>IF(INDEX(HwyTransitModelGroup,A82,1)=PARAMETERS!$J$9,0.00000110231131*(C99*VLOOKUP(K99,EmBus20,3)-D99*VLOOKUP(L99,EmBus20,3)+(O99-P99)*VLOOKUP(0,EmBus20,3)),0)</f>
        <v>0</v>
      </c>
      <c r="AM99" s="861">
        <f>IF(INDEX(HwyTransitModelGroup,A82,1)=PARAMETERS!$J$9,0.00000110231131*(C99*VLOOKUP(K99,EmBus20,4)-D99*VLOOKUP(L99,EmBus20,4)+(O99-P99)*VLOOKUP(0,EmBus20,4)),0)</f>
        <v>0</v>
      </c>
      <c r="AN99" s="863">
        <f>IF(INDEX(HwyTransitModelGroup,A82,1)=PARAMETERS!$J$9,0.00000110231131*(C99*VLOOKUP(K99,EmBus20,5)-D99*VLOOKUP(L99,EmBus20,5)+(O99-P99)*VLOOKUP(0,EmBus20,5)),0)</f>
        <v>0</v>
      </c>
      <c r="AO99" s="861">
        <f>IF(INDEX(HwyTransitModelGroup,A82,1)=PARAMETERS!$J$9,0.00000110231131*(C99*VLOOKUP(K99,EmBus20,6)-D99*VLOOKUP(L99,EmBus20,6)+(O99-P99)*VLOOKUP(0,EmBus20,6)),0)</f>
        <v>0</v>
      </c>
      <c r="AP99" s="863">
        <f>IF(INDEX(HwyTransitModelGroup,A82,1)=PARAMETERS!$J$9,0.00000110231131*(C99*VLOOKUP(K99,EmBus20,7)-D99*VLOOKUP(L99,EmBus20,7)+(O99-P99)*VLOOKUP(0,EmBus20,7)),0)</f>
        <v>0</v>
      </c>
      <c r="AQ99" s="861">
        <f>IF(INDEX(HwyTransitModelGroup,A82,1)=PARAMETERS!$J$9,0.00000110231131*(C99*VLOOKUP(K99,EmBus20,8)-D99*VLOOKUP(L99,EmBus20,8)+(O99-P99)*VLOOKUP(0,EmBus20,8)),0)</f>
        <v>0</v>
      </c>
      <c r="AR99" s="401">
        <f>IF(INDEX(HwyTransitModelGroup,A82,1)=PARAMETERS!$J$10,0.00000110231131*((C99-D99)*PARAMETERS!$CQ$29),0)</f>
        <v>0</v>
      </c>
      <c r="AS99" s="863">
        <f>IF(INDEX(HwyTransitModelGroup,A82,1)=PARAMETERS!$J$10,0.00000110231131*((C99-D99)*PARAMETERS!$CR$29),0)</f>
        <v>0</v>
      </c>
      <c r="AT99" s="861">
        <f>IF(INDEX(HwyTransitModelGroup,A82,1)=PARAMETERS!$J$10,0.00000110231131*((C99-D99)*PARAMETERS!$CS$29),0)</f>
        <v>0</v>
      </c>
      <c r="AU99" s="863">
        <f>IF(INDEX(HwyTransitModelGroup,A82,1)=PARAMETERS!$J$10,0.00000110231131*((C99-D99)*PARAMETERS!$CT$29),0)</f>
        <v>0</v>
      </c>
      <c r="AV99" s="861">
        <f>IF(INDEX(HwyTransitModelGroup,A82,1)=PARAMETERS!$J$10,0.00000110231131*((C99-D99)*PARAMETERS!$CU$29),0)</f>
        <v>0</v>
      </c>
      <c r="AW99" s="863">
        <f>IF(INDEX(HwyTransitModelGroup,A82,1)=PARAMETERS!$J$10,0.00000110231131*((C99-D99)*PARAMETERS!$CV$29),0)</f>
        <v>0</v>
      </c>
      <c r="AX99" s="861">
        <f>IF(INDEX(HwyTransitModelGroup,A82,1)=PARAMETERS!$J$10,0.00000110231131*((C99-D99)*PARAMETERS!$CW$29),0)</f>
        <v>0</v>
      </c>
      <c r="AY99" s="401">
        <f>IF(INDEX(HwyTransitModelGroup,A82,1)=PARAMETERS!$J$11,0.00000110231131*((C99-D99)*PARAMETERS!$CQ$37),0)</f>
        <v>0</v>
      </c>
      <c r="AZ99" s="863">
        <f>IF(INDEX(HwyTransitModelGroup,A82,1)=PARAMETERS!$J$11,0.00000110231131*((C99-D99)*PARAMETERS!$CR$37),0)</f>
        <v>0</v>
      </c>
      <c r="BA99" s="861">
        <f>IF(INDEX(HwyTransitModelGroup,A82,1)=PARAMETERS!$J$11,0.00000110231131*((C99-D99)*PARAMETERS!$CS$37),0)</f>
        <v>0</v>
      </c>
      <c r="BB99" s="863">
        <f>IF(INDEX(HwyTransitModelGroup,A82,1)=PARAMETERS!$J$11,0.00000110231131*((C99-D99)*PARAMETERS!$CT$37),0)</f>
        <v>0</v>
      </c>
      <c r="BC99" s="861">
        <f>IF(INDEX(HwyTransitModelGroup,A82,1)=PARAMETERS!$J$11,0.00000110231131*((C99-D99)*PARAMETERS!$CU$37),0)</f>
        <v>0</v>
      </c>
      <c r="BD99" s="863">
        <f>IF(INDEX(HwyTransitModelGroup,A82,1)=PARAMETERS!$J$11,0.00000110231131*((C99-D99)*PARAMETERS!$CV$37),0)</f>
        <v>0</v>
      </c>
      <c r="BE99" s="865">
        <f>IF(INDEX(HwyTransitModelGroup,A82,1)=PARAMETERS!$J$11,0.00000110231131*((C99-D99)*PARAMETERS!$CW$37),0)</f>
        <v>0</v>
      </c>
      <c r="BF99" s="729">
        <f t="shared" si="35"/>
        <v>2.4080389735096728</v>
      </c>
      <c r="BG99" s="867">
        <f t="shared" si="36"/>
        <v>34.098025451522062</v>
      </c>
      <c r="BH99" s="867">
        <f t="shared" si="37"/>
        <v>169.27764735437123</v>
      </c>
      <c r="BI99" s="867">
        <f t="shared" si="38"/>
        <v>-19.413571207668816</v>
      </c>
      <c r="BJ99" s="867">
        <f t="shared" si="39"/>
        <v>-1.3064713765709677</v>
      </c>
      <c r="BK99" s="869">
        <f t="shared" si="40"/>
        <v>0.72641136299887188</v>
      </c>
      <c r="BL99" s="392"/>
      <c r="BN99" s="375">
        <f t="shared" si="44"/>
        <v>2033</v>
      </c>
      <c r="BO99" s="871">
        <f t="shared" ca="1" si="41"/>
        <v>-5.9598853169851296</v>
      </c>
      <c r="BP99" s="871">
        <f t="shared" ca="1" si="42"/>
        <v>-17.44778634233252</v>
      </c>
      <c r="BQ99" s="871">
        <f t="shared" ca="1" si="42"/>
        <v>0.8850553771128048</v>
      </c>
      <c r="BR99" s="871">
        <f t="shared" ca="1" si="42"/>
        <v>-48.455523125959026</v>
      </c>
      <c r="BS99" s="871">
        <f t="shared" ca="1" si="42"/>
        <v>865.67345603847662</v>
      </c>
      <c r="BT99" s="871">
        <f t="shared" ca="1" si="42"/>
        <v>1122.9761869848057</v>
      </c>
    </row>
    <row r="100" spans="2:72" x14ac:dyDescent="0.25">
      <c r="B100" s="375">
        <f t="shared" si="43"/>
        <v>2035</v>
      </c>
      <c r="C100" s="401">
        <f>MAX(TREND(C88:C89,B88:B89,B100),0)</f>
        <v>652547</v>
      </c>
      <c r="D100" s="402">
        <f>MAX(TREND(D88:D89,B88:B89,B100),0)</f>
        <v>641943.75</v>
      </c>
      <c r="E100" s="401">
        <f>MAX(TREND(E88:E89,B88:B89,B100),0)</f>
        <v>17757.25</v>
      </c>
      <c r="F100" s="402">
        <f>MAX(TREND(F88:F89,B88:B89,B100),0)</f>
        <v>13651</v>
      </c>
      <c r="G100" s="401">
        <f>MAX(TREND(G88:G89,B88:B89,B100),0)</f>
        <v>0</v>
      </c>
      <c r="H100" s="402">
        <f>MAX(TREND(H88:H89,B88:B89,B100),0)</f>
        <v>0</v>
      </c>
      <c r="I100" s="401">
        <f>MAX(TREND(I88:I89,B88:B89,B100),0)</f>
        <v>0</v>
      </c>
      <c r="J100" s="402">
        <f>MAX(TREND(J88:J89,B88:B89,B100),0)</f>
        <v>0</v>
      </c>
      <c r="K100" s="435">
        <f>IFERROR(IF(INDEX(HwyTransitModelGroup,A82,1)=Hwy,MAX(5,ROUND(C100/E100,1)),MAX(5,ROUND(G100/I100,1))),55)</f>
        <v>36.700000000000003</v>
      </c>
      <c r="L100" s="436">
        <f>IFERROR(IF(INDEX(HwyTransitModelGroup,A82,1)=Hwy,MAX(5,ROUND(D100/F100,1)),MAX(5,ROUND(H100/J100,1))),55)</f>
        <v>47</v>
      </c>
      <c r="M100" s="405">
        <f>MIN(MAX(TREND(M88:M89,B88:B89,B100),0),1)</f>
        <v>0.24</v>
      </c>
      <c r="N100" s="406">
        <f>MIN(MAX(TREND(N88:N89,B88:B89,B100),0),1)</f>
        <v>0.24</v>
      </c>
      <c r="O100" s="401">
        <f>MAX(TREND(O88:O89,B88:B89,B100),0)</f>
        <v>0</v>
      </c>
      <c r="P100" s="402">
        <f>MAX(TREND(P88:P89,B88:B89,B100),0)</f>
        <v>0</v>
      </c>
      <c r="Q100" s="729">
        <f>IF(INDEX(HwyTransitModelGroup,A82,1)=Hwy,C100*(1-M100)*0.00000110231131*(VLOOKUP(K100,EmAuto20,2)*VLOOKUP(ProjLoc,EmCost,2)+VLOOKUP(K100,EmAuto20,3)*VLOOKUP(ProjLoc,EmCost,3)*(1+CO2Uprater)^($B100-YearCurrent)+VLOOKUP(K100,EmAuto20,4)*VLOOKUP(ProjLoc,EmCost,4)+VLOOKUP(K100,EmAuto20,5)*VLOOKUP(ProjLoc,EmCost,5)+VLOOKUP(K100,EmAuto20,6)*VLOOKUP(ProjLoc,EmCost,6)+VLOOKUP(K100,EmAuto20,7)*VLOOKUP(ProjLoc,EmCost,7))+C100*M100*0.00000110231131*(VLOOKUP(K100,EmTruck20,2)*VLOOKUP(ProjLoc,EmCost,2)+VLOOKUP(K100,EmTruck20,3)*VLOOKUP(ProjLoc,EmCost,3)*(1+CO2Uprater)^($B100-YearCurrent)+VLOOKUP(K100,EmTruck20,4)*VLOOKUP(ProjLoc,EmCost,4)+VLOOKUP(K100,EmTruck20,5)*VLOOKUP(ProjLoc,EmCost,5)+VLOOKUP(K100,EmTruck20,6)*VLOOKUP(ProjLoc,EmCost,6)+VLOOKUP(K100,EmTruck20,7)*VLOOKUP(ProjLoc,EmCost,7)),0)</f>
        <v>15405.825698432349</v>
      </c>
      <c r="R100" s="802">
        <f>IF(INDEX(HwyTransitModelGroup,A82,1)=Hwy,D100*(1-N100)*0.00000110231131*(VLOOKUP(L100,EmAuto20,2)*VLOOKUP(ProjLoc,EmCost,2)+VLOOKUP(L100,EmAuto20,3)*VLOOKUP(ProjLoc,EmCost,3)*(1+CO2Uprater)^($B100-YearCurrent)+VLOOKUP(L100,EmAuto20,4)*VLOOKUP(ProjLoc,EmCost,4)+VLOOKUP(L100,EmAuto20,5)*VLOOKUP(ProjLoc,EmCost,5)+VLOOKUP(L100,EmAuto20,6)*VLOOKUP(ProjLoc,EmCost,6)+VLOOKUP(L100,EmAuto20,7)*VLOOKUP(ProjLoc,EmCost,7))+D100*N100*0.00000110231131*(VLOOKUP(L100,EmTruck20,2)*VLOOKUP(ProjLoc,EmCost,2)+VLOOKUP(L100,EmTruck20,3)*VLOOKUP(ProjLoc,EmCost,3)*(1+CO2Uprater)^($B100-YearCurrent)+VLOOKUP(L100,EmTruck20,4)*VLOOKUP(ProjLoc,EmCost,4)+VLOOKUP(L100,EmTruck20,5)*VLOOKUP(ProjLoc,EmCost,5)+VLOOKUP(L100,EmTruck20,6)*VLOOKUP(ProjLoc,EmCost,6)+VLOOKUP(L100,EmTruck20,7)*VLOOKUP(ProjLoc,EmCost,7)),0)</f>
        <v>15102.534458431244</v>
      </c>
      <c r="S100" s="729">
        <f>IF(INDEX(HwyTransitModelGroup,A82,1)=Hwy,O100*(1-M100)*0.00000110231131*(VLOOKUP(0,EmAuto20,2)*VLOOKUP(ProjLoc,EmCost,2)+VLOOKUP(0,EmAuto20,3)*VLOOKUP(ProjLoc,EmCost,3)*(1+CO2Uprater)^($B100-YearCurrent)+VLOOKUP(0,EmAuto20,4)*VLOOKUP(ProjLoc,EmCost,4)+VLOOKUP(0,EmAuto20,5)*VLOOKUP(ProjLoc,EmCost,5)+VLOOKUP(0,EmAuto20,6)*VLOOKUP(ProjLoc,EmCost,6)+VLOOKUP(0,EmAuto20,7)*VLOOKUP(ProjLoc,EmCost,7))+O100*M100*0.00000110231131*(VLOOKUP(0,EmTruck20,2)*VLOOKUP(ProjLoc,EmCost,2)+VLOOKUP(0,EmTruck20,3)*VLOOKUP(ProjLoc,EmCost,3)*(1+CO2Uprater)^($B100-YearCurrent)+VLOOKUP(0,EmTruck20,4)*VLOOKUP(ProjLoc,EmCost,4)+VLOOKUP(0,EmTruck20,5)*VLOOKUP(ProjLoc,EmCost,5)+VLOOKUP(0,EmTruck20,6)*VLOOKUP(ProjLoc,EmCost,6)+VLOOKUP(0,EmTruck20,7)*VLOOKUP(ProjLoc,EmCost,7)),0)</f>
        <v>0</v>
      </c>
      <c r="T100" s="802">
        <f>IF(INDEX(HwyTransitModelGroup,A82,1)=Hwy,P100*(1-N100)*0.00000110231131*(VLOOKUP(0,EmAuto20,2)*VLOOKUP(ProjLoc,EmCost,2)+VLOOKUP(0,EmAuto20,3)*VLOOKUP(ProjLoc,EmCost,3)*(1+CO2Uprater)^($B100-YearCurrent)+VLOOKUP(0,EmAuto20,4)*VLOOKUP(ProjLoc,EmCost,4)+VLOOKUP(0,EmAuto20,5)*VLOOKUP(ProjLoc,EmCost,5)+VLOOKUP(0,EmAuto20,6)*VLOOKUP(ProjLoc,EmCost,6)+VLOOKUP(0,EmAuto20,7)*VLOOKUP(ProjLoc,EmCost,7))+P100*N100*0.00000110231131*(VLOOKUP(0,EmTruck20,2)*VLOOKUP(ProjLoc,EmCost,2)+VLOOKUP(0,EmTruck20,3)*VLOOKUP(ProjLoc,EmCost,3)*(1+CO2Uprater)^($B100-YearCurrent)+VLOOKUP(0,EmTruck20,4)*VLOOKUP(ProjLoc,EmCost,4)+VLOOKUP(0,EmTruck20,5)*VLOOKUP(ProjLoc,EmCost,5)+VLOOKUP(0,EmTruck20,6)*VLOOKUP(ProjLoc,EmCost,6)+VLOOKUP(0,EmTruck20,7)*VLOOKUP(ProjLoc,EmCost,7)),0)</f>
        <v>0</v>
      </c>
      <c r="U100" s="729">
        <f>IF(INDEX(HwyTransitModelGroup,A82,1)=PARAMETERS!$J$9,C100*0.00000110231131*(VLOOKUP(K100,EmBus20,2)*VLOOKUP(ProjLoc,EmCost,2)+VLOOKUP(K100,EmBus20,3)*VLOOKUP(ProjLoc,EmCost,3)*(1+CO2Uprater)^($B100-YearCurrent)+VLOOKUP(K100,EmBus20,4)*VLOOKUP(ProjLoc,EmCost,4)+VLOOKUP(K100,EmBus20,5)*VLOOKUP(ProjLoc,EmCost,5)+VLOOKUP(K100,EmBus20,6)*VLOOKUP(ProjLoc,EmCost,6)+VLOOKUP(K100,EmBus20,7)*VLOOKUP(ProjLoc,EmCost,7)),0)</f>
        <v>0</v>
      </c>
      <c r="V100" s="802">
        <f>IF(INDEX(HwyTransitModelGroup,A82,1)=PARAMETERS!$J$9,D100*0.00000110231131*(VLOOKUP(L100,EmBus20,2)*VLOOKUP(ProjLoc,EmCost,2)+VLOOKUP(L100,EmBus20,3)*VLOOKUP(ProjLoc,EmCost,3)*(1+CO2Uprater)^($B100-YearCurrent)+VLOOKUP(L100,EmBus20,4)*VLOOKUP(ProjLoc,EmCost,4)+VLOOKUP(L100,EmBus20,5)*VLOOKUP(ProjLoc,EmCost,5)+VLOOKUP(L100,EmBus20,6)*VLOOKUP(ProjLoc,EmCost,6)+VLOOKUP(L100,EmBus20,7)*VLOOKUP(ProjLoc,EmCost,7)),0)</f>
        <v>0</v>
      </c>
      <c r="W100" s="808">
        <f>IF(INDEX(HwyTransitModelGroup,A82,1)=PARAMETERS!$J$10,C100*0.00000110231131*(PARAMETERS!$CQ$29*VLOOKUP(ProjLoc,EmCost,2)+PARAMETERS!$CR$29*VLOOKUP(ProjLoc,EmCost,3)*(1+CO2Uprater)^($B100-YearCurrent)+PARAMETERS!$CS$29*VLOOKUP(ProjLoc,EmCost,4)+PARAMETERS!$CT$29*VLOOKUP(ProjLoc,EmCost,5)+PARAMETERS!$CU$29*VLOOKUP(ProjLoc,EmCost,6)+PARAMETERS!$CV$29*VLOOKUP(ProjLoc,EmCost,7)),0)</f>
        <v>0</v>
      </c>
      <c r="X100" s="844">
        <f>IF(INDEX(HwyTransitModelGroup,A82,1)=PARAMETERS!$J$10,D100*0.00000110231131*(PARAMETERS!$CQ$29*VLOOKUP(ProjLoc,EmCost,2)+PARAMETERS!$CR$29*VLOOKUP(ProjLoc,EmCost,3)*(1+CO2Uprater)^($B100-YearCurrent)+PARAMETERS!$CS$29*VLOOKUP(ProjLoc,EmCost,4)+PARAMETERS!$CT$29*VLOOKUP(ProjLoc,EmCost,5)+PARAMETERS!$CU$29*VLOOKUP(ProjLoc,EmCost,6)+PARAMETERS!$CV$29*VLOOKUP(ProjLoc,EmCost,7)),0)</f>
        <v>0</v>
      </c>
      <c r="Y100" s="808">
        <f>IF(INDEX(HwyTransitModelGroup,A82,1)=PARAMETERS!$J$11,C100*0.00000110231131*(PARAMETERS!$CQ$37*VLOOKUP(ProjLoc,EmCost,2)+PARAMETERS!$CR$37*VLOOKUP(ProjLoc,EmCost,3)*(1+CO2Uprater)^($B100-YearCurrent)+PARAMETERS!$CS$37*VLOOKUP(ProjLoc,EmCost,4)+PARAMETERS!$CT$37*VLOOKUP(ProjLoc,EmCost,5)+PARAMETERS!$CU$37*VLOOKUP(ProjLoc,EmCost,6)+PARAMETERS!$CV$37*VLOOKUP(ProjLoc,EmCost,7)),0)</f>
        <v>0</v>
      </c>
      <c r="Z100" s="844">
        <f>IF(INDEX(HwyTransitModelGroup,A82,1)=PARAMETERS!$J$11,D100*0.00000110231131*(PARAMETERS!$CQ$37*VLOOKUP(ProjLoc,EmCost,2)+PARAMETERS!$CR$37*VLOOKUP(ProjLoc,EmCost,3)*(1+CO2Uprater)^($B100-YearCurrent)+PARAMETERS!$CS$37*VLOOKUP(ProjLoc,EmCost,4)+PARAMETERS!$CT$37*VLOOKUP(ProjLoc,EmCost,5)+PARAMETERS!$CU$37*VLOOKUP(ProjLoc,EmCost,6)+PARAMETERS!$CV$37*VLOOKUP(ProjLoc,EmCost,7)),0)</f>
        <v>0</v>
      </c>
      <c r="AA100" s="369">
        <f t="shared" si="33"/>
        <v>303.2912400011046</v>
      </c>
      <c r="AB100" s="370">
        <f t="shared" si="34"/>
        <v>182.14885929631669</v>
      </c>
      <c r="AC100" s="371"/>
      <c r="AD100" s="401">
        <f>IF(INDEX(HwyTransitModelGroup,A82,1)=Hwy,0.00000110231131*(C100*(1-M100)*VLOOKUP(K100,EmAuto20,2)-D100*(1-N100)*VLOOKUP(L100,EmAuto20,2)+(O100*(1-M100)-P100*(1-N100))*VLOOKUP(0,EmAuto20,2))+0.00000110231131*(C100*M100*VLOOKUP(K100,EmTruck20,2)-D100*N100*VLOOKUP(L100,EmTruck20,2)+(O100*M100-P100*N100)*VLOOKUP(0,EmTruck20,2)),0)</f>
        <v>4.8987883481959968E-2</v>
      </c>
      <c r="AE100" s="863">
        <f>IF(INDEX(HwyTransitModelGroup,A82,1)=Hwy,0.00000110231131*(C100*(1-M100)*VLOOKUP(K100,EmAuto20,3)-D100*(1-N100)*VLOOKUP(L100,EmAuto20,3)+(O100*(1-M100)-P100*(1-N100))*VLOOKUP(0,EmAuto20,3))+0.00000110231131*(C100*M100*VLOOKUP(K100,EmTruck20,3)-D100*N100*VLOOKUP(L100,EmTruck20,3)+(O100*M100-P100*N100)*VLOOKUP(0,EmTruck20,3)),0)</f>
        <v>0.90850499295640641</v>
      </c>
      <c r="AF100" s="861">
        <f>IF(INDEX(HwyTransitModelGroup,A82,1)=Hwy,0.00000110231131*(C100*(1-M100)*VLOOKUP(K100,EmAuto20,4)-D100*(1-N100)*VLOOKUP(L100,EmAuto20,4)+(O100*(1-M100)-P100*(1-N100))*VLOOKUP(0,EmAuto20,4))+0.00000110231131*(C100*M100*VLOOKUP(K100,EmTruck20,4)-D100*N100*VLOOKUP(L100,EmTruck20,4)+(O100*M100-P100*N100)*VLOOKUP(0,EmTruck20,4)),0)</f>
        <v>1.8245437971233576E-2</v>
      </c>
      <c r="AG100" s="863">
        <f>IF(INDEX(HwyTransitModelGroup,A82,1)=Hwy,0.00000110231131*(C100*(1-M100)*VLOOKUP(K100,EmAuto20,5)-D100*(1-N100)*VLOOKUP(L100,EmAuto20,5)+(O100*(1-M100)-P100*(1-N100))*VLOOKUP(0,EmAuto20,5))+0.00000110231131*(C100*M100*VLOOKUP(K100,EmTruck20,5)-D100*N100*VLOOKUP(L100,EmTruck20,5)+(O100*M100-P100*N100)*VLOOKUP(0,EmTruck20,5)),0)</f>
        <v>-2.7077822736965745E-4</v>
      </c>
      <c r="AH100" s="861">
        <f>IF(INDEX(HwyTransitModelGroup,A82,1)=Hwy,0.00000110231131*(C100*(1-M100)*VLOOKUP(K100,EmAuto20,6)-D100*(1-N100)*VLOOKUP(L100,EmAuto20,6)+(O100*(1-M100)-P100*(1-N100))*VLOOKUP(0,EmAuto20,6))+0.00000110231131*(C100*M100*VLOOKUP(K100,EmTruck20,6)-D100*N100*VLOOKUP(L100,EmTruck20,6)+(O100*M100-P100*N100)*VLOOKUP(0,EmTruck20,6)),0)</f>
        <v>-3.6071957044336732E-5</v>
      </c>
      <c r="AI100" s="863">
        <f>IF(INDEX(HwyTransitModelGroup,A82,1)=Hwy,0.00000110231131*(C100*(1-M100)*VLOOKUP(K100,EmAuto20,7)-D100*(1-N100)*VLOOKUP(L100,EmAuto20,7)+(O100*(1-M100)-P100*(1-N100))*VLOOKUP(0,EmAuto20,7))+0.00000110231131*(C100*M100*VLOOKUP(K100,EmTruck20,7)-D100*N100*VLOOKUP(L100,EmTruck20,7)+(O100*M100-P100*N100)*VLOOKUP(0,EmTruck20,7)),0)</f>
        <v>1.0650924211861462E-3</v>
      </c>
      <c r="AJ100" s="861">
        <f>IF(INDEX(HwyTransitModelGroup,A82,1)=Hwy,0.00000110231131*(C100*(1-M100)*VLOOKUP(K100,EmAuto20,8)-D100*(1-N100)*VLOOKUP(L100,EmAuto20,8)+(O100*(1-M100)-P100*(1-N100))*VLOOKUP(0,EmAuto20,8))+0.00000110231131*(C100*M100*VLOOKUP(K100,EmTruck20,8)-D100*N100*VLOOKUP(L100,EmTruck20,8)+(O100*M100-P100*N100)*VLOOKUP(0,EmTruck20,8)),0)</f>
        <v>-3.090238860994376E-4</v>
      </c>
      <c r="AK100" s="401">
        <f>IF(INDEX(HwyTransitModelGroup,A82,1)=PARAMETERS!$J$9,0.00000110231131*(C100*VLOOKUP(K100,EmBus20,2)-D100*VLOOKUP(L100,EmBus20,2)+(O100-P100)*VLOOKUP(0,EmBus20,2)),0)</f>
        <v>0</v>
      </c>
      <c r="AL100" s="863">
        <f>IF(INDEX(HwyTransitModelGroup,A82,1)=PARAMETERS!$J$9,0.00000110231131*(C100*VLOOKUP(K100,EmBus20,3)-D100*VLOOKUP(L100,EmBus20,3)+(O100-P100)*VLOOKUP(0,EmBus20,3)),0)</f>
        <v>0</v>
      </c>
      <c r="AM100" s="861">
        <f>IF(INDEX(HwyTransitModelGroup,A82,1)=PARAMETERS!$J$9,0.00000110231131*(C100*VLOOKUP(K100,EmBus20,4)-D100*VLOOKUP(L100,EmBus20,4)+(O100-P100)*VLOOKUP(0,EmBus20,4)),0)</f>
        <v>0</v>
      </c>
      <c r="AN100" s="863">
        <f>IF(INDEX(HwyTransitModelGroup,A82,1)=PARAMETERS!$J$9,0.00000110231131*(C100*VLOOKUP(K100,EmBus20,5)-D100*VLOOKUP(L100,EmBus20,5)+(O100-P100)*VLOOKUP(0,EmBus20,5)),0)</f>
        <v>0</v>
      </c>
      <c r="AO100" s="861">
        <f>IF(INDEX(HwyTransitModelGroup,A82,1)=PARAMETERS!$J$9,0.00000110231131*(C100*VLOOKUP(K100,EmBus20,6)-D100*VLOOKUP(L100,EmBus20,6)+(O100-P100)*VLOOKUP(0,EmBus20,6)),0)</f>
        <v>0</v>
      </c>
      <c r="AP100" s="863">
        <f>IF(INDEX(HwyTransitModelGroup,A82,1)=PARAMETERS!$J$9,0.00000110231131*(C100*VLOOKUP(K100,EmBus20,7)-D100*VLOOKUP(L100,EmBus20,7)+(O100-P100)*VLOOKUP(0,EmBus20,7)),0)</f>
        <v>0</v>
      </c>
      <c r="AQ100" s="861">
        <f>IF(INDEX(HwyTransitModelGroup,A82,1)=PARAMETERS!$J$9,0.00000110231131*(C100*VLOOKUP(K100,EmBus20,8)-D100*VLOOKUP(L100,EmBus20,8)+(O100-P100)*VLOOKUP(0,EmBus20,8)),0)</f>
        <v>0</v>
      </c>
      <c r="AR100" s="401">
        <f>IF(INDEX(HwyTransitModelGroup,A82,1)=PARAMETERS!$J$10,0.00000110231131*((C100-D100)*PARAMETERS!$CQ$29),0)</f>
        <v>0</v>
      </c>
      <c r="AS100" s="863">
        <f>IF(INDEX(HwyTransitModelGroup,A82,1)=PARAMETERS!$J$10,0.00000110231131*((C100-D100)*PARAMETERS!$CR$29),0)</f>
        <v>0</v>
      </c>
      <c r="AT100" s="861">
        <f>IF(INDEX(HwyTransitModelGroup,A82,1)=PARAMETERS!$J$10,0.00000110231131*((C100-D100)*PARAMETERS!$CS$29),0)</f>
        <v>0</v>
      </c>
      <c r="AU100" s="863">
        <f>IF(INDEX(HwyTransitModelGroup,A82,1)=PARAMETERS!$J$10,0.00000110231131*((C100-D100)*PARAMETERS!$CT$29),0)</f>
        <v>0</v>
      </c>
      <c r="AV100" s="861">
        <f>IF(INDEX(HwyTransitModelGroup,A82,1)=PARAMETERS!$J$10,0.00000110231131*((C100-D100)*PARAMETERS!$CU$29),0)</f>
        <v>0</v>
      </c>
      <c r="AW100" s="863">
        <f>IF(INDEX(HwyTransitModelGroup,A82,1)=PARAMETERS!$J$10,0.00000110231131*((C100-D100)*PARAMETERS!$CV$29),0)</f>
        <v>0</v>
      </c>
      <c r="AX100" s="861">
        <f>IF(INDEX(HwyTransitModelGroup,A82,1)=PARAMETERS!$J$10,0.00000110231131*((C100-D100)*PARAMETERS!$CW$29),0)</f>
        <v>0</v>
      </c>
      <c r="AY100" s="401">
        <f>IF(INDEX(HwyTransitModelGroup,A82,1)=PARAMETERS!$J$11,0.00000110231131*((C100-D100)*PARAMETERS!$CQ$37),0)</f>
        <v>0</v>
      </c>
      <c r="AZ100" s="863">
        <f>IF(INDEX(HwyTransitModelGroup,A82,1)=PARAMETERS!$J$11,0.00000110231131*((C100-D100)*PARAMETERS!$CR$37),0)</f>
        <v>0</v>
      </c>
      <c r="BA100" s="861">
        <f>IF(INDEX(HwyTransitModelGroup,A82,1)=PARAMETERS!$J$11,0.00000110231131*((C100-D100)*PARAMETERS!$CS$37),0)</f>
        <v>0</v>
      </c>
      <c r="BB100" s="863">
        <f>IF(INDEX(HwyTransitModelGroup,A82,1)=PARAMETERS!$J$11,0.00000110231131*((C100-D100)*PARAMETERS!$CT$37),0)</f>
        <v>0</v>
      </c>
      <c r="BC100" s="861">
        <f>IF(INDEX(HwyTransitModelGroup,A82,1)=PARAMETERS!$J$11,0.00000110231131*((C100-D100)*PARAMETERS!$CU$37),0)</f>
        <v>0</v>
      </c>
      <c r="BD100" s="863">
        <f>IF(INDEX(HwyTransitModelGroup,A82,1)=PARAMETERS!$J$11,0.00000110231131*((C100-D100)*PARAMETERS!$CV$37),0)</f>
        <v>0</v>
      </c>
      <c r="BE100" s="865">
        <f>IF(INDEX(HwyTransitModelGroup,A82,1)=PARAMETERS!$J$11,0.00000110231131*((C100-D100)*PARAMETERS!$CW$37),0)</f>
        <v>0</v>
      </c>
      <c r="BF100" s="729">
        <f t="shared" si="35"/>
        <v>2.3536682683080157</v>
      </c>
      <c r="BG100" s="867">
        <f t="shared" si="36"/>
        <v>33.879530075632822</v>
      </c>
      <c r="BH100" s="867">
        <f t="shared" si="37"/>
        <v>165.46183225907845</v>
      </c>
      <c r="BI100" s="867">
        <f t="shared" si="38"/>
        <v>-18.978032498446598</v>
      </c>
      <c r="BJ100" s="867">
        <f t="shared" si="39"/>
        <v>-1.2781690755825219</v>
      </c>
      <c r="BK100" s="869">
        <f t="shared" si="40"/>
        <v>0.71003026732815389</v>
      </c>
      <c r="BL100" s="392"/>
      <c r="BN100" s="375">
        <f t="shared" si="44"/>
        <v>2034</v>
      </c>
      <c r="BO100" s="871">
        <f t="shared" ca="1" si="41"/>
        <v>-8.2196484930278295</v>
      </c>
      <c r="BP100" s="871">
        <f t="shared" ca="1" si="42"/>
        <v>-17.742053345490177</v>
      </c>
      <c r="BQ100" s="871">
        <f t="shared" ca="1" si="42"/>
        <v>0.89678018503459744</v>
      </c>
      <c r="BR100" s="871">
        <f t="shared" ca="1" si="42"/>
        <v>-49.015843634617163</v>
      </c>
      <c r="BS100" s="871">
        <f t="shared" ca="1" si="42"/>
        <v>900.47978826122005</v>
      </c>
      <c r="BT100" s="871">
        <f t="shared" ca="1" si="42"/>
        <v>1151.3122817431736</v>
      </c>
    </row>
    <row r="101" spans="2:72" x14ac:dyDescent="0.25">
      <c r="B101" s="375">
        <f t="shared" si="43"/>
        <v>2036</v>
      </c>
      <c r="C101" s="401">
        <f>MAX(TREND(C88:C89,B88:B89,B101),0)</f>
        <v>663205</v>
      </c>
      <c r="D101" s="402">
        <f>MAX(TREND(D88:D89,B88:B89,B101),0)</f>
        <v>652437.5</v>
      </c>
      <c r="E101" s="401">
        <f>MAX(TREND(E88:E89,B88:B89,B101),0)</f>
        <v>18067.5</v>
      </c>
      <c r="F101" s="402">
        <f>MAX(TREND(F88:F89,B88:B89,B101),0)</f>
        <v>13870</v>
      </c>
      <c r="G101" s="401">
        <f>MAX(TREND(G88:G89,B88:B89,B101),0)</f>
        <v>0</v>
      </c>
      <c r="H101" s="402">
        <f>MAX(TREND(H88:H89,B88:B89,B101),0)</f>
        <v>0</v>
      </c>
      <c r="I101" s="401">
        <f>MAX(TREND(I88:I89,B88:B89,B101),0)</f>
        <v>0</v>
      </c>
      <c r="J101" s="402">
        <f>MAX(TREND(J88:J89,B88:B89,B101),0)</f>
        <v>0</v>
      </c>
      <c r="K101" s="435">
        <f>IFERROR(IF(INDEX(HwyTransitModelGroup,A82,1)=Hwy,MAX(5,ROUND(C101/E101,1)),MAX(5,ROUND(G101/I101,1))),55)</f>
        <v>36.700000000000003</v>
      </c>
      <c r="L101" s="436">
        <f>IFERROR(IF(INDEX(HwyTransitModelGroup,A82,1)=Hwy,MAX(5,ROUND(D101/F101,1)),MAX(5,ROUND(H101/J101,1))),55)</f>
        <v>47</v>
      </c>
      <c r="M101" s="405">
        <f>MIN(MAX(TREND(M88:M89,B88:B89,B101),0),1)</f>
        <v>0.24</v>
      </c>
      <c r="N101" s="406">
        <f>MIN(MAX(TREND(N88:N89,B88:B89,B101),0),1)</f>
        <v>0.24</v>
      </c>
      <c r="O101" s="401">
        <f>MAX(TREND(O88:O89,B88:B89,B101),0)</f>
        <v>0</v>
      </c>
      <c r="P101" s="402">
        <f>MAX(TREND(P88:P89,B88:B89,B101),0)</f>
        <v>0</v>
      </c>
      <c r="Q101" s="729">
        <f>IF(INDEX(HwyTransitModelGroup,A82,1)=Hwy,C101*(1-M101)*0.00000110231131*(VLOOKUP(K101,EmAuto20,2)*VLOOKUP(ProjLoc,EmCost,2)+VLOOKUP(K101,EmAuto20,3)*VLOOKUP(ProjLoc,EmCost,3)*(1+CO2Uprater)^($B101-YearCurrent)+VLOOKUP(K101,EmAuto20,4)*VLOOKUP(ProjLoc,EmCost,4)+VLOOKUP(K101,EmAuto20,5)*VLOOKUP(ProjLoc,EmCost,5)+VLOOKUP(K101,EmAuto20,6)*VLOOKUP(ProjLoc,EmCost,6)+VLOOKUP(K101,EmAuto20,7)*VLOOKUP(ProjLoc,EmCost,7))+C101*M101*0.00000110231131*(VLOOKUP(K101,EmTruck20,2)*VLOOKUP(ProjLoc,EmCost,2)+VLOOKUP(K101,EmTruck20,3)*VLOOKUP(ProjLoc,EmCost,3)*(1+CO2Uprater)^($B101-YearCurrent)+VLOOKUP(K101,EmTruck20,4)*VLOOKUP(ProjLoc,EmCost,4)+VLOOKUP(K101,EmTruck20,5)*VLOOKUP(ProjLoc,EmCost,5)+VLOOKUP(K101,EmTruck20,6)*VLOOKUP(ProjLoc,EmCost,6)+VLOOKUP(K101,EmTruck20,7)*VLOOKUP(ProjLoc,EmCost,7)),0)</f>
        <v>15941.040901367656</v>
      </c>
      <c r="R101" s="802">
        <f>IF(INDEX(HwyTransitModelGroup,A82,1)=Hwy,D101*(1-N101)*0.00000110231131*(VLOOKUP(L101,EmAuto20,2)*VLOOKUP(ProjLoc,EmCost,2)+VLOOKUP(L101,EmAuto20,3)*VLOOKUP(ProjLoc,EmCost,3)*(1+CO2Uprater)^($B101-YearCurrent)+VLOOKUP(L101,EmAuto20,4)*VLOOKUP(ProjLoc,EmCost,4)+VLOOKUP(L101,EmAuto20,5)*VLOOKUP(ProjLoc,EmCost,5)+VLOOKUP(L101,EmAuto20,6)*VLOOKUP(ProjLoc,EmCost,6)+VLOOKUP(L101,EmAuto20,7)*VLOOKUP(ProjLoc,EmCost,7))+D101*N101*0.00000110231131*(VLOOKUP(L101,EmTruck20,2)*VLOOKUP(ProjLoc,EmCost,2)+VLOOKUP(L101,EmTruck20,3)*VLOOKUP(ProjLoc,EmCost,3)*(1+CO2Uprater)^($B101-YearCurrent)+VLOOKUP(L101,EmTruck20,4)*VLOOKUP(ProjLoc,EmCost,4)+VLOOKUP(L101,EmTruck20,5)*VLOOKUP(ProjLoc,EmCost,5)+VLOOKUP(L101,EmTruck20,6)*VLOOKUP(ProjLoc,EmCost,6)+VLOOKUP(L101,EmTruck20,7)*VLOOKUP(ProjLoc,EmCost,7)),0)</f>
        <v>15631.863368219016</v>
      </c>
      <c r="S101" s="729">
        <f>IF(INDEX(HwyTransitModelGroup,A82,1)=Hwy,O101*(1-M101)*0.00000110231131*(VLOOKUP(0,EmAuto20,2)*VLOOKUP(ProjLoc,EmCost,2)+VLOOKUP(0,EmAuto20,3)*VLOOKUP(ProjLoc,EmCost,3)*(1+CO2Uprater)^($B101-YearCurrent)+VLOOKUP(0,EmAuto20,4)*VLOOKUP(ProjLoc,EmCost,4)+VLOOKUP(0,EmAuto20,5)*VLOOKUP(ProjLoc,EmCost,5)+VLOOKUP(0,EmAuto20,6)*VLOOKUP(ProjLoc,EmCost,6)+VLOOKUP(0,EmAuto20,7)*VLOOKUP(ProjLoc,EmCost,7))+O101*M101*0.00000110231131*(VLOOKUP(0,EmTruck20,2)*VLOOKUP(ProjLoc,EmCost,2)+VLOOKUP(0,EmTruck20,3)*VLOOKUP(ProjLoc,EmCost,3)*(1+CO2Uprater)^($B101-YearCurrent)+VLOOKUP(0,EmTruck20,4)*VLOOKUP(ProjLoc,EmCost,4)+VLOOKUP(0,EmTruck20,5)*VLOOKUP(ProjLoc,EmCost,5)+VLOOKUP(0,EmTruck20,6)*VLOOKUP(ProjLoc,EmCost,6)+VLOOKUP(0,EmTruck20,7)*VLOOKUP(ProjLoc,EmCost,7)),0)</f>
        <v>0</v>
      </c>
      <c r="T101" s="802">
        <f>IF(INDEX(HwyTransitModelGroup,A82,1)=Hwy,P101*(1-N101)*0.00000110231131*(VLOOKUP(0,EmAuto20,2)*VLOOKUP(ProjLoc,EmCost,2)+VLOOKUP(0,EmAuto20,3)*VLOOKUP(ProjLoc,EmCost,3)*(1+CO2Uprater)^($B101-YearCurrent)+VLOOKUP(0,EmAuto20,4)*VLOOKUP(ProjLoc,EmCost,4)+VLOOKUP(0,EmAuto20,5)*VLOOKUP(ProjLoc,EmCost,5)+VLOOKUP(0,EmAuto20,6)*VLOOKUP(ProjLoc,EmCost,6)+VLOOKUP(0,EmAuto20,7)*VLOOKUP(ProjLoc,EmCost,7))+P101*N101*0.00000110231131*(VLOOKUP(0,EmTruck20,2)*VLOOKUP(ProjLoc,EmCost,2)+VLOOKUP(0,EmTruck20,3)*VLOOKUP(ProjLoc,EmCost,3)*(1+CO2Uprater)^($B101-YearCurrent)+VLOOKUP(0,EmTruck20,4)*VLOOKUP(ProjLoc,EmCost,4)+VLOOKUP(0,EmTruck20,5)*VLOOKUP(ProjLoc,EmCost,5)+VLOOKUP(0,EmTruck20,6)*VLOOKUP(ProjLoc,EmCost,6)+VLOOKUP(0,EmTruck20,7)*VLOOKUP(ProjLoc,EmCost,7)),0)</f>
        <v>0</v>
      </c>
      <c r="U101" s="729">
        <f>IF(INDEX(HwyTransitModelGroup,A82,1)=PARAMETERS!$J$9,C101*0.00000110231131*(VLOOKUP(K101,EmBus20,2)*VLOOKUP(ProjLoc,EmCost,2)+VLOOKUP(K101,EmBus20,3)*VLOOKUP(ProjLoc,EmCost,3)*(1+CO2Uprater)^($B101-YearCurrent)+VLOOKUP(K101,EmBus20,4)*VLOOKUP(ProjLoc,EmCost,4)+VLOOKUP(K101,EmBus20,5)*VLOOKUP(ProjLoc,EmCost,5)+VLOOKUP(K101,EmBus20,6)*VLOOKUP(ProjLoc,EmCost,6)+VLOOKUP(K101,EmBus20,7)*VLOOKUP(ProjLoc,EmCost,7)),0)</f>
        <v>0</v>
      </c>
      <c r="V101" s="802">
        <f>IF(INDEX(HwyTransitModelGroup,A82,1)=PARAMETERS!$J$9,D101*0.00000110231131*(VLOOKUP(L101,EmBus20,2)*VLOOKUP(ProjLoc,EmCost,2)+VLOOKUP(L101,EmBus20,3)*VLOOKUP(ProjLoc,EmCost,3)*(1+CO2Uprater)^($B101-YearCurrent)+VLOOKUP(L101,EmBus20,4)*VLOOKUP(ProjLoc,EmCost,4)+VLOOKUP(L101,EmBus20,5)*VLOOKUP(ProjLoc,EmCost,5)+VLOOKUP(L101,EmBus20,6)*VLOOKUP(ProjLoc,EmCost,6)+VLOOKUP(L101,EmBus20,7)*VLOOKUP(ProjLoc,EmCost,7)),0)</f>
        <v>0</v>
      </c>
      <c r="W101" s="808">
        <f>IF(INDEX(HwyTransitModelGroup,A82,1)=PARAMETERS!$J$10,C101*0.00000110231131*(PARAMETERS!$CQ$29*VLOOKUP(ProjLoc,EmCost,2)+PARAMETERS!$CR$29*VLOOKUP(ProjLoc,EmCost,3)*(1+CO2Uprater)^($B101-YearCurrent)+PARAMETERS!$CS$29*VLOOKUP(ProjLoc,EmCost,4)+PARAMETERS!$CT$29*VLOOKUP(ProjLoc,EmCost,5)+PARAMETERS!$CU$29*VLOOKUP(ProjLoc,EmCost,6)+PARAMETERS!$CV$29*VLOOKUP(ProjLoc,EmCost,7)),0)</f>
        <v>0</v>
      </c>
      <c r="X101" s="844">
        <f>IF(INDEX(HwyTransitModelGroup,A82,1)=PARAMETERS!$J$10,D101*0.00000110231131*(PARAMETERS!$CQ$29*VLOOKUP(ProjLoc,EmCost,2)+PARAMETERS!$CR$29*VLOOKUP(ProjLoc,EmCost,3)*(1+CO2Uprater)^($B101-YearCurrent)+PARAMETERS!$CS$29*VLOOKUP(ProjLoc,EmCost,4)+PARAMETERS!$CT$29*VLOOKUP(ProjLoc,EmCost,5)+PARAMETERS!$CU$29*VLOOKUP(ProjLoc,EmCost,6)+PARAMETERS!$CV$29*VLOOKUP(ProjLoc,EmCost,7)),0)</f>
        <v>0</v>
      </c>
      <c r="Y101" s="808">
        <f>IF(INDEX(HwyTransitModelGroup,A82,1)=PARAMETERS!$J$11,C101*0.00000110231131*(PARAMETERS!$CQ$37*VLOOKUP(ProjLoc,EmCost,2)+PARAMETERS!$CR$37*VLOOKUP(ProjLoc,EmCost,3)*(1+CO2Uprater)^($B101-YearCurrent)+PARAMETERS!$CS$37*VLOOKUP(ProjLoc,EmCost,4)+PARAMETERS!$CT$37*VLOOKUP(ProjLoc,EmCost,5)+PARAMETERS!$CU$37*VLOOKUP(ProjLoc,EmCost,6)+PARAMETERS!$CV$37*VLOOKUP(ProjLoc,EmCost,7)),0)</f>
        <v>0</v>
      </c>
      <c r="Z101" s="844">
        <f>IF(INDEX(HwyTransitModelGroup,A82,1)=PARAMETERS!$J$11,D101*0.00000110231131*(PARAMETERS!$CQ$37*VLOOKUP(ProjLoc,EmCost,2)+PARAMETERS!$CR$37*VLOOKUP(ProjLoc,EmCost,3)*(1+CO2Uprater)^($B101-YearCurrent)+PARAMETERS!$CS$37*VLOOKUP(ProjLoc,EmCost,4)+PARAMETERS!$CT$37*VLOOKUP(ProjLoc,EmCost,5)+PARAMETERS!$CU$37*VLOOKUP(ProjLoc,EmCost,6)+PARAMETERS!$CV$37*VLOOKUP(ProjLoc,EmCost,7)),0)</f>
        <v>0</v>
      </c>
      <c r="AA101" s="369">
        <f t="shared" si="33"/>
        <v>309.17753314864058</v>
      </c>
      <c r="AB101" s="370">
        <f t="shared" si="34"/>
        <v>178.54232156165281</v>
      </c>
      <c r="AC101" s="371"/>
      <c r="AD101" s="401">
        <f>IF(INDEX(HwyTransitModelGroup,A82,1)=Hwy,0.00000110231131*(C101*(1-M101)*VLOOKUP(K101,EmAuto20,2)-D101*(1-N101)*VLOOKUP(L101,EmAuto20,2)+(O101*(1-M101)-P101*(1-N101))*VLOOKUP(0,EmAuto20,2))+0.00000110231131*(C101*M101*VLOOKUP(K101,EmTruck20,2)-D101*N101*VLOOKUP(L101,EmTruck20,2)+(O101*M101-P101*N101)*VLOOKUP(0,EmTruck20,2)),0)</f>
        <v>4.9783917211974407E-2</v>
      </c>
      <c r="AE101" s="863">
        <f>IF(INDEX(HwyTransitModelGroup,A82,1)=Hwy,0.00000110231131*(C101*(1-M101)*VLOOKUP(K101,EmAuto20,3)-D101*(1-N101)*VLOOKUP(L101,EmAuto20,3)+(O101*(1-M101)-P101*(1-N101))*VLOOKUP(0,EmAuto20,3))+0.00000110231131*(C101*M101*VLOOKUP(K101,EmTruck20,3)-D101*N101*VLOOKUP(L101,EmTruck20,3)+(O101*M101-P101*N101)*VLOOKUP(0,EmTruck20,3)),0)</f>
        <v>0.92022980087816619</v>
      </c>
      <c r="AF101" s="861">
        <f>IF(INDEX(HwyTransitModelGroup,A82,1)=Hwy,0.00000110231131*(C101*(1-M101)*VLOOKUP(K101,EmAuto20,4)-D101*(1-N101)*VLOOKUP(L101,EmAuto20,4)+(O101*(1-M101)-P101*(1-N101))*VLOOKUP(0,EmAuto20,4))+0.00000110231131*(C101*M101*VLOOKUP(K101,EmTruck20,4)-D101*N101*VLOOKUP(L101,EmTruck20,4)+(O101*M101-P101*N101)*VLOOKUP(0,EmTruck20,4)),0)</f>
        <v>1.8542599962487888E-2</v>
      </c>
      <c r="AG101" s="863">
        <f>IF(INDEX(HwyTransitModelGroup,A82,1)=Hwy,0.00000110231131*(C101*(1-M101)*VLOOKUP(K101,EmAuto20,5)-D101*(1-N101)*VLOOKUP(L101,EmAuto20,5)+(O101*(1-M101)-P101*(1-N101))*VLOOKUP(0,EmAuto20,5))+0.00000110231131*(C101*M101*VLOOKUP(K101,EmTruck20,5)-D101*N101*VLOOKUP(L101,EmTruck20,5)+(O101*M101-P101*N101)*VLOOKUP(0,EmTruck20,5)),0)</f>
        <v>-2.7521752602521348E-4</v>
      </c>
      <c r="AH101" s="861">
        <f>IF(INDEX(HwyTransitModelGroup,A82,1)=Hwy,0.00000110231131*(C101*(1-M101)*VLOOKUP(K101,EmAuto20,6)-D101*(1-N101)*VLOOKUP(L101,EmAuto20,6)+(O101*(1-M101)-P101*(1-N101))*VLOOKUP(0,EmAuto20,6))+0.00000110231131*(C101*M101*VLOOKUP(K101,EmTruck20,6)-D101*N101*VLOOKUP(L101,EmTruck20,6)+(O101*M101-P101*N101)*VLOOKUP(0,EmTruck20,6)),0)</f>
        <v>-3.6691324825511064E-5</v>
      </c>
      <c r="AI101" s="863">
        <f>IF(INDEX(HwyTransitModelGroup,A82,1)=Hwy,0.00000110231131*(C101*(1-M101)*VLOOKUP(K101,EmAuto20,7)-D101*(1-N101)*VLOOKUP(L101,EmAuto20,7)+(O101*(1-M101)-P101*(1-N101))*VLOOKUP(0,EmAuto20,7))+0.00000110231131*(C101*M101*VLOOKUP(K101,EmTruck20,7)-D101*N101*VLOOKUP(L101,EmTruck20,7)+(O101*M101-P101*N101)*VLOOKUP(0,EmTruck20,7)),0)</f>
        <v>1.0824298909354829E-3</v>
      </c>
      <c r="AJ101" s="861">
        <f>IF(INDEX(HwyTransitModelGroup,A82,1)=Hwy,0.00000110231131*(C101*(1-M101)*VLOOKUP(K101,EmAuto20,8)-D101*(1-N101)*VLOOKUP(L101,EmAuto20,8)+(O101*(1-M101)-P101*(1-N101))*VLOOKUP(0,EmAuto20,8))+0.00000110231131*(C101*M101*VLOOKUP(K101,EmTruck20,8)-D101*N101*VLOOKUP(L101,EmTruck20,8)+(O101*M101-P101*N101)*VLOOKUP(0,EmTruck20,8)),0)</f>
        <v>-3.1408713925352863E-4</v>
      </c>
      <c r="AK101" s="401">
        <f>IF(INDEX(HwyTransitModelGroup,A82,1)=PARAMETERS!$J$9,0.00000110231131*(C101*VLOOKUP(K101,EmBus20,2)-D101*VLOOKUP(L101,EmBus20,2)+(O101-P101)*VLOOKUP(0,EmBus20,2)),0)</f>
        <v>0</v>
      </c>
      <c r="AL101" s="863">
        <f>IF(INDEX(HwyTransitModelGroup,A82,1)=PARAMETERS!$J$9,0.00000110231131*(C101*VLOOKUP(K101,EmBus20,3)-D101*VLOOKUP(L101,EmBus20,3)+(O101-P101)*VLOOKUP(0,EmBus20,3)),0)</f>
        <v>0</v>
      </c>
      <c r="AM101" s="861">
        <f>IF(INDEX(HwyTransitModelGroup,A82,1)=PARAMETERS!$J$9,0.00000110231131*(C101*VLOOKUP(K101,EmBus20,4)-D101*VLOOKUP(L101,EmBus20,4)+(O101-P101)*VLOOKUP(0,EmBus20,4)),0)</f>
        <v>0</v>
      </c>
      <c r="AN101" s="863">
        <f>IF(INDEX(HwyTransitModelGroup,A82,1)=PARAMETERS!$J$9,0.00000110231131*(C101*VLOOKUP(K101,EmBus20,5)-D101*VLOOKUP(L101,EmBus20,5)+(O101-P101)*VLOOKUP(0,EmBus20,5)),0)</f>
        <v>0</v>
      </c>
      <c r="AO101" s="861">
        <f>IF(INDEX(HwyTransitModelGroup,A82,1)=PARAMETERS!$J$9,0.00000110231131*(C101*VLOOKUP(K101,EmBus20,6)-D101*VLOOKUP(L101,EmBus20,6)+(O101-P101)*VLOOKUP(0,EmBus20,6)),0)</f>
        <v>0</v>
      </c>
      <c r="AP101" s="863">
        <f>IF(INDEX(HwyTransitModelGroup,A82,1)=PARAMETERS!$J$9,0.00000110231131*(C101*VLOOKUP(K101,EmBus20,7)-D101*VLOOKUP(L101,EmBus20,7)+(O101-P101)*VLOOKUP(0,EmBus20,7)),0)</f>
        <v>0</v>
      </c>
      <c r="AQ101" s="861">
        <f>IF(INDEX(HwyTransitModelGroup,A82,1)=PARAMETERS!$J$9,0.00000110231131*(C101*VLOOKUP(K101,EmBus20,8)-D101*VLOOKUP(L101,EmBus20,8)+(O101-P101)*VLOOKUP(0,EmBus20,8)),0)</f>
        <v>0</v>
      </c>
      <c r="AR101" s="401">
        <f>IF(INDEX(HwyTransitModelGroup,A82,1)=PARAMETERS!$J$10,0.00000110231131*((C101-D101)*PARAMETERS!$CQ$29),0)</f>
        <v>0</v>
      </c>
      <c r="AS101" s="863">
        <f>IF(INDEX(HwyTransitModelGroup,A82,1)=PARAMETERS!$J$10,0.00000110231131*((C101-D101)*PARAMETERS!$CR$29),0)</f>
        <v>0</v>
      </c>
      <c r="AT101" s="861">
        <f>IF(INDEX(HwyTransitModelGroup,A82,1)=PARAMETERS!$J$10,0.00000110231131*((C101-D101)*PARAMETERS!$CS$29),0)</f>
        <v>0</v>
      </c>
      <c r="AU101" s="863">
        <f>IF(INDEX(HwyTransitModelGroup,A82,1)=PARAMETERS!$J$10,0.00000110231131*((C101-D101)*PARAMETERS!$CT$29),0)</f>
        <v>0</v>
      </c>
      <c r="AV101" s="861">
        <f>IF(INDEX(HwyTransitModelGroup,A82,1)=PARAMETERS!$J$10,0.00000110231131*((C101-D101)*PARAMETERS!$CU$29),0)</f>
        <v>0</v>
      </c>
      <c r="AW101" s="863">
        <f>IF(INDEX(HwyTransitModelGroup,A82,1)=PARAMETERS!$J$10,0.00000110231131*((C101-D101)*PARAMETERS!$CV$29),0)</f>
        <v>0</v>
      </c>
      <c r="AX101" s="861">
        <f>IF(INDEX(HwyTransitModelGroup,A82,1)=PARAMETERS!$J$10,0.00000110231131*((C101-D101)*PARAMETERS!$CW$29),0)</f>
        <v>0</v>
      </c>
      <c r="AY101" s="401">
        <f>IF(INDEX(HwyTransitModelGroup,A82,1)=PARAMETERS!$J$11,0.00000110231131*((C101-D101)*PARAMETERS!$CQ$37),0)</f>
        <v>0</v>
      </c>
      <c r="AZ101" s="863">
        <f>IF(INDEX(HwyTransitModelGroup,A82,1)=PARAMETERS!$J$11,0.00000110231131*((C101-D101)*PARAMETERS!$CR$37),0)</f>
        <v>0</v>
      </c>
      <c r="BA101" s="861">
        <f>IF(INDEX(HwyTransitModelGroup,A82,1)=PARAMETERS!$J$11,0.00000110231131*((C101-D101)*PARAMETERS!$CS$37),0)</f>
        <v>0</v>
      </c>
      <c r="BB101" s="863">
        <f>IF(INDEX(HwyTransitModelGroup,A82,1)=PARAMETERS!$J$11,0.00000110231131*((C101-D101)*PARAMETERS!$CT$37),0)</f>
        <v>0</v>
      </c>
      <c r="BC101" s="861">
        <f>IF(INDEX(HwyTransitModelGroup,A82,1)=PARAMETERS!$J$11,0.00000110231131*((C101-D101)*PARAMETERS!$CU$37),0)</f>
        <v>0</v>
      </c>
      <c r="BD101" s="863">
        <f>IF(INDEX(HwyTransitModelGroup,A82,1)=PARAMETERS!$J$11,0.00000110231131*((C101-D101)*PARAMETERS!$CV$37),0)</f>
        <v>0</v>
      </c>
      <c r="BE101" s="865">
        <f>IF(INDEX(HwyTransitModelGroup,A82,1)=PARAMETERS!$J$11,0.00000110231131*((C101-D101)*PARAMETERS!$CW$37),0)</f>
        <v>0</v>
      </c>
      <c r="BF101" s="729">
        <f t="shared" si="35"/>
        <v>2.2999177372143071</v>
      </c>
      <c r="BG101" s="867">
        <f t="shared" si="36"/>
        <v>33.656828151532089</v>
      </c>
      <c r="BH101" s="867">
        <f t="shared" si="37"/>
        <v>161.68913068094653</v>
      </c>
      <c r="BI101" s="867">
        <f t="shared" si="38"/>
        <v>-18.547278466253822</v>
      </c>
      <c r="BJ101" s="867">
        <f t="shared" si="39"/>
        <v>-1.250111224704773</v>
      </c>
      <c r="BK101" s="869">
        <f t="shared" si="40"/>
        <v>0.69383468291761052</v>
      </c>
      <c r="BL101" s="392"/>
      <c r="BN101" s="375">
        <f t="shared" si="44"/>
        <v>2035</v>
      </c>
      <c r="BO101" s="871">
        <f t="shared" ca="1" si="41"/>
        <v>-10.479411669070561</v>
      </c>
      <c r="BP101" s="871">
        <f t="shared" ca="1" si="42"/>
        <v>-18.036320348647784</v>
      </c>
      <c r="BQ101" s="871">
        <f t="shared" ca="1" si="42"/>
        <v>0.90850499295640641</v>
      </c>
      <c r="BR101" s="871">
        <f t="shared" ca="1" si="42"/>
        <v>-49.576164143275399</v>
      </c>
      <c r="BS101" s="871">
        <f t="shared" ca="1" si="42"/>
        <v>935.28612048396303</v>
      </c>
      <c r="BT101" s="871">
        <f t="shared" ca="1" si="42"/>
        <v>1179.6483765015403</v>
      </c>
    </row>
    <row r="102" spans="2:72" x14ac:dyDescent="0.25">
      <c r="B102" s="375">
        <f t="shared" si="43"/>
        <v>2037</v>
      </c>
      <c r="C102" s="401">
        <f>MAX(TREND(C88:C89,B88:B89,B102),0)</f>
        <v>673863</v>
      </c>
      <c r="D102" s="402">
        <f>MAX(TREND(D88:D89,B88:B89,B102),0)</f>
        <v>662931.25</v>
      </c>
      <c r="E102" s="401">
        <f>MAX(TREND(E88:E89,B88:B89,B102),0)</f>
        <v>18377.75</v>
      </c>
      <c r="F102" s="402">
        <f>MAX(TREND(F88:F89,B88:B89,B102),0)</f>
        <v>14089</v>
      </c>
      <c r="G102" s="401">
        <f>MAX(TREND(G88:G89,B88:B89,B102),0)</f>
        <v>0</v>
      </c>
      <c r="H102" s="402">
        <f>MAX(TREND(H88:H89,B88:B89,B102),0)</f>
        <v>0</v>
      </c>
      <c r="I102" s="401">
        <f>MAX(TREND(I88:I89,B88:B89,B102),0)</f>
        <v>0</v>
      </c>
      <c r="J102" s="402">
        <f>MAX(TREND(J88:J89,B88:B89,B102),0)</f>
        <v>0</v>
      </c>
      <c r="K102" s="435">
        <f>IFERROR(IF(INDEX(HwyTransitModelGroup,A82,1)=Hwy,MAX(5,ROUND(C102/E102,1)),MAX(5,ROUND(G102/I102,1))),55)</f>
        <v>36.700000000000003</v>
      </c>
      <c r="L102" s="436">
        <f>IFERROR(IF(INDEX(HwyTransitModelGroup,A82,1)=Hwy,MAX(5,ROUND(D102/F102,1)),MAX(5,ROUND(H102/J102,1))),55)</f>
        <v>47.1</v>
      </c>
      <c r="M102" s="405">
        <f>MIN(MAX(TREND(M88:M89,B88:B89,B102),0),1)</f>
        <v>0.24</v>
      </c>
      <c r="N102" s="406">
        <f>MIN(MAX(TREND(N88:N89,B88:B89,B102),0),1)</f>
        <v>0.24</v>
      </c>
      <c r="O102" s="401">
        <f>MAX(TREND(O88:O89,B88:B89,B102),0)</f>
        <v>0</v>
      </c>
      <c r="P102" s="402">
        <f>MAX(TREND(P88:P89,B88:B89,B102),0)</f>
        <v>0</v>
      </c>
      <c r="Q102" s="729">
        <f>IF(INDEX(HwyTransitModelGroup,A82,1)=Hwy,C102*(1-M102)*0.00000110231131*(VLOOKUP(K102,EmAuto20,2)*VLOOKUP(ProjLoc,EmCost,2)+VLOOKUP(K102,EmAuto20,3)*VLOOKUP(ProjLoc,EmCost,3)*(1+CO2Uprater)^($B102-YearCurrent)+VLOOKUP(K102,EmAuto20,4)*VLOOKUP(ProjLoc,EmCost,4)+VLOOKUP(K102,EmAuto20,5)*VLOOKUP(ProjLoc,EmCost,5)+VLOOKUP(K102,EmAuto20,6)*VLOOKUP(ProjLoc,EmCost,6)+VLOOKUP(K102,EmAuto20,7)*VLOOKUP(ProjLoc,EmCost,7))+C102*M102*0.00000110231131*(VLOOKUP(K102,EmTruck20,2)*VLOOKUP(ProjLoc,EmCost,2)+VLOOKUP(K102,EmTruck20,3)*VLOOKUP(ProjLoc,EmCost,3)*(1+CO2Uprater)^($B102-YearCurrent)+VLOOKUP(K102,EmTruck20,4)*VLOOKUP(ProjLoc,EmCost,4)+VLOOKUP(K102,EmTruck20,5)*VLOOKUP(ProjLoc,EmCost,5)+VLOOKUP(K102,EmTruck20,6)*VLOOKUP(ProjLoc,EmCost,6)+VLOOKUP(K102,EmTruck20,7)*VLOOKUP(ProjLoc,EmCost,7)),0)</f>
        <v>16491.13404736578</v>
      </c>
      <c r="R102" s="802">
        <f>IF(INDEX(HwyTransitModelGroup,A82,1)=Hwy,D102*(1-N102)*0.00000110231131*(VLOOKUP(L102,EmAuto20,2)*VLOOKUP(ProjLoc,EmCost,2)+VLOOKUP(L102,EmAuto20,3)*VLOOKUP(ProjLoc,EmCost,3)*(1+CO2Uprater)^($B102-YearCurrent)+VLOOKUP(L102,EmAuto20,4)*VLOOKUP(ProjLoc,EmCost,4)+VLOOKUP(L102,EmAuto20,5)*VLOOKUP(ProjLoc,EmCost,5)+VLOOKUP(L102,EmAuto20,6)*VLOOKUP(ProjLoc,EmCost,6)+VLOOKUP(L102,EmAuto20,7)*VLOOKUP(ProjLoc,EmCost,7))+D102*N102*0.00000110231131*(VLOOKUP(L102,EmTruck20,2)*VLOOKUP(ProjLoc,EmCost,2)+VLOOKUP(L102,EmTruck20,3)*VLOOKUP(ProjLoc,EmCost,3)*(1+CO2Uprater)^($B102-YearCurrent)+VLOOKUP(L102,EmTruck20,4)*VLOOKUP(ProjLoc,EmCost,4)+VLOOKUP(L102,EmTruck20,5)*VLOOKUP(ProjLoc,EmCost,5)+VLOOKUP(L102,EmTruck20,6)*VLOOKUP(ProjLoc,EmCost,6)+VLOOKUP(L102,EmTruck20,7)*VLOOKUP(ProjLoc,EmCost,7)),0)</f>
        <v>16176.017952687114</v>
      </c>
      <c r="S102" s="729">
        <f>IF(INDEX(HwyTransitModelGroup,A82,1)=Hwy,O102*(1-M102)*0.00000110231131*(VLOOKUP(0,EmAuto20,2)*VLOOKUP(ProjLoc,EmCost,2)+VLOOKUP(0,EmAuto20,3)*VLOOKUP(ProjLoc,EmCost,3)*(1+CO2Uprater)^($B102-YearCurrent)+VLOOKUP(0,EmAuto20,4)*VLOOKUP(ProjLoc,EmCost,4)+VLOOKUP(0,EmAuto20,5)*VLOOKUP(ProjLoc,EmCost,5)+VLOOKUP(0,EmAuto20,6)*VLOOKUP(ProjLoc,EmCost,6)+VLOOKUP(0,EmAuto20,7)*VLOOKUP(ProjLoc,EmCost,7))+O102*M102*0.00000110231131*(VLOOKUP(0,EmTruck20,2)*VLOOKUP(ProjLoc,EmCost,2)+VLOOKUP(0,EmTruck20,3)*VLOOKUP(ProjLoc,EmCost,3)*(1+CO2Uprater)^($B102-YearCurrent)+VLOOKUP(0,EmTruck20,4)*VLOOKUP(ProjLoc,EmCost,4)+VLOOKUP(0,EmTruck20,5)*VLOOKUP(ProjLoc,EmCost,5)+VLOOKUP(0,EmTruck20,6)*VLOOKUP(ProjLoc,EmCost,6)+VLOOKUP(0,EmTruck20,7)*VLOOKUP(ProjLoc,EmCost,7)),0)</f>
        <v>0</v>
      </c>
      <c r="T102" s="802">
        <f>IF(INDEX(HwyTransitModelGroup,A82,1)=Hwy,P102*(1-N102)*0.00000110231131*(VLOOKUP(0,EmAuto20,2)*VLOOKUP(ProjLoc,EmCost,2)+VLOOKUP(0,EmAuto20,3)*VLOOKUP(ProjLoc,EmCost,3)*(1+CO2Uprater)^($B102-YearCurrent)+VLOOKUP(0,EmAuto20,4)*VLOOKUP(ProjLoc,EmCost,4)+VLOOKUP(0,EmAuto20,5)*VLOOKUP(ProjLoc,EmCost,5)+VLOOKUP(0,EmAuto20,6)*VLOOKUP(ProjLoc,EmCost,6)+VLOOKUP(0,EmAuto20,7)*VLOOKUP(ProjLoc,EmCost,7))+P102*N102*0.00000110231131*(VLOOKUP(0,EmTruck20,2)*VLOOKUP(ProjLoc,EmCost,2)+VLOOKUP(0,EmTruck20,3)*VLOOKUP(ProjLoc,EmCost,3)*(1+CO2Uprater)^($B102-YearCurrent)+VLOOKUP(0,EmTruck20,4)*VLOOKUP(ProjLoc,EmCost,4)+VLOOKUP(0,EmTruck20,5)*VLOOKUP(ProjLoc,EmCost,5)+VLOOKUP(0,EmTruck20,6)*VLOOKUP(ProjLoc,EmCost,6)+VLOOKUP(0,EmTruck20,7)*VLOOKUP(ProjLoc,EmCost,7)),0)</f>
        <v>0</v>
      </c>
      <c r="U102" s="729">
        <f>IF(INDEX(HwyTransitModelGroup,A82,1)=PARAMETERS!$J$9,C102*0.00000110231131*(VLOOKUP(K102,EmBus20,2)*VLOOKUP(ProjLoc,EmCost,2)+VLOOKUP(K102,EmBus20,3)*VLOOKUP(ProjLoc,EmCost,3)*(1+CO2Uprater)^($B102-YearCurrent)+VLOOKUP(K102,EmBus20,4)*VLOOKUP(ProjLoc,EmCost,4)+VLOOKUP(K102,EmBus20,5)*VLOOKUP(ProjLoc,EmCost,5)+VLOOKUP(K102,EmBus20,6)*VLOOKUP(ProjLoc,EmCost,6)+VLOOKUP(K102,EmBus20,7)*VLOOKUP(ProjLoc,EmCost,7)),0)</f>
        <v>0</v>
      </c>
      <c r="V102" s="802">
        <f>IF(INDEX(HwyTransitModelGroup,A82,1)=PARAMETERS!$J$9,D102*0.00000110231131*(VLOOKUP(L102,EmBus20,2)*VLOOKUP(ProjLoc,EmCost,2)+VLOOKUP(L102,EmBus20,3)*VLOOKUP(ProjLoc,EmCost,3)*(1+CO2Uprater)^($B102-YearCurrent)+VLOOKUP(L102,EmBus20,4)*VLOOKUP(ProjLoc,EmCost,4)+VLOOKUP(L102,EmBus20,5)*VLOOKUP(ProjLoc,EmCost,5)+VLOOKUP(L102,EmBus20,6)*VLOOKUP(ProjLoc,EmCost,6)+VLOOKUP(L102,EmBus20,7)*VLOOKUP(ProjLoc,EmCost,7)),0)</f>
        <v>0</v>
      </c>
      <c r="W102" s="808">
        <f>IF(INDEX(HwyTransitModelGroup,A82,1)=PARAMETERS!$J$10,C102*0.00000110231131*(PARAMETERS!$CQ$29*VLOOKUP(ProjLoc,EmCost,2)+PARAMETERS!$CR$29*VLOOKUP(ProjLoc,EmCost,3)*(1+CO2Uprater)^($B102-YearCurrent)+PARAMETERS!$CS$29*VLOOKUP(ProjLoc,EmCost,4)+PARAMETERS!$CT$29*VLOOKUP(ProjLoc,EmCost,5)+PARAMETERS!$CU$29*VLOOKUP(ProjLoc,EmCost,6)+PARAMETERS!$CV$29*VLOOKUP(ProjLoc,EmCost,7)),0)</f>
        <v>0</v>
      </c>
      <c r="X102" s="844">
        <f>IF(INDEX(HwyTransitModelGroup,A82,1)=PARAMETERS!$J$10,D102*0.00000110231131*(PARAMETERS!$CQ$29*VLOOKUP(ProjLoc,EmCost,2)+PARAMETERS!$CR$29*VLOOKUP(ProjLoc,EmCost,3)*(1+CO2Uprater)^($B102-YearCurrent)+PARAMETERS!$CS$29*VLOOKUP(ProjLoc,EmCost,4)+PARAMETERS!$CT$29*VLOOKUP(ProjLoc,EmCost,5)+PARAMETERS!$CU$29*VLOOKUP(ProjLoc,EmCost,6)+PARAMETERS!$CV$29*VLOOKUP(ProjLoc,EmCost,7)),0)</f>
        <v>0</v>
      </c>
      <c r="Y102" s="808">
        <f>IF(INDEX(HwyTransitModelGroup,A82,1)=PARAMETERS!$J$11,C102*0.00000110231131*(PARAMETERS!$CQ$37*VLOOKUP(ProjLoc,EmCost,2)+PARAMETERS!$CR$37*VLOOKUP(ProjLoc,EmCost,3)*(1+CO2Uprater)^($B102-YearCurrent)+PARAMETERS!$CS$37*VLOOKUP(ProjLoc,EmCost,4)+PARAMETERS!$CT$37*VLOOKUP(ProjLoc,EmCost,5)+PARAMETERS!$CU$37*VLOOKUP(ProjLoc,EmCost,6)+PARAMETERS!$CV$37*VLOOKUP(ProjLoc,EmCost,7)),0)</f>
        <v>0</v>
      </c>
      <c r="Z102" s="844">
        <f>IF(INDEX(HwyTransitModelGroup,A82,1)=PARAMETERS!$J$11,D102*0.00000110231131*(PARAMETERS!$CQ$37*VLOOKUP(ProjLoc,EmCost,2)+PARAMETERS!$CR$37*VLOOKUP(ProjLoc,EmCost,3)*(1+CO2Uprater)^($B102-YearCurrent)+PARAMETERS!$CS$37*VLOOKUP(ProjLoc,EmCost,4)+PARAMETERS!$CT$37*VLOOKUP(ProjLoc,EmCost,5)+PARAMETERS!$CU$37*VLOOKUP(ProjLoc,EmCost,6)+PARAMETERS!$CV$37*VLOOKUP(ProjLoc,EmCost,7)),0)</f>
        <v>0</v>
      </c>
      <c r="AA102" s="369">
        <f t="shared" si="33"/>
        <v>315.11609467866583</v>
      </c>
      <c r="AB102" s="370">
        <f t="shared" si="34"/>
        <v>174.9727816086986</v>
      </c>
      <c r="AC102" s="371"/>
      <c r="AD102" s="401">
        <f>IF(INDEX(HwyTransitModelGroup,A82,1)=Hwy,0.00000110231131*(C102*(1-M102)*VLOOKUP(K102,EmAuto20,2)-D102*(1-N102)*VLOOKUP(L102,EmAuto20,2)+(O102*(1-M102)-P102*(1-N102))*VLOOKUP(0,EmAuto20,2))+0.00000110231131*(C102*M102*VLOOKUP(K102,EmTruck20,2)-D102*N102*VLOOKUP(L102,EmTruck20,2)+(O102*M102-P102*N102)*VLOOKUP(0,EmTruck20,2)),0)</f>
        <v>5.0579950941988902E-2</v>
      </c>
      <c r="AE102" s="863">
        <f>IF(INDEX(HwyTransitModelGroup,A82,1)=Hwy,0.00000110231131*(C102*(1-M102)*VLOOKUP(K102,EmAuto20,3)-D102*(1-N102)*VLOOKUP(L102,EmAuto20,3)+(O102*(1-M102)-P102*(1-N102))*VLOOKUP(0,EmAuto20,3))+0.00000110231131*(C102*M102*VLOOKUP(K102,EmTruck20,3)-D102*N102*VLOOKUP(L102,EmTruck20,3)+(O102*M102-P102*N102)*VLOOKUP(0,EmTruck20,3)),0)</f>
        <v>0.93195460879997527</v>
      </c>
      <c r="AF102" s="861">
        <f>IF(INDEX(HwyTransitModelGroup,A82,1)=Hwy,0.00000110231131*(C102*(1-M102)*VLOOKUP(K102,EmAuto20,4)-D102*(1-N102)*VLOOKUP(L102,EmAuto20,4)+(O102*(1-M102)-P102*(1-N102))*VLOOKUP(0,EmAuto20,4))+0.00000110231131*(C102*M102*VLOOKUP(K102,EmTruck20,4)-D102*N102*VLOOKUP(L102,EmTruck20,4)+(O102*M102-P102*N102)*VLOOKUP(0,EmTruck20,4)),0)</f>
        <v>1.8839761953742207E-2</v>
      </c>
      <c r="AG102" s="863">
        <f>IF(INDEX(HwyTransitModelGroup,A82,1)=Hwy,0.00000110231131*(C102*(1-M102)*VLOOKUP(K102,EmAuto20,5)-D102*(1-N102)*VLOOKUP(L102,EmAuto20,5)+(O102*(1-M102)-P102*(1-N102))*VLOOKUP(0,EmAuto20,5))+0.00000110231131*(C102*M102*VLOOKUP(K102,EmTruck20,5)-D102*N102*VLOOKUP(L102,EmTruck20,5)+(O102*M102-P102*N102)*VLOOKUP(0,EmTruck20,5)),0)</f>
        <v>-2.7965682468076929E-4</v>
      </c>
      <c r="AH102" s="861">
        <f>IF(INDEX(HwyTransitModelGroup,A82,1)=Hwy,0.00000110231131*(C102*(1-M102)*VLOOKUP(K102,EmAuto20,6)-D102*(1-N102)*VLOOKUP(L102,EmAuto20,6)+(O102*(1-M102)-P102*(1-N102))*VLOOKUP(0,EmAuto20,6))+0.00000110231131*(C102*M102*VLOOKUP(K102,EmTruck20,6)-D102*N102*VLOOKUP(L102,EmTruck20,6)+(O102*M102-P102*N102)*VLOOKUP(0,EmTruck20,6)),0)</f>
        <v>-3.7310692606685017E-5</v>
      </c>
      <c r="AI102" s="863">
        <f>IF(INDEX(HwyTransitModelGroup,A82,1)=Hwy,0.00000110231131*(C102*(1-M102)*VLOOKUP(K102,EmAuto20,7)-D102*(1-N102)*VLOOKUP(L102,EmAuto20,7)+(O102*(1-M102)-P102*(1-N102))*VLOOKUP(0,EmAuto20,7))+0.00000110231131*(C102*M102*VLOOKUP(K102,EmTruck20,7)-D102*N102*VLOOKUP(L102,EmTruck20,7)+(O102*M102-P102*N102)*VLOOKUP(0,EmTruck20,7)),0)</f>
        <v>1.0997673606848199E-3</v>
      </c>
      <c r="AJ102" s="861">
        <f>IF(INDEX(HwyTransitModelGroup,A82,1)=Hwy,0.00000110231131*(C102*(1-M102)*VLOOKUP(K102,EmAuto20,8)-D102*(1-N102)*VLOOKUP(L102,EmAuto20,8)+(O102*(1-M102)-P102*(1-N102))*VLOOKUP(0,EmAuto20,8))+0.00000110231131*(C102*M102*VLOOKUP(K102,EmTruck20,8)-D102*N102*VLOOKUP(L102,EmTruck20,8)+(O102*M102-P102*N102)*VLOOKUP(0,EmTruck20,8)),0)</f>
        <v>-3.1915039240761934E-4</v>
      </c>
      <c r="AK102" s="401">
        <f>IF(INDEX(HwyTransitModelGroup,A82,1)=PARAMETERS!$J$9,0.00000110231131*(C102*VLOOKUP(K102,EmBus20,2)-D102*VLOOKUP(L102,EmBus20,2)+(O102-P102)*VLOOKUP(0,EmBus20,2)),0)</f>
        <v>0</v>
      </c>
      <c r="AL102" s="863">
        <f>IF(INDEX(HwyTransitModelGroup,A82,1)=PARAMETERS!$J$9,0.00000110231131*(C102*VLOOKUP(K102,EmBus20,3)-D102*VLOOKUP(L102,EmBus20,3)+(O102-P102)*VLOOKUP(0,EmBus20,3)),0)</f>
        <v>0</v>
      </c>
      <c r="AM102" s="861">
        <f>IF(INDEX(HwyTransitModelGroup,A82,1)=PARAMETERS!$J$9,0.00000110231131*(C102*VLOOKUP(K102,EmBus20,4)-D102*VLOOKUP(L102,EmBus20,4)+(O102-P102)*VLOOKUP(0,EmBus20,4)),0)</f>
        <v>0</v>
      </c>
      <c r="AN102" s="863">
        <f>IF(INDEX(HwyTransitModelGroup,A82,1)=PARAMETERS!$J$9,0.00000110231131*(C102*VLOOKUP(K102,EmBus20,5)-D102*VLOOKUP(L102,EmBus20,5)+(O102-P102)*VLOOKUP(0,EmBus20,5)),0)</f>
        <v>0</v>
      </c>
      <c r="AO102" s="861">
        <f>IF(INDEX(HwyTransitModelGroup,A82,1)=PARAMETERS!$J$9,0.00000110231131*(C102*VLOOKUP(K102,EmBus20,6)-D102*VLOOKUP(L102,EmBus20,6)+(O102-P102)*VLOOKUP(0,EmBus20,6)),0)</f>
        <v>0</v>
      </c>
      <c r="AP102" s="863">
        <f>IF(INDEX(HwyTransitModelGroup,A82,1)=PARAMETERS!$J$9,0.00000110231131*(C102*VLOOKUP(K102,EmBus20,7)-D102*VLOOKUP(L102,EmBus20,7)+(O102-P102)*VLOOKUP(0,EmBus20,7)),0)</f>
        <v>0</v>
      </c>
      <c r="AQ102" s="861">
        <f>IF(INDEX(HwyTransitModelGroup,A82,1)=PARAMETERS!$J$9,0.00000110231131*(C102*VLOOKUP(K102,EmBus20,8)-D102*VLOOKUP(L102,EmBus20,8)+(O102-P102)*VLOOKUP(0,EmBus20,8)),0)</f>
        <v>0</v>
      </c>
      <c r="AR102" s="401">
        <f>IF(INDEX(HwyTransitModelGroup,A82,1)=PARAMETERS!$J$10,0.00000110231131*((C102-D102)*PARAMETERS!$CQ$29),0)</f>
        <v>0</v>
      </c>
      <c r="AS102" s="863">
        <f>IF(INDEX(HwyTransitModelGroup,A82,1)=PARAMETERS!$J$10,0.00000110231131*((C102-D102)*PARAMETERS!$CR$29),0)</f>
        <v>0</v>
      </c>
      <c r="AT102" s="861">
        <f>IF(INDEX(HwyTransitModelGroup,A82,1)=PARAMETERS!$J$10,0.00000110231131*((C102-D102)*PARAMETERS!$CS$29),0)</f>
        <v>0</v>
      </c>
      <c r="AU102" s="863">
        <f>IF(INDEX(HwyTransitModelGroup,A82,1)=PARAMETERS!$J$10,0.00000110231131*((C102-D102)*PARAMETERS!$CT$29),0)</f>
        <v>0</v>
      </c>
      <c r="AV102" s="861">
        <f>IF(INDEX(HwyTransitModelGroup,A82,1)=PARAMETERS!$J$10,0.00000110231131*((C102-D102)*PARAMETERS!$CU$29),0)</f>
        <v>0</v>
      </c>
      <c r="AW102" s="863">
        <f>IF(INDEX(HwyTransitModelGroup,A82,1)=PARAMETERS!$J$10,0.00000110231131*((C102-D102)*PARAMETERS!$CV$29),0)</f>
        <v>0</v>
      </c>
      <c r="AX102" s="861">
        <f>IF(INDEX(HwyTransitModelGroup,A82,1)=PARAMETERS!$J$10,0.00000110231131*((C102-D102)*PARAMETERS!$CW$29),0)</f>
        <v>0</v>
      </c>
      <c r="AY102" s="401">
        <f>IF(INDEX(HwyTransitModelGroup,A82,1)=PARAMETERS!$J$11,0.00000110231131*((C102-D102)*PARAMETERS!$CQ$37),0)</f>
        <v>0</v>
      </c>
      <c r="AZ102" s="863">
        <f>IF(INDEX(HwyTransitModelGroup,A82,1)=PARAMETERS!$J$11,0.00000110231131*((C102-D102)*PARAMETERS!$CR$37),0)</f>
        <v>0</v>
      </c>
      <c r="BA102" s="861">
        <f>IF(INDEX(HwyTransitModelGroup,A82,1)=PARAMETERS!$J$11,0.00000110231131*((C102-D102)*PARAMETERS!$CS$37),0)</f>
        <v>0</v>
      </c>
      <c r="BB102" s="863">
        <f>IF(INDEX(HwyTransitModelGroup,A82,1)=PARAMETERS!$J$11,0.00000110231131*((C102-D102)*PARAMETERS!$CT$37),0)</f>
        <v>0</v>
      </c>
      <c r="BC102" s="861">
        <f>IF(INDEX(HwyTransitModelGroup,A82,1)=PARAMETERS!$J$11,0.00000110231131*((C102-D102)*PARAMETERS!$CU$37),0)</f>
        <v>0</v>
      </c>
      <c r="BD102" s="863">
        <f>IF(INDEX(HwyTransitModelGroup,A82,1)=PARAMETERS!$J$11,0.00000110231131*((C102-D102)*PARAMETERS!$CV$37),0)</f>
        <v>0</v>
      </c>
      <c r="BE102" s="865">
        <f>IF(INDEX(HwyTransitModelGroup,A82,1)=PARAMETERS!$J$11,0.00000110231131*((C102-D102)*PARAMETERS!$CW$37),0)</f>
        <v>0</v>
      </c>
      <c r="BF102" s="729">
        <f t="shared" si="35"/>
        <v>2.2468201045652245</v>
      </c>
      <c r="BG102" s="867">
        <f t="shared" si="36"/>
        <v>33.430162274042161</v>
      </c>
      <c r="BH102" s="867">
        <f t="shared" si="37"/>
        <v>157.96187089246524</v>
      </c>
      <c r="BI102" s="867">
        <f t="shared" si="38"/>
        <v>-18.121585347042654</v>
      </c>
      <c r="BJ102" s="867">
        <f t="shared" si="39"/>
        <v>-1.22232088739219</v>
      </c>
      <c r="BK102" s="869">
        <f t="shared" si="40"/>
        <v>0.67783457206035136</v>
      </c>
      <c r="BL102" s="392"/>
      <c r="BN102" s="375">
        <f t="shared" si="44"/>
        <v>2036</v>
      </c>
      <c r="BO102" s="871">
        <f t="shared" ca="1" si="41"/>
        <v>-12.73917484511326</v>
      </c>
      <c r="BP102" s="871">
        <f t="shared" ref="BP102:BT111" ca="1" si="45">OFFSET($AE19,MATCH(BP$88,$A:$A),0)+OFFSET($AL19,MATCH(BP$88,$A:$A),0)+OFFSET($AS19,MATCH(BP$88,$A:$A),0)+OFFSET($AZ19,MATCH(BP$88,$A:$A),0)</f>
        <v>-18.330587351805409</v>
      </c>
      <c r="BQ102" s="871">
        <f t="shared" ca="1" si="45"/>
        <v>0.92022980087816619</v>
      </c>
      <c r="BR102" s="871">
        <f t="shared" ca="1" si="45"/>
        <v>-50.136484651933529</v>
      </c>
      <c r="BS102" s="871">
        <f t="shared" ca="1" si="45"/>
        <v>970.09245270670601</v>
      </c>
      <c r="BT102" s="871">
        <f t="shared" ca="1" si="45"/>
        <v>1207.9844712599074</v>
      </c>
    </row>
    <row r="103" spans="2:72" x14ac:dyDescent="0.25">
      <c r="B103" s="375">
        <f t="shared" si="43"/>
        <v>2038</v>
      </c>
      <c r="C103" s="401">
        <f>MAX(TREND(C88:C89,B88:B89,B103),0)</f>
        <v>684521</v>
      </c>
      <c r="D103" s="402">
        <f>MAX(TREND(D88:D89,B88:B89,B103),0)</f>
        <v>673425</v>
      </c>
      <c r="E103" s="401">
        <f>MAX(TREND(E88:E89,B88:B89,B103),0)</f>
        <v>18688</v>
      </c>
      <c r="F103" s="402">
        <f>MAX(TREND(F88:F89,B88:B89,B103),0)</f>
        <v>14308</v>
      </c>
      <c r="G103" s="401">
        <f>MAX(TREND(G88:G89,B88:B89,B103),0)</f>
        <v>0</v>
      </c>
      <c r="H103" s="402">
        <f>MAX(TREND(H88:H89,B88:B89,B103),0)</f>
        <v>0</v>
      </c>
      <c r="I103" s="401">
        <f>MAX(TREND(I88:I89,B88:B89,B103),0)</f>
        <v>0</v>
      </c>
      <c r="J103" s="402">
        <f>MAX(TREND(J88:J89,B88:B89,B103),0)</f>
        <v>0</v>
      </c>
      <c r="K103" s="435">
        <f>IFERROR(IF(INDEX(HwyTransitModelGroup,A82,1)=Hwy,MAX(5,ROUND(C103/E103,1)),MAX(5,ROUND(G103/I103,1))),55)</f>
        <v>36.6</v>
      </c>
      <c r="L103" s="436">
        <f>IFERROR(IF(INDEX(HwyTransitModelGroup,A82,1)=Hwy,MAX(5,ROUND(D103/F103,1)),MAX(5,ROUND(H103/J103,1))),55)</f>
        <v>47.1</v>
      </c>
      <c r="M103" s="405">
        <f>MIN(MAX(TREND(M88:M89,B88:B89,B103),0),1)</f>
        <v>0.24</v>
      </c>
      <c r="N103" s="406">
        <f>MIN(MAX(TREND(N88:N89,B88:B89,B103),0),1)</f>
        <v>0.24</v>
      </c>
      <c r="O103" s="401">
        <f>MAX(TREND(O88:O89,B88:B89,B103),0)</f>
        <v>0</v>
      </c>
      <c r="P103" s="402">
        <f>MAX(TREND(P88:P89,B88:B89,B103),0)</f>
        <v>0</v>
      </c>
      <c r="Q103" s="729">
        <f>IF(INDEX(HwyTransitModelGroup,A82,1)=Hwy,C103*(1-M103)*0.00000110231131*(VLOOKUP(K103,EmAuto20,2)*VLOOKUP(ProjLoc,EmCost,2)+VLOOKUP(K103,EmAuto20,3)*VLOOKUP(ProjLoc,EmCost,3)*(1+CO2Uprater)^($B103-YearCurrent)+VLOOKUP(K103,EmAuto20,4)*VLOOKUP(ProjLoc,EmCost,4)+VLOOKUP(K103,EmAuto20,5)*VLOOKUP(ProjLoc,EmCost,5)+VLOOKUP(K103,EmAuto20,6)*VLOOKUP(ProjLoc,EmCost,6)+VLOOKUP(K103,EmAuto20,7)*VLOOKUP(ProjLoc,EmCost,7))+C103*M103*0.00000110231131*(VLOOKUP(K103,EmTruck20,2)*VLOOKUP(ProjLoc,EmCost,2)+VLOOKUP(K103,EmTruck20,3)*VLOOKUP(ProjLoc,EmCost,3)*(1+CO2Uprater)^($B103-YearCurrent)+VLOOKUP(K103,EmTruck20,4)*VLOOKUP(ProjLoc,EmCost,4)+VLOOKUP(K103,EmTruck20,5)*VLOOKUP(ProjLoc,EmCost,5)+VLOOKUP(K103,EmTruck20,6)*VLOOKUP(ProjLoc,EmCost,6)+VLOOKUP(K103,EmTruck20,7)*VLOOKUP(ProjLoc,EmCost,7)),0)</f>
        <v>17056.495667604759</v>
      </c>
      <c r="R103" s="802">
        <f>IF(INDEX(HwyTransitModelGroup,A82,1)=Hwy,D103*(1-N103)*0.00000110231131*(VLOOKUP(L103,EmAuto20,2)*VLOOKUP(ProjLoc,EmCost,2)+VLOOKUP(L103,EmAuto20,3)*VLOOKUP(ProjLoc,EmCost,3)*(1+CO2Uprater)^($B103-YearCurrent)+VLOOKUP(L103,EmAuto20,4)*VLOOKUP(ProjLoc,EmCost,4)+VLOOKUP(L103,EmAuto20,5)*VLOOKUP(ProjLoc,EmCost,5)+VLOOKUP(L103,EmAuto20,6)*VLOOKUP(ProjLoc,EmCost,6)+VLOOKUP(L103,EmAuto20,7)*VLOOKUP(ProjLoc,EmCost,7))+D103*N103*0.00000110231131*(VLOOKUP(L103,EmTruck20,2)*VLOOKUP(ProjLoc,EmCost,2)+VLOOKUP(L103,EmTruck20,3)*VLOOKUP(ProjLoc,EmCost,3)*(1+CO2Uprater)^($B103-YearCurrent)+VLOOKUP(L103,EmTruck20,4)*VLOOKUP(ProjLoc,EmCost,4)+VLOOKUP(L103,EmTruck20,5)*VLOOKUP(ProjLoc,EmCost,5)+VLOOKUP(L103,EmTruck20,6)*VLOOKUP(ProjLoc,EmCost,6)+VLOOKUP(L103,EmTruck20,7)*VLOOKUP(ProjLoc,EmCost,7)),0)</f>
        <v>16735.387400609732</v>
      </c>
      <c r="S103" s="729">
        <f>IF(INDEX(HwyTransitModelGroup,A82,1)=Hwy,O103*(1-M103)*0.00000110231131*(VLOOKUP(0,EmAuto20,2)*VLOOKUP(ProjLoc,EmCost,2)+VLOOKUP(0,EmAuto20,3)*VLOOKUP(ProjLoc,EmCost,3)*(1+CO2Uprater)^($B103-YearCurrent)+VLOOKUP(0,EmAuto20,4)*VLOOKUP(ProjLoc,EmCost,4)+VLOOKUP(0,EmAuto20,5)*VLOOKUP(ProjLoc,EmCost,5)+VLOOKUP(0,EmAuto20,6)*VLOOKUP(ProjLoc,EmCost,6)+VLOOKUP(0,EmAuto20,7)*VLOOKUP(ProjLoc,EmCost,7))+O103*M103*0.00000110231131*(VLOOKUP(0,EmTruck20,2)*VLOOKUP(ProjLoc,EmCost,2)+VLOOKUP(0,EmTruck20,3)*VLOOKUP(ProjLoc,EmCost,3)*(1+CO2Uprater)^($B103-YearCurrent)+VLOOKUP(0,EmTruck20,4)*VLOOKUP(ProjLoc,EmCost,4)+VLOOKUP(0,EmTruck20,5)*VLOOKUP(ProjLoc,EmCost,5)+VLOOKUP(0,EmTruck20,6)*VLOOKUP(ProjLoc,EmCost,6)+VLOOKUP(0,EmTruck20,7)*VLOOKUP(ProjLoc,EmCost,7)),0)</f>
        <v>0</v>
      </c>
      <c r="T103" s="802">
        <f>IF(INDEX(HwyTransitModelGroup,A82,1)=Hwy,P103*(1-N103)*0.00000110231131*(VLOOKUP(0,EmAuto20,2)*VLOOKUP(ProjLoc,EmCost,2)+VLOOKUP(0,EmAuto20,3)*VLOOKUP(ProjLoc,EmCost,3)*(1+CO2Uprater)^($B103-YearCurrent)+VLOOKUP(0,EmAuto20,4)*VLOOKUP(ProjLoc,EmCost,4)+VLOOKUP(0,EmAuto20,5)*VLOOKUP(ProjLoc,EmCost,5)+VLOOKUP(0,EmAuto20,6)*VLOOKUP(ProjLoc,EmCost,6)+VLOOKUP(0,EmAuto20,7)*VLOOKUP(ProjLoc,EmCost,7))+P103*N103*0.00000110231131*(VLOOKUP(0,EmTruck20,2)*VLOOKUP(ProjLoc,EmCost,2)+VLOOKUP(0,EmTruck20,3)*VLOOKUP(ProjLoc,EmCost,3)*(1+CO2Uprater)^($B103-YearCurrent)+VLOOKUP(0,EmTruck20,4)*VLOOKUP(ProjLoc,EmCost,4)+VLOOKUP(0,EmTruck20,5)*VLOOKUP(ProjLoc,EmCost,5)+VLOOKUP(0,EmTruck20,6)*VLOOKUP(ProjLoc,EmCost,6)+VLOOKUP(0,EmTruck20,7)*VLOOKUP(ProjLoc,EmCost,7)),0)</f>
        <v>0</v>
      </c>
      <c r="U103" s="729">
        <f>IF(INDEX(HwyTransitModelGroup,A82,1)=PARAMETERS!$J$9,C103*0.00000110231131*(VLOOKUP(K103,EmBus20,2)*VLOOKUP(ProjLoc,EmCost,2)+VLOOKUP(K103,EmBus20,3)*VLOOKUP(ProjLoc,EmCost,3)*(1+CO2Uprater)^($B103-YearCurrent)+VLOOKUP(K103,EmBus20,4)*VLOOKUP(ProjLoc,EmCost,4)+VLOOKUP(K103,EmBus20,5)*VLOOKUP(ProjLoc,EmCost,5)+VLOOKUP(K103,EmBus20,6)*VLOOKUP(ProjLoc,EmCost,6)+VLOOKUP(K103,EmBus20,7)*VLOOKUP(ProjLoc,EmCost,7)),0)</f>
        <v>0</v>
      </c>
      <c r="V103" s="802">
        <f>IF(INDEX(HwyTransitModelGroup,A82,1)=PARAMETERS!$J$9,D103*0.00000110231131*(VLOOKUP(L103,EmBus20,2)*VLOOKUP(ProjLoc,EmCost,2)+VLOOKUP(L103,EmBus20,3)*VLOOKUP(ProjLoc,EmCost,3)*(1+CO2Uprater)^($B103-YearCurrent)+VLOOKUP(L103,EmBus20,4)*VLOOKUP(ProjLoc,EmCost,4)+VLOOKUP(L103,EmBus20,5)*VLOOKUP(ProjLoc,EmCost,5)+VLOOKUP(L103,EmBus20,6)*VLOOKUP(ProjLoc,EmCost,6)+VLOOKUP(L103,EmBus20,7)*VLOOKUP(ProjLoc,EmCost,7)),0)</f>
        <v>0</v>
      </c>
      <c r="W103" s="808">
        <f>IF(INDEX(HwyTransitModelGroup,A82,1)=PARAMETERS!$J$10,C103*0.00000110231131*(PARAMETERS!$CQ$29*VLOOKUP(ProjLoc,EmCost,2)+PARAMETERS!$CR$29*VLOOKUP(ProjLoc,EmCost,3)*(1+CO2Uprater)^($B103-YearCurrent)+PARAMETERS!$CS$29*VLOOKUP(ProjLoc,EmCost,4)+PARAMETERS!$CT$29*VLOOKUP(ProjLoc,EmCost,5)+PARAMETERS!$CU$29*VLOOKUP(ProjLoc,EmCost,6)+PARAMETERS!$CV$29*VLOOKUP(ProjLoc,EmCost,7)),0)</f>
        <v>0</v>
      </c>
      <c r="X103" s="844">
        <f>IF(INDEX(HwyTransitModelGroup,A82,1)=PARAMETERS!$J$10,D103*0.00000110231131*(PARAMETERS!$CQ$29*VLOOKUP(ProjLoc,EmCost,2)+PARAMETERS!$CR$29*VLOOKUP(ProjLoc,EmCost,3)*(1+CO2Uprater)^($B103-YearCurrent)+PARAMETERS!$CS$29*VLOOKUP(ProjLoc,EmCost,4)+PARAMETERS!$CT$29*VLOOKUP(ProjLoc,EmCost,5)+PARAMETERS!$CU$29*VLOOKUP(ProjLoc,EmCost,6)+PARAMETERS!$CV$29*VLOOKUP(ProjLoc,EmCost,7)),0)</f>
        <v>0</v>
      </c>
      <c r="Y103" s="808">
        <f>IF(INDEX(HwyTransitModelGroup,A82,1)=PARAMETERS!$J$11,C103*0.00000110231131*(PARAMETERS!$CQ$37*VLOOKUP(ProjLoc,EmCost,2)+PARAMETERS!$CR$37*VLOOKUP(ProjLoc,EmCost,3)*(1+CO2Uprater)^($B103-YearCurrent)+PARAMETERS!$CS$37*VLOOKUP(ProjLoc,EmCost,4)+PARAMETERS!$CT$37*VLOOKUP(ProjLoc,EmCost,5)+PARAMETERS!$CU$37*VLOOKUP(ProjLoc,EmCost,6)+PARAMETERS!$CV$37*VLOOKUP(ProjLoc,EmCost,7)),0)</f>
        <v>0</v>
      </c>
      <c r="Z103" s="844">
        <f>IF(INDEX(HwyTransitModelGroup,A82,1)=PARAMETERS!$J$11,D103*0.00000110231131*(PARAMETERS!$CQ$37*VLOOKUP(ProjLoc,EmCost,2)+PARAMETERS!$CR$37*VLOOKUP(ProjLoc,EmCost,3)*(1+CO2Uprater)^($B103-YearCurrent)+PARAMETERS!$CS$37*VLOOKUP(ProjLoc,EmCost,4)+PARAMETERS!$CT$37*VLOOKUP(ProjLoc,EmCost,5)+PARAMETERS!$CU$37*VLOOKUP(ProjLoc,EmCost,6)+PARAMETERS!$CV$37*VLOOKUP(ProjLoc,EmCost,7)),0)</f>
        <v>0</v>
      </c>
      <c r="AA103" s="369">
        <f t="shared" si="33"/>
        <v>321.1082669950265</v>
      </c>
      <c r="AB103" s="370">
        <f t="shared" si="34"/>
        <v>171.44232902895658</v>
      </c>
      <c r="AC103" s="371"/>
      <c r="AD103" s="401">
        <f>IF(INDEX(HwyTransitModelGroup,A82,1)=Hwy,0.00000110231131*(C103*(1-M103)*VLOOKUP(K103,EmAuto20,2)-D103*(1-N103)*VLOOKUP(L103,EmAuto20,2)+(O103*(1-M103)-P103*(1-N103))*VLOOKUP(0,EmAuto20,2))+0.00000110231131*(C103*M103*VLOOKUP(K103,EmTruck20,2)-D103*N103*VLOOKUP(L103,EmTruck20,2)+(O103*M103-P103*N103)*VLOOKUP(0,EmTruck20,2)),0)</f>
        <v>5.1375984672003397E-2</v>
      </c>
      <c r="AE103" s="863">
        <f>IF(INDEX(HwyTransitModelGroup,A82,1)=Hwy,0.00000110231131*(C103*(1-M103)*VLOOKUP(K103,EmAuto20,3)-D103*(1-N103)*VLOOKUP(L103,EmAuto20,3)+(O103*(1-M103)-P103*(1-N103))*VLOOKUP(0,EmAuto20,3))+0.00000110231131*(C103*M103*VLOOKUP(K103,EmTruck20,3)-D103*N103*VLOOKUP(L103,EmTruck20,3)+(O103*M103-P103*N103)*VLOOKUP(0,EmTruck20,3)),0)</f>
        <v>0.94367941672176792</v>
      </c>
      <c r="AF103" s="861">
        <f>IF(INDEX(HwyTransitModelGroup,A82,1)=Hwy,0.00000110231131*(C103*(1-M103)*VLOOKUP(K103,EmAuto20,4)-D103*(1-N103)*VLOOKUP(L103,EmAuto20,4)+(O103*(1-M103)-P103*(1-N103))*VLOOKUP(0,EmAuto20,4))+0.00000110231131*(C103*M103*VLOOKUP(K103,EmTruck20,4)-D103*N103*VLOOKUP(L103,EmTruck20,4)+(O103*M103-P103*N103)*VLOOKUP(0,EmTruck20,4)),0)</f>
        <v>1.9136923944996526E-2</v>
      </c>
      <c r="AG103" s="863">
        <f>IF(INDEX(HwyTransitModelGroup,A82,1)=Hwy,0.00000110231131*(C103*(1-M103)*VLOOKUP(K103,EmAuto20,5)-D103*(1-N103)*VLOOKUP(L103,EmAuto20,5)+(O103*(1-M103)-P103*(1-N103))*VLOOKUP(0,EmAuto20,5))+0.00000110231131*(C103*M103*VLOOKUP(K103,EmTruck20,5)-D103*N103*VLOOKUP(L103,EmTruck20,5)+(O103*M103-P103*N103)*VLOOKUP(0,EmTruck20,5)),0)</f>
        <v>-2.8409612333632489E-4</v>
      </c>
      <c r="AH103" s="861">
        <f>IF(INDEX(HwyTransitModelGroup,A82,1)=Hwy,0.00000110231131*(C103*(1-M103)*VLOOKUP(K103,EmAuto20,6)-D103*(1-N103)*VLOOKUP(L103,EmAuto20,6)+(O103*(1-M103)-P103*(1-N103))*VLOOKUP(0,EmAuto20,6))+0.00000110231131*(C103*M103*VLOOKUP(K103,EmTruck20,6)-D103*N103*VLOOKUP(L103,EmTruck20,6)+(O103*M103-P103*N103)*VLOOKUP(0,EmTruck20,6)),0)</f>
        <v>-3.7930060387858848E-5</v>
      </c>
      <c r="AI103" s="863">
        <f>IF(INDEX(HwyTransitModelGroup,A82,1)=Hwy,0.00000110231131*(C103*(1-M103)*VLOOKUP(K103,EmAuto20,7)-D103*(1-N103)*VLOOKUP(L103,EmAuto20,7)+(O103*(1-M103)-P103*(1-N103))*VLOOKUP(0,EmAuto20,7))+0.00000110231131*(C103*M103*VLOOKUP(K103,EmTruck20,7)-D103*N103*VLOOKUP(L103,EmTruck20,7)+(O103*M103-P103*N103)*VLOOKUP(0,EmTruck20,7)),0)</f>
        <v>1.1171048304341575E-3</v>
      </c>
      <c r="AJ103" s="861">
        <f>IF(INDEX(HwyTransitModelGroup,A82,1)=Hwy,0.00000110231131*(C103*(1-M103)*VLOOKUP(K103,EmAuto20,8)-D103*(1-N103)*VLOOKUP(L103,EmAuto20,8)+(O103*(1-M103)-P103*(1-N103))*VLOOKUP(0,EmAuto20,8))+0.00000110231131*(C103*M103*VLOOKUP(K103,EmTruck20,8)-D103*N103*VLOOKUP(L103,EmTruck20,8)+(O103*M103-P103*N103)*VLOOKUP(0,EmTruck20,8)),0)</f>
        <v>-3.2421364556171016E-4</v>
      </c>
      <c r="AK103" s="401">
        <f>IF(INDEX(HwyTransitModelGroup,A82,1)=PARAMETERS!$J$9,0.00000110231131*(C103*VLOOKUP(K103,EmBus20,2)-D103*VLOOKUP(L103,EmBus20,2)+(O103-P103)*VLOOKUP(0,EmBus20,2)),0)</f>
        <v>0</v>
      </c>
      <c r="AL103" s="863">
        <f>IF(INDEX(HwyTransitModelGroup,A82,1)=PARAMETERS!$J$9,0.00000110231131*(C103*VLOOKUP(K103,EmBus20,3)-D103*VLOOKUP(L103,EmBus20,3)+(O103-P103)*VLOOKUP(0,EmBus20,3)),0)</f>
        <v>0</v>
      </c>
      <c r="AM103" s="861">
        <f>IF(INDEX(HwyTransitModelGroup,A82,1)=PARAMETERS!$J$9,0.00000110231131*(C103*VLOOKUP(K103,EmBus20,4)-D103*VLOOKUP(L103,EmBus20,4)+(O103-P103)*VLOOKUP(0,EmBus20,4)),0)</f>
        <v>0</v>
      </c>
      <c r="AN103" s="863">
        <f>IF(INDEX(HwyTransitModelGroup,A82,1)=PARAMETERS!$J$9,0.00000110231131*(C103*VLOOKUP(K103,EmBus20,5)-D103*VLOOKUP(L103,EmBus20,5)+(O103-P103)*VLOOKUP(0,EmBus20,5)),0)</f>
        <v>0</v>
      </c>
      <c r="AO103" s="861">
        <f>IF(INDEX(HwyTransitModelGroup,A82,1)=PARAMETERS!$J$9,0.00000110231131*(C103*VLOOKUP(K103,EmBus20,6)-D103*VLOOKUP(L103,EmBus20,6)+(O103-P103)*VLOOKUP(0,EmBus20,6)),0)</f>
        <v>0</v>
      </c>
      <c r="AP103" s="863">
        <f>IF(INDEX(HwyTransitModelGroup,A82,1)=PARAMETERS!$J$9,0.00000110231131*(C103*VLOOKUP(K103,EmBus20,7)-D103*VLOOKUP(L103,EmBus20,7)+(O103-P103)*VLOOKUP(0,EmBus20,7)),0)</f>
        <v>0</v>
      </c>
      <c r="AQ103" s="861">
        <f>IF(INDEX(HwyTransitModelGroup,A82,1)=PARAMETERS!$J$9,0.00000110231131*(C103*VLOOKUP(K103,EmBus20,8)-D103*VLOOKUP(L103,EmBus20,8)+(O103-P103)*VLOOKUP(0,EmBus20,8)),0)</f>
        <v>0</v>
      </c>
      <c r="AR103" s="401">
        <f>IF(INDEX(HwyTransitModelGroup,A82,1)=PARAMETERS!$J$10,0.00000110231131*((C103-D103)*PARAMETERS!$CQ$29),0)</f>
        <v>0</v>
      </c>
      <c r="AS103" s="863">
        <f>IF(INDEX(HwyTransitModelGroup,A82,1)=PARAMETERS!$J$10,0.00000110231131*((C103-D103)*PARAMETERS!$CR$29),0)</f>
        <v>0</v>
      </c>
      <c r="AT103" s="861">
        <f>IF(INDEX(HwyTransitModelGroup,A82,1)=PARAMETERS!$J$10,0.00000110231131*((C103-D103)*PARAMETERS!$CS$29),0)</f>
        <v>0</v>
      </c>
      <c r="AU103" s="863">
        <f>IF(INDEX(HwyTransitModelGroup,A82,1)=PARAMETERS!$J$10,0.00000110231131*((C103-D103)*PARAMETERS!$CT$29),0)</f>
        <v>0</v>
      </c>
      <c r="AV103" s="861">
        <f>IF(INDEX(HwyTransitModelGroup,A82,1)=PARAMETERS!$J$10,0.00000110231131*((C103-D103)*PARAMETERS!$CU$29),0)</f>
        <v>0</v>
      </c>
      <c r="AW103" s="863">
        <f>IF(INDEX(HwyTransitModelGroup,A82,1)=PARAMETERS!$J$10,0.00000110231131*((C103-D103)*PARAMETERS!$CV$29),0)</f>
        <v>0</v>
      </c>
      <c r="AX103" s="861">
        <f>IF(INDEX(HwyTransitModelGroup,A82,1)=PARAMETERS!$J$10,0.00000110231131*((C103-D103)*PARAMETERS!$CW$29),0)</f>
        <v>0</v>
      </c>
      <c r="AY103" s="401">
        <f>IF(INDEX(HwyTransitModelGroup,A82,1)=PARAMETERS!$J$11,0.00000110231131*((C103-D103)*PARAMETERS!$CQ$37),0)</f>
        <v>0</v>
      </c>
      <c r="AZ103" s="863">
        <f>IF(INDEX(HwyTransitModelGroup,A82,1)=PARAMETERS!$J$11,0.00000110231131*((C103-D103)*PARAMETERS!$CR$37),0)</f>
        <v>0</v>
      </c>
      <c r="BA103" s="861">
        <f>IF(INDEX(HwyTransitModelGroup,A82,1)=PARAMETERS!$J$11,0.00000110231131*((C103-D103)*PARAMETERS!$CS$37),0)</f>
        <v>0</v>
      </c>
      <c r="BB103" s="863">
        <f>IF(INDEX(HwyTransitModelGroup,A82,1)=PARAMETERS!$J$11,0.00000110231131*((C103-D103)*PARAMETERS!$CT$37),0)</f>
        <v>0</v>
      </c>
      <c r="BC103" s="861">
        <f>IF(INDEX(HwyTransitModelGroup,A82,1)=PARAMETERS!$J$11,0.00000110231131*((C103-D103)*PARAMETERS!$CU$37),0)</f>
        <v>0</v>
      </c>
      <c r="BD103" s="863">
        <f>IF(INDEX(HwyTransitModelGroup,A82,1)=PARAMETERS!$J$11,0.00000110231131*((C103-D103)*PARAMETERS!$CV$37),0)</f>
        <v>0</v>
      </c>
      <c r="BE103" s="865">
        <f>IF(INDEX(HwyTransitModelGroup,A82,1)=PARAMETERS!$J$11,0.00000110231131*((C103-D103)*PARAMETERS!$CW$37),0)</f>
        <v>0</v>
      </c>
      <c r="BF103" s="729">
        <f t="shared" si="35"/>
        <v>2.1944046600234453</v>
      </c>
      <c r="BG103" s="867">
        <f t="shared" si="36"/>
        <v>33.199767263085462</v>
      </c>
      <c r="BH103" s="867">
        <f t="shared" si="37"/>
        <v>154.28213829084794</v>
      </c>
      <c r="BI103" s="867">
        <f t="shared" si="38"/>
        <v>-17.701201049921305</v>
      </c>
      <c r="BJ103" s="867">
        <f t="shared" si="39"/>
        <v>-1.1948189913747946</v>
      </c>
      <c r="BK103" s="869">
        <f t="shared" si="40"/>
        <v>0.66203885629430548</v>
      </c>
      <c r="BL103" s="392"/>
      <c r="BN103" s="375">
        <f t="shared" si="44"/>
        <v>2037</v>
      </c>
      <c r="BO103" s="871">
        <f t="shared" ca="1" si="41"/>
        <v>-14.998938021155944</v>
      </c>
      <c r="BP103" s="871">
        <f t="shared" ca="1" si="45"/>
        <v>-18.624854354963066</v>
      </c>
      <c r="BQ103" s="871">
        <f t="shared" ca="1" si="45"/>
        <v>0.93195460879997527</v>
      </c>
      <c r="BR103" s="871">
        <f t="shared" ca="1" si="45"/>
        <v>-52.575332099082701</v>
      </c>
      <c r="BS103" s="871">
        <f t="shared" ca="1" si="45"/>
        <v>1004.8987849294506</v>
      </c>
      <c r="BT103" s="871">
        <f t="shared" ca="1" si="45"/>
        <v>1236.3205660182768</v>
      </c>
    </row>
    <row r="104" spans="2:72" x14ac:dyDescent="0.25">
      <c r="B104" s="375">
        <f t="shared" si="43"/>
        <v>2039</v>
      </c>
      <c r="C104" s="401">
        <f>MAX(TREND(C88:C89,B88:B89,B104),0)</f>
        <v>695179</v>
      </c>
      <c r="D104" s="402">
        <f>MAX(TREND(D88:D89,B88:B89,B104),0)</f>
        <v>683918.75</v>
      </c>
      <c r="E104" s="401">
        <f>MAX(TREND(E88:E89,B88:B89,B104),0)</f>
        <v>18998.25</v>
      </c>
      <c r="F104" s="402">
        <f>MAX(TREND(F88:F89,B88:B89,B104),0)</f>
        <v>14527</v>
      </c>
      <c r="G104" s="401">
        <f>MAX(TREND(G88:G89,B88:B89,B104),0)</f>
        <v>0</v>
      </c>
      <c r="H104" s="402">
        <f>MAX(TREND(H88:H89,B88:B89,B104),0)</f>
        <v>0</v>
      </c>
      <c r="I104" s="401">
        <f>MAX(TREND(I88:I89,B88:B89,B104),0)</f>
        <v>0</v>
      </c>
      <c r="J104" s="402">
        <f>MAX(TREND(J88:J89,B88:B89,B104),0)</f>
        <v>0</v>
      </c>
      <c r="K104" s="435">
        <f>IFERROR(IF(INDEX(HwyTransitModelGroup,A82,1)=Hwy,MAX(5,ROUND(C104/E104,1)),MAX(5,ROUND(G104/I104,1))),55)</f>
        <v>36.6</v>
      </c>
      <c r="L104" s="436">
        <f>IFERROR(IF(INDEX(HwyTransitModelGroup,A82,1)=Hwy,MAX(5,ROUND(D104/F104,1)),MAX(5,ROUND(H104/J104,1))),55)</f>
        <v>47.1</v>
      </c>
      <c r="M104" s="405">
        <f>MIN(MAX(TREND(M88:M89,B88:B89,B104),0),1)</f>
        <v>0.24</v>
      </c>
      <c r="N104" s="406">
        <f>MIN(MAX(TREND(N88:N89,B88:B89,B104),0),1)</f>
        <v>0.24</v>
      </c>
      <c r="O104" s="401">
        <f>MAX(TREND(O88:O89,B88:B89,B104),0)</f>
        <v>0</v>
      </c>
      <c r="P104" s="402">
        <f>MAX(TREND(P88:P89,B88:B89,B104),0)</f>
        <v>0</v>
      </c>
      <c r="Q104" s="729">
        <f>IF(INDEX(HwyTransitModelGroup,A82,1)=Hwy,C104*(1-M104)*0.00000110231131*(VLOOKUP(K104,EmAuto20,2)*VLOOKUP(ProjLoc,EmCost,2)+VLOOKUP(K104,EmAuto20,3)*VLOOKUP(ProjLoc,EmCost,3)*(1+CO2Uprater)^($B104-YearCurrent)+VLOOKUP(K104,EmAuto20,4)*VLOOKUP(ProjLoc,EmCost,4)+VLOOKUP(K104,EmAuto20,5)*VLOOKUP(ProjLoc,EmCost,5)+VLOOKUP(K104,EmAuto20,6)*VLOOKUP(ProjLoc,EmCost,6)+VLOOKUP(K104,EmAuto20,7)*VLOOKUP(ProjLoc,EmCost,7))+C104*M104*0.00000110231131*(VLOOKUP(K104,EmTruck20,2)*VLOOKUP(ProjLoc,EmCost,2)+VLOOKUP(K104,EmTruck20,3)*VLOOKUP(ProjLoc,EmCost,3)*(1+CO2Uprater)^($B104-YearCurrent)+VLOOKUP(K104,EmTruck20,4)*VLOOKUP(ProjLoc,EmCost,4)+VLOOKUP(K104,EmTruck20,5)*VLOOKUP(ProjLoc,EmCost,5)+VLOOKUP(K104,EmTruck20,6)*VLOOKUP(ProjLoc,EmCost,6)+VLOOKUP(K104,EmTruck20,7)*VLOOKUP(ProjLoc,EmCost,7)),0)</f>
        <v>17637.5259633325</v>
      </c>
      <c r="R104" s="802">
        <f>IF(INDEX(HwyTransitModelGroup,A82,1)=Hwy,D104*(1-N104)*0.00000110231131*(VLOOKUP(L104,EmAuto20,2)*VLOOKUP(ProjLoc,EmCost,2)+VLOOKUP(L104,EmAuto20,3)*VLOOKUP(ProjLoc,EmCost,3)*(1+CO2Uprater)^($B104-YearCurrent)+VLOOKUP(L104,EmAuto20,4)*VLOOKUP(ProjLoc,EmCost,4)+VLOOKUP(L104,EmAuto20,5)*VLOOKUP(ProjLoc,EmCost,5)+VLOOKUP(L104,EmAuto20,6)*VLOOKUP(ProjLoc,EmCost,6)+VLOOKUP(L104,EmAuto20,7)*VLOOKUP(ProjLoc,EmCost,7))+D104*N104*0.00000110231131*(VLOOKUP(L104,EmTruck20,2)*VLOOKUP(ProjLoc,EmCost,2)+VLOOKUP(L104,EmTruck20,3)*VLOOKUP(ProjLoc,EmCost,3)*(1+CO2Uprater)^($B104-YearCurrent)+VLOOKUP(L104,EmTruck20,4)*VLOOKUP(ProjLoc,EmCost,4)+VLOOKUP(L104,EmTruck20,5)*VLOOKUP(ProjLoc,EmCost,5)+VLOOKUP(L104,EmTruck20,6)*VLOOKUP(ProjLoc,EmCost,6)+VLOOKUP(L104,EmTruck20,7)*VLOOKUP(ProjLoc,EmCost,7)),0)</f>
        <v>17310.370538042142</v>
      </c>
      <c r="S104" s="729">
        <f>IF(INDEX(HwyTransitModelGroup,A82,1)=Hwy,O104*(1-M104)*0.00000110231131*(VLOOKUP(0,EmAuto20,2)*VLOOKUP(ProjLoc,EmCost,2)+VLOOKUP(0,EmAuto20,3)*VLOOKUP(ProjLoc,EmCost,3)*(1+CO2Uprater)^($B104-YearCurrent)+VLOOKUP(0,EmAuto20,4)*VLOOKUP(ProjLoc,EmCost,4)+VLOOKUP(0,EmAuto20,5)*VLOOKUP(ProjLoc,EmCost,5)+VLOOKUP(0,EmAuto20,6)*VLOOKUP(ProjLoc,EmCost,6)+VLOOKUP(0,EmAuto20,7)*VLOOKUP(ProjLoc,EmCost,7))+O104*M104*0.00000110231131*(VLOOKUP(0,EmTruck20,2)*VLOOKUP(ProjLoc,EmCost,2)+VLOOKUP(0,EmTruck20,3)*VLOOKUP(ProjLoc,EmCost,3)*(1+CO2Uprater)^($B104-YearCurrent)+VLOOKUP(0,EmTruck20,4)*VLOOKUP(ProjLoc,EmCost,4)+VLOOKUP(0,EmTruck20,5)*VLOOKUP(ProjLoc,EmCost,5)+VLOOKUP(0,EmTruck20,6)*VLOOKUP(ProjLoc,EmCost,6)+VLOOKUP(0,EmTruck20,7)*VLOOKUP(ProjLoc,EmCost,7)),0)</f>
        <v>0</v>
      </c>
      <c r="T104" s="802">
        <f>IF(INDEX(HwyTransitModelGroup,A82,1)=Hwy,P104*(1-N104)*0.00000110231131*(VLOOKUP(0,EmAuto20,2)*VLOOKUP(ProjLoc,EmCost,2)+VLOOKUP(0,EmAuto20,3)*VLOOKUP(ProjLoc,EmCost,3)*(1+CO2Uprater)^($B104-YearCurrent)+VLOOKUP(0,EmAuto20,4)*VLOOKUP(ProjLoc,EmCost,4)+VLOOKUP(0,EmAuto20,5)*VLOOKUP(ProjLoc,EmCost,5)+VLOOKUP(0,EmAuto20,6)*VLOOKUP(ProjLoc,EmCost,6)+VLOOKUP(0,EmAuto20,7)*VLOOKUP(ProjLoc,EmCost,7))+P104*N104*0.00000110231131*(VLOOKUP(0,EmTruck20,2)*VLOOKUP(ProjLoc,EmCost,2)+VLOOKUP(0,EmTruck20,3)*VLOOKUP(ProjLoc,EmCost,3)*(1+CO2Uprater)^($B104-YearCurrent)+VLOOKUP(0,EmTruck20,4)*VLOOKUP(ProjLoc,EmCost,4)+VLOOKUP(0,EmTruck20,5)*VLOOKUP(ProjLoc,EmCost,5)+VLOOKUP(0,EmTruck20,6)*VLOOKUP(ProjLoc,EmCost,6)+VLOOKUP(0,EmTruck20,7)*VLOOKUP(ProjLoc,EmCost,7)),0)</f>
        <v>0</v>
      </c>
      <c r="U104" s="729">
        <f>IF(INDEX(HwyTransitModelGroup,A82,1)=PARAMETERS!$J$9,C104*0.00000110231131*(VLOOKUP(K104,EmBus20,2)*VLOOKUP(ProjLoc,EmCost,2)+VLOOKUP(K104,EmBus20,3)*VLOOKUP(ProjLoc,EmCost,3)*(1+CO2Uprater)^($B104-YearCurrent)+VLOOKUP(K104,EmBus20,4)*VLOOKUP(ProjLoc,EmCost,4)+VLOOKUP(K104,EmBus20,5)*VLOOKUP(ProjLoc,EmCost,5)+VLOOKUP(K104,EmBus20,6)*VLOOKUP(ProjLoc,EmCost,6)+VLOOKUP(K104,EmBus20,7)*VLOOKUP(ProjLoc,EmCost,7)),0)</f>
        <v>0</v>
      </c>
      <c r="V104" s="802">
        <f>IF(INDEX(HwyTransitModelGroup,A82,1)=PARAMETERS!$J$9,D104*0.00000110231131*(VLOOKUP(L104,EmBus20,2)*VLOOKUP(ProjLoc,EmCost,2)+VLOOKUP(L104,EmBus20,3)*VLOOKUP(ProjLoc,EmCost,3)*(1+CO2Uprater)^($B104-YearCurrent)+VLOOKUP(L104,EmBus20,4)*VLOOKUP(ProjLoc,EmCost,4)+VLOOKUP(L104,EmBus20,5)*VLOOKUP(ProjLoc,EmCost,5)+VLOOKUP(L104,EmBus20,6)*VLOOKUP(ProjLoc,EmCost,6)+VLOOKUP(L104,EmBus20,7)*VLOOKUP(ProjLoc,EmCost,7)),0)</f>
        <v>0</v>
      </c>
      <c r="W104" s="808">
        <f>IF(INDEX(HwyTransitModelGroup,A82,1)=PARAMETERS!$J$10,C104*0.00000110231131*(PARAMETERS!$CQ$29*VLOOKUP(ProjLoc,EmCost,2)+PARAMETERS!$CR$29*VLOOKUP(ProjLoc,EmCost,3)*(1+CO2Uprater)^($B104-YearCurrent)+PARAMETERS!$CS$29*VLOOKUP(ProjLoc,EmCost,4)+PARAMETERS!$CT$29*VLOOKUP(ProjLoc,EmCost,5)+PARAMETERS!$CU$29*VLOOKUP(ProjLoc,EmCost,6)+PARAMETERS!$CV$29*VLOOKUP(ProjLoc,EmCost,7)),0)</f>
        <v>0</v>
      </c>
      <c r="X104" s="844">
        <f>IF(INDEX(HwyTransitModelGroup,A82,1)=PARAMETERS!$J$10,D104*0.00000110231131*(PARAMETERS!$CQ$29*VLOOKUP(ProjLoc,EmCost,2)+PARAMETERS!$CR$29*VLOOKUP(ProjLoc,EmCost,3)*(1+CO2Uprater)^($B104-YearCurrent)+PARAMETERS!$CS$29*VLOOKUP(ProjLoc,EmCost,4)+PARAMETERS!$CT$29*VLOOKUP(ProjLoc,EmCost,5)+PARAMETERS!$CU$29*VLOOKUP(ProjLoc,EmCost,6)+PARAMETERS!$CV$29*VLOOKUP(ProjLoc,EmCost,7)),0)</f>
        <v>0</v>
      </c>
      <c r="Y104" s="808">
        <f>IF(INDEX(HwyTransitModelGroup,A82,1)=PARAMETERS!$J$11,C104*0.00000110231131*(PARAMETERS!$CQ$37*VLOOKUP(ProjLoc,EmCost,2)+PARAMETERS!$CR$37*VLOOKUP(ProjLoc,EmCost,3)*(1+CO2Uprater)^($B104-YearCurrent)+PARAMETERS!$CS$37*VLOOKUP(ProjLoc,EmCost,4)+PARAMETERS!$CT$37*VLOOKUP(ProjLoc,EmCost,5)+PARAMETERS!$CU$37*VLOOKUP(ProjLoc,EmCost,6)+PARAMETERS!$CV$37*VLOOKUP(ProjLoc,EmCost,7)),0)</f>
        <v>0</v>
      </c>
      <c r="Z104" s="844">
        <f>IF(INDEX(HwyTransitModelGroup,A82,1)=PARAMETERS!$J$11,D104*0.00000110231131*(PARAMETERS!$CQ$37*VLOOKUP(ProjLoc,EmCost,2)+PARAMETERS!$CR$37*VLOOKUP(ProjLoc,EmCost,3)*(1+CO2Uprater)^($B104-YearCurrent)+PARAMETERS!$CS$37*VLOOKUP(ProjLoc,EmCost,4)+PARAMETERS!$CT$37*VLOOKUP(ProjLoc,EmCost,5)+PARAMETERS!$CU$37*VLOOKUP(ProjLoc,EmCost,6)+PARAMETERS!$CV$37*VLOOKUP(ProjLoc,EmCost,7)),0)</f>
        <v>0</v>
      </c>
      <c r="AA104" s="369">
        <f t="shared" si="33"/>
        <v>327.15542529035883</v>
      </c>
      <c r="AB104" s="370">
        <f t="shared" si="34"/>
        <v>167.95284257932784</v>
      </c>
      <c r="AC104" s="371"/>
      <c r="AD104" s="401">
        <f>IF(INDEX(HwyTransitModelGroup,A82,1)=Hwy,0.00000110231131*(C104*(1-M104)*VLOOKUP(K104,EmAuto20,2)-D104*(1-N104)*VLOOKUP(L104,EmAuto20,2)+(O104*(1-M104)-P104*(1-N104))*VLOOKUP(0,EmAuto20,2))+0.00000110231131*(C104*M104*VLOOKUP(K104,EmTruck20,2)-D104*N104*VLOOKUP(L104,EmTruck20,2)+(O104*M104-P104*N104)*VLOOKUP(0,EmTruck20,2)),0)</f>
        <v>5.2172018402017892E-2</v>
      </c>
      <c r="AE104" s="863">
        <f>IF(INDEX(HwyTransitModelGroup,A82,1)=Hwy,0.00000110231131*(C104*(1-M104)*VLOOKUP(K104,EmAuto20,3)-D104*(1-N104)*VLOOKUP(L104,EmAuto20,3)+(O104*(1-M104)-P104*(1-N104))*VLOOKUP(0,EmAuto20,3))+0.00000110231131*(C104*M104*VLOOKUP(K104,EmTruck20,3)-D104*N104*VLOOKUP(L104,EmTruck20,3)+(O104*M104-P104*N104)*VLOOKUP(0,EmTruck20,3)),0)</f>
        <v>0.95540422464356056</v>
      </c>
      <c r="AF104" s="861">
        <f>IF(INDEX(HwyTransitModelGroup,A82,1)=Hwy,0.00000110231131*(C104*(1-M104)*VLOOKUP(K104,EmAuto20,4)-D104*(1-N104)*VLOOKUP(L104,EmAuto20,4)+(O104*(1-M104)-P104*(1-N104))*VLOOKUP(0,EmAuto20,4))+0.00000110231131*(C104*M104*VLOOKUP(K104,EmTruck20,4)-D104*N104*VLOOKUP(L104,EmTruck20,4)+(O104*M104-P104*N104)*VLOOKUP(0,EmTruck20,4)),0)</f>
        <v>1.9434085936250841E-2</v>
      </c>
      <c r="AG104" s="863">
        <f>IF(INDEX(HwyTransitModelGroup,A82,1)=Hwy,0.00000110231131*(C104*(1-M104)*VLOOKUP(K104,EmAuto20,5)-D104*(1-N104)*VLOOKUP(L104,EmAuto20,5)+(O104*(1-M104)-P104*(1-N104))*VLOOKUP(0,EmAuto20,5))+0.00000110231131*(C104*M104*VLOOKUP(K104,EmTruck20,5)-D104*N104*VLOOKUP(L104,EmTruck20,5)+(O104*M104-P104*N104)*VLOOKUP(0,EmTruck20,5)),0)</f>
        <v>-2.8853542199188081E-4</v>
      </c>
      <c r="AH104" s="861">
        <f>IF(INDEX(HwyTransitModelGroup,A82,1)=Hwy,0.00000110231131*(C104*(1-M104)*VLOOKUP(K104,EmAuto20,6)-D104*(1-N104)*VLOOKUP(L104,EmAuto20,6)+(O104*(1-M104)-P104*(1-N104))*VLOOKUP(0,EmAuto20,6))+0.00000110231131*(C104*M104*VLOOKUP(K104,EmTruck20,6)-D104*N104*VLOOKUP(L104,EmTruck20,6)+(O104*M104-P104*N104)*VLOOKUP(0,EmTruck20,6)),0)</f>
        <v>-3.8549428169033174E-5</v>
      </c>
      <c r="AI104" s="863">
        <f>IF(INDEX(HwyTransitModelGroup,A82,1)=Hwy,0.00000110231131*(C104*(1-M104)*VLOOKUP(K104,EmAuto20,7)-D104*(1-N104)*VLOOKUP(L104,EmAuto20,7)+(O104*(1-M104)-P104*(1-N104))*VLOOKUP(0,EmAuto20,7))+0.00000110231131*(C104*M104*VLOOKUP(K104,EmTruck20,7)-D104*N104*VLOOKUP(L104,EmTruck20,7)+(O104*M104-P104*N104)*VLOOKUP(0,EmTruck20,7)),0)</f>
        <v>1.1344423001834951E-3</v>
      </c>
      <c r="AJ104" s="861">
        <f>IF(INDEX(HwyTransitModelGroup,A82,1)=Hwy,0.00000110231131*(C104*(1-M104)*VLOOKUP(K104,EmAuto20,8)-D104*(1-N104)*VLOOKUP(L104,EmAuto20,8)+(O104*(1-M104)-P104*(1-N104))*VLOOKUP(0,EmAuto20,8))+0.00000110231131*(C104*M104*VLOOKUP(K104,EmTruck20,8)-D104*N104*VLOOKUP(L104,EmTruck20,8)+(O104*M104-P104*N104)*VLOOKUP(0,EmTruck20,8)),0)</f>
        <v>-3.2927689871580114E-4</v>
      </c>
      <c r="AK104" s="401">
        <f>IF(INDEX(HwyTransitModelGroup,A82,1)=PARAMETERS!$J$9,0.00000110231131*(C104*VLOOKUP(K104,EmBus20,2)-D104*VLOOKUP(L104,EmBus20,2)+(O104-P104)*VLOOKUP(0,EmBus20,2)),0)</f>
        <v>0</v>
      </c>
      <c r="AL104" s="863">
        <f>IF(INDEX(HwyTransitModelGroup,A82,1)=PARAMETERS!$J$9,0.00000110231131*(C104*VLOOKUP(K104,EmBus20,3)-D104*VLOOKUP(L104,EmBus20,3)+(O104-P104)*VLOOKUP(0,EmBus20,3)),0)</f>
        <v>0</v>
      </c>
      <c r="AM104" s="861">
        <f>IF(INDEX(HwyTransitModelGroup,A82,1)=PARAMETERS!$J$9,0.00000110231131*(C104*VLOOKUP(K104,EmBus20,4)-D104*VLOOKUP(L104,EmBus20,4)+(O104-P104)*VLOOKUP(0,EmBus20,4)),0)</f>
        <v>0</v>
      </c>
      <c r="AN104" s="863">
        <f>IF(INDEX(HwyTransitModelGroup,A82,1)=PARAMETERS!$J$9,0.00000110231131*(C104*VLOOKUP(K104,EmBus20,5)-D104*VLOOKUP(L104,EmBus20,5)+(O104-P104)*VLOOKUP(0,EmBus20,5)),0)</f>
        <v>0</v>
      </c>
      <c r="AO104" s="861">
        <f>IF(INDEX(HwyTransitModelGroup,A82,1)=PARAMETERS!$J$9,0.00000110231131*(C104*VLOOKUP(K104,EmBus20,6)-D104*VLOOKUP(L104,EmBus20,6)+(O104-P104)*VLOOKUP(0,EmBus20,6)),0)</f>
        <v>0</v>
      </c>
      <c r="AP104" s="863">
        <f>IF(INDEX(HwyTransitModelGroup,A82,1)=PARAMETERS!$J$9,0.00000110231131*(C104*VLOOKUP(K104,EmBus20,7)-D104*VLOOKUP(L104,EmBus20,7)+(O104-P104)*VLOOKUP(0,EmBus20,7)),0)</f>
        <v>0</v>
      </c>
      <c r="AQ104" s="861">
        <f>IF(INDEX(HwyTransitModelGroup,A82,1)=PARAMETERS!$J$9,0.00000110231131*(C104*VLOOKUP(K104,EmBus20,8)-D104*VLOOKUP(L104,EmBus20,8)+(O104-P104)*VLOOKUP(0,EmBus20,8)),0)</f>
        <v>0</v>
      </c>
      <c r="AR104" s="401">
        <f>IF(INDEX(HwyTransitModelGroup,A82,1)=PARAMETERS!$J$10,0.00000110231131*((C104-D104)*PARAMETERS!$CQ$29),0)</f>
        <v>0</v>
      </c>
      <c r="AS104" s="863">
        <f>IF(INDEX(HwyTransitModelGroup,A82,1)=PARAMETERS!$J$10,0.00000110231131*((C104-D104)*PARAMETERS!$CR$29),0)</f>
        <v>0</v>
      </c>
      <c r="AT104" s="861">
        <f>IF(INDEX(HwyTransitModelGroup,A82,1)=PARAMETERS!$J$10,0.00000110231131*((C104-D104)*PARAMETERS!$CS$29),0)</f>
        <v>0</v>
      </c>
      <c r="AU104" s="863">
        <f>IF(INDEX(HwyTransitModelGroup,A82,1)=PARAMETERS!$J$10,0.00000110231131*((C104-D104)*PARAMETERS!$CT$29),0)</f>
        <v>0</v>
      </c>
      <c r="AV104" s="861">
        <f>IF(INDEX(HwyTransitModelGroup,A82,1)=PARAMETERS!$J$10,0.00000110231131*((C104-D104)*PARAMETERS!$CU$29),0)</f>
        <v>0</v>
      </c>
      <c r="AW104" s="863">
        <f>IF(INDEX(HwyTransitModelGroup,A82,1)=PARAMETERS!$J$10,0.00000110231131*((C104-D104)*PARAMETERS!$CV$29),0)</f>
        <v>0</v>
      </c>
      <c r="AX104" s="861">
        <f>IF(INDEX(HwyTransitModelGroup,A82,1)=PARAMETERS!$J$10,0.00000110231131*((C104-D104)*PARAMETERS!$CW$29),0)</f>
        <v>0</v>
      </c>
      <c r="AY104" s="401">
        <f>IF(INDEX(HwyTransitModelGroup,A82,1)=PARAMETERS!$J$11,0.00000110231131*((C104-D104)*PARAMETERS!$CQ$37),0)</f>
        <v>0</v>
      </c>
      <c r="AZ104" s="863">
        <f>IF(INDEX(HwyTransitModelGroup,A82,1)=PARAMETERS!$J$11,0.00000110231131*((C104-D104)*PARAMETERS!$CR$37),0)</f>
        <v>0</v>
      </c>
      <c r="BA104" s="861">
        <f>IF(INDEX(HwyTransitModelGroup,A82,1)=PARAMETERS!$J$11,0.00000110231131*((C104-D104)*PARAMETERS!$CS$37),0)</f>
        <v>0</v>
      </c>
      <c r="BB104" s="863">
        <f>IF(INDEX(HwyTransitModelGroup,A82,1)=PARAMETERS!$J$11,0.00000110231131*((C104-D104)*PARAMETERS!$CT$37),0)</f>
        <v>0</v>
      </c>
      <c r="BC104" s="861">
        <f>IF(INDEX(HwyTransitModelGroup,A82,1)=PARAMETERS!$J$11,0.00000110231131*((C104-D104)*PARAMETERS!$CU$37),0)</f>
        <v>0</v>
      </c>
      <c r="BD104" s="863">
        <f>IF(INDEX(HwyTransitModelGroup,A82,1)=PARAMETERS!$J$11,0.00000110231131*((C104-D104)*PARAMETERS!$CV$37),0)</f>
        <v>0</v>
      </c>
      <c r="BE104" s="865">
        <f>IF(INDEX(HwyTransitModelGroup,A82,1)=PARAMETERS!$J$11,0.00000110231131*((C104-D104)*PARAMETERS!$CW$37),0)</f>
        <v>0</v>
      </c>
      <c r="BF104" s="729">
        <f t="shared" si="35"/>
        <v>2.142697474374577</v>
      </c>
      <c r="BG104" s="867">
        <f t="shared" si="36"/>
        <v>32.965870373010958</v>
      </c>
      <c r="BH104" s="867">
        <f t="shared" si="37"/>
        <v>150.65179063655555</v>
      </c>
      <c r="BI104" s="867">
        <f t="shared" si="38"/>
        <v>-17.286346927508951</v>
      </c>
      <c r="BJ104" s="867">
        <f t="shared" si="39"/>
        <v>-1.1676244588271072</v>
      </c>
      <c r="BK104" s="869">
        <f t="shared" si="40"/>
        <v>0.64645548172319156</v>
      </c>
      <c r="BL104" s="392"/>
      <c r="BN104" s="375">
        <f t="shared" si="44"/>
        <v>2038</v>
      </c>
      <c r="BO104" s="871">
        <f t="shared" ca="1" si="41"/>
        <v>-17.25870119719864</v>
      </c>
      <c r="BP104" s="871">
        <f t="shared" ca="1" si="45"/>
        <v>-18.919121358120673</v>
      </c>
      <c r="BQ104" s="871">
        <f t="shared" ca="1" si="45"/>
        <v>0.94367941672176792</v>
      </c>
      <c r="BR104" s="871">
        <f t="shared" ca="1" si="45"/>
        <v>-53.156835432377946</v>
      </c>
      <c r="BS104" s="871">
        <f t="shared" ca="1" si="45"/>
        <v>1039.7051171521935</v>
      </c>
      <c r="BT104" s="871">
        <f t="shared" ca="1" si="45"/>
        <v>1264.656660776644</v>
      </c>
    </row>
    <row r="105" spans="2:72" x14ac:dyDescent="0.25">
      <c r="B105" s="375">
        <f t="shared" si="43"/>
        <v>2040</v>
      </c>
      <c r="C105" s="401">
        <f>MAX(TREND(C88:C89,B88:B89,B105),0)</f>
        <v>705837</v>
      </c>
      <c r="D105" s="402">
        <f>MAX(TREND(D88:D89,B88:B89,B105),0)</f>
        <v>694412.5</v>
      </c>
      <c r="E105" s="401">
        <f>MAX(TREND(E88:E89,B88:B89,B105),0)</f>
        <v>19308.5</v>
      </c>
      <c r="F105" s="402">
        <f>MAX(TREND(F88:F89,B88:B89,B105),0)</f>
        <v>14746</v>
      </c>
      <c r="G105" s="401">
        <f>MAX(TREND(G88:G89,B88:B89,B105),0)</f>
        <v>0</v>
      </c>
      <c r="H105" s="402">
        <f>MAX(TREND(H88:H89,B88:B89,B105),0)</f>
        <v>0</v>
      </c>
      <c r="I105" s="401">
        <f>MAX(TREND(I88:I89,B88:B89,B105),0)</f>
        <v>0</v>
      </c>
      <c r="J105" s="402">
        <f>MAX(TREND(J88:J89,B88:B89,B105),0)</f>
        <v>0</v>
      </c>
      <c r="K105" s="435">
        <f>IFERROR(IF(INDEX(HwyTransitModelGroup,A82,1)=Hwy,MAX(5,ROUND(C105/E105,1)),MAX(5,ROUND(G105/I105,1))),55)</f>
        <v>36.6</v>
      </c>
      <c r="L105" s="436">
        <f>IFERROR(IF(INDEX(HwyTransitModelGroup,A82,1)=Hwy,MAX(5,ROUND(D105/F105,1)),MAX(5,ROUND(H105/J105,1))),55)</f>
        <v>47.1</v>
      </c>
      <c r="M105" s="405">
        <f>MIN(MAX(TREND(M88:M89,B88:B89,B105),0),1)</f>
        <v>0.24</v>
      </c>
      <c r="N105" s="406">
        <f>MIN(MAX(TREND(N88:N89,B88:B89,B105),0),1)</f>
        <v>0.24</v>
      </c>
      <c r="O105" s="401">
        <f>MAX(TREND(O88:O89,B88:B89,B105),0)</f>
        <v>0</v>
      </c>
      <c r="P105" s="402">
        <f>MAX(TREND(P88:P89,B88:B89,B105),0)</f>
        <v>0</v>
      </c>
      <c r="Q105" s="729">
        <f>IF(INDEX(HwyTransitModelGroup,A82,1)=Hwy,C105*(1-M105)*0.00000110231131*(VLOOKUP(K105,EmAuto20,2)*VLOOKUP(ProjLoc,EmCost,2)+VLOOKUP(K105,EmAuto20,3)*VLOOKUP(ProjLoc,EmCost,3)*(1+CO2Uprater)^($B105-YearCurrent)+VLOOKUP(K105,EmAuto20,4)*VLOOKUP(ProjLoc,EmCost,4)+VLOOKUP(K105,EmAuto20,5)*VLOOKUP(ProjLoc,EmCost,5)+VLOOKUP(K105,EmAuto20,6)*VLOOKUP(ProjLoc,EmCost,6)+VLOOKUP(K105,EmAuto20,7)*VLOOKUP(ProjLoc,EmCost,7))+C105*M105*0.00000110231131*(VLOOKUP(K105,EmTruck20,2)*VLOOKUP(ProjLoc,EmCost,2)+VLOOKUP(K105,EmTruck20,3)*VLOOKUP(ProjLoc,EmCost,3)*(1+CO2Uprater)^($B105-YearCurrent)+VLOOKUP(K105,EmTruck20,4)*VLOOKUP(ProjLoc,EmCost,4)+VLOOKUP(K105,EmTruck20,5)*VLOOKUP(ProjLoc,EmCost,5)+VLOOKUP(K105,EmTruck20,6)*VLOOKUP(ProjLoc,EmCost,6)+VLOOKUP(K105,EmTruck20,7)*VLOOKUP(ProjLoc,EmCost,7)),0)</f>
        <v>18234.635036457148</v>
      </c>
      <c r="R105" s="802">
        <f>IF(INDEX(HwyTransitModelGroup,A82,1)=Hwy,D105*(1-N105)*0.00000110231131*(VLOOKUP(L105,EmAuto20,2)*VLOOKUP(ProjLoc,EmCost,2)+VLOOKUP(L105,EmAuto20,3)*VLOOKUP(ProjLoc,EmCost,3)*(1+CO2Uprater)^($B105-YearCurrent)+VLOOKUP(L105,EmAuto20,4)*VLOOKUP(ProjLoc,EmCost,4)+VLOOKUP(L105,EmAuto20,5)*VLOOKUP(ProjLoc,EmCost,5)+VLOOKUP(L105,EmAuto20,6)*VLOOKUP(ProjLoc,EmCost,6)+VLOOKUP(L105,EmAuto20,7)*VLOOKUP(ProjLoc,EmCost,7))+D105*N105*0.00000110231131*(VLOOKUP(L105,EmTruck20,2)*VLOOKUP(ProjLoc,EmCost,2)+VLOOKUP(L105,EmTruck20,3)*VLOOKUP(ProjLoc,EmCost,3)*(1+CO2Uprater)^($B105-YearCurrent)+VLOOKUP(L105,EmTruck20,4)*VLOOKUP(ProjLoc,EmCost,4)+VLOOKUP(L105,EmTruck20,5)*VLOOKUP(ProjLoc,EmCost,5)+VLOOKUP(L105,EmTruck20,6)*VLOOKUP(ProjLoc,EmCost,6)+VLOOKUP(L105,EmTruck20,7)*VLOOKUP(ProjLoc,EmCost,7)),0)</f>
        <v>17901.37605813644</v>
      </c>
      <c r="S105" s="729">
        <f>IF(INDEX(HwyTransitModelGroup,A82,1)=Hwy,O105*(1-M105)*0.00000110231131*(VLOOKUP(0,EmAuto20,2)*VLOOKUP(ProjLoc,EmCost,2)+VLOOKUP(0,EmAuto20,3)*VLOOKUP(ProjLoc,EmCost,3)*(1+CO2Uprater)^($B105-YearCurrent)+VLOOKUP(0,EmAuto20,4)*VLOOKUP(ProjLoc,EmCost,4)+VLOOKUP(0,EmAuto20,5)*VLOOKUP(ProjLoc,EmCost,5)+VLOOKUP(0,EmAuto20,6)*VLOOKUP(ProjLoc,EmCost,6)+VLOOKUP(0,EmAuto20,7)*VLOOKUP(ProjLoc,EmCost,7))+O105*M105*0.00000110231131*(VLOOKUP(0,EmTruck20,2)*VLOOKUP(ProjLoc,EmCost,2)+VLOOKUP(0,EmTruck20,3)*VLOOKUP(ProjLoc,EmCost,3)*(1+CO2Uprater)^($B105-YearCurrent)+VLOOKUP(0,EmTruck20,4)*VLOOKUP(ProjLoc,EmCost,4)+VLOOKUP(0,EmTruck20,5)*VLOOKUP(ProjLoc,EmCost,5)+VLOOKUP(0,EmTruck20,6)*VLOOKUP(ProjLoc,EmCost,6)+VLOOKUP(0,EmTruck20,7)*VLOOKUP(ProjLoc,EmCost,7)),0)</f>
        <v>0</v>
      </c>
      <c r="T105" s="802">
        <f>IF(INDEX(HwyTransitModelGroup,A82,1)=Hwy,P105*(1-N105)*0.00000110231131*(VLOOKUP(0,EmAuto20,2)*VLOOKUP(ProjLoc,EmCost,2)+VLOOKUP(0,EmAuto20,3)*VLOOKUP(ProjLoc,EmCost,3)*(1+CO2Uprater)^($B105-YearCurrent)+VLOOKUP(0,EmAuto20,4)*VLOOKUP(ProjLoc,EmCost,4)+VLOOKUP(0,EmAuto20,5)*VLOOKUP(ProjLoc,EmCost,5)+VLOOKUP(0,EmAuto20,6)*VLOOKUP(ProjLoc,EmCost,6)+VLOOKUP(0,EmAuto20,7)*VLOOKUP(ProjLoc,EmCost,7))+P105*N105*0.00000110231131*(VLOOKUP(0,EmTruck20,2)*VLOOKUP(ProjLoc,EmCost,2)+VLOOKUP(0,EmTruck20,3)*VLOOKUP(ProjLoc,EmCost,3)*(1+CO2Uprater)^($B105-YearCurrent)+VLOOKUP(0,EmTruck20,4)*VLOOKUP(ProjLoc,EmCost,4)+VLOOKUP(0,EmTruck20,5)*VLOOKUP(ProjLoc,EmCost,5)+VLOOKUP(0,EmTruck20,6)*VLOOKUP(ProjLoc,EmCost,6)+VLOOKUP(0,EmTruck20,7)*VLOOKUP(ProjLoc,EmCost,7)),0)</f>
        <v>0</v>
      </c>
      <c r="U105" s="729">
        <f>IF(INDEX(HwyTransitModelGroup,A82,1)=PARAMETERS!$J$9,C105*0.00000110231131*(VLOOKUP(K105,EmBus20,2)*VLOOKUP(ProjLoc,EmCost,2)+VLOOKUP(K105,EmBus20,3)*VLOOKUP(ProjLoc,EmCost,3)*(1+CO2Uprater)^($B105-YearCurrent)+VLOOKUP(K105,EmBus20,4)*VLOOKUP(ProjLoc,EmCost,4)+VLOOKUP(K105,EmBus20,5)*VLOOKUP(ProjLoc,EmCost,5)+VLOOKUP(K105,EmBus20,6)*VLOOKUP(ProjLoc,EmCost,6)+VLOOKUP(K105,EmBus20,7)*VLOOKUP(ProjLoc,EmCost,7)),0)</f>
        <v>0</v>
      </c>
      <c r="V105" s="802">
        <f>IF(INDEX(HwyTransitModelGroup,A82,1)=PARAMETERS!$J$9,D105*0.00000110231131*(VLOOKUP(L105,EmBus20,2)*VLOOKUP(ProjLoc,EmCost,2)+VLOOKUP(L105,EmBus20,3)*VLOOKUP(ProjLoc,EmCost,3)*(1+CO2Uprater)^($B105-YearCurrent)+VLOOKUP(L105,EmBus20,4)*VLOOKUP(ProjLoc,EmCost,4)+VLOOKUP(L105,EmBus20,5)*VLOOKUP(ProjLoc,EmCost,5)+VLOOKUP(L105,EmBus20,6)*VLOOKUP(ProjLoc,EmCost,6)+VLOOKUP(L105,EmBus20,7)*VLOOKUP(ProjLoc,EmCost,7)),0)</f>
        <v>0</v>
      </c>
      <c r="W105" s="808">
        <f>IF(INDEX(HwyTransitModelGroup,A82,1)=PARAMETERS!$J$10,C105*0.00000110231131*(PARAMETERS!$CQ$29*VLOOKUP(ProjLoc,EmCost,2)+PARAMETERS!$CR$29*VLOOKUP(ProjLoc,EmCost,3)*(1+CO2Uprater)^($B105-YearCurrent)+PARAMETERS!$CS$29*VLOOKUP(ProjLoc,EmCost,4)+PARAMETERS!$CT$29*VLOOKUP(ProjLoc,EmCost,5)+PARAMETERS!$CU$29*VLOOKUP(ProjLoc,EmCost,6)+PARAMETERS!$CV$29*VLOOKUP(ProjLoc,EmCost,7)),0)</f>
        <v>0</v>
      </c>
      <c r="X105" s="844">
        <f>IF(INDEX(HwyTransitModelGroup,A82,1)=PARAMETERS!$J$10,D105*0.00000110231131*(PARAMETERS!$CQ$29*VLOOKUP(ProjLoc,EmCost,2)+PARAMETERS!$CR$29*VLOOKUP(ProjLoc,EmCost,3)*(1+CO2Uprater)^($B105-YearCurrent)+PARAMETERS!$CS$29*VLOOKUP(ProjLoc,EmCost,4)+PARAMETERS!$CT$29*VLOOKUP(ProjLoc,EmCost,5)+PARAMETERS!$CU$29*VLOOKUP(ProjLoc,EmCost,6)+PARAMETERS!$CV$29*VLOOKUP(ProjLoc,EmCost,7)),0)</f>
        <v>0</v>
      </c>
      <c r="Y105" s="808">
        <f>IF(INDEX(HwyTransitModelGroup,A82,1)=PARAMETERS!$J$11,C105*0.00000110231131*(PARAMETERS!$CQ$37*VLOOKUP(ProjLoc,EmCost,2)+PARAMETERS!$CR$37*VLOOKUP(ProjLoc,EmCost,3)*(1+CO2Uprater)^($B105-YearCurrent)+PARAMETERS!$CS$37*VLOOKUP(ProjLoc,EmCost,4)+PARAMETERS!$CT$37*VLOOKUP(ProjLoc,EmCost,5)+PARAMETERS!$CU$37*VLOOKUP(ProjLoc,EmCost,6)+PARAMETERS!$CV$37*VLOOKUP(ProjLoc,EmCost,7)),0)</f>
        <v>0</v>
      </c>
      <c r="Z105" s="844">
        <f>IF(INDEX(HwyTransitModelGroup,A82,1)=PARAMETERS!$J$11,D105*0.00000110231131*(PARAMETERS!$CQ$37*VLOOKUP(ProjLoc,EmCost,2)+PARAMETERS!$CR$37*VLOOKUP(ProjLoc,EmCost,3)*(1+CO2Uprater)^($B105-YearCurrent)+PARAMETERS!$CS$37*VLOOKUP(ProjLoc,EmCost,4)+PARAMETERS!$CT$37*VLOOKUP(ProjLoc,EmCost,5)+PARAMETERS!$CU$37*VLOOKUP(ProjLoc,EmCost,6)+PARAMETERS!$CV$37*VLOOKUP(ProjLoc,EmCost,7)),0)</f>
        <v>0</v>
      </c>
      <c r="AA105" s="369">
        <f t="shared" si="33"/>
        <v>333.25897832070768</v>
      </c>
      <c r="AB105" s="370">
        <f t="shared" si="34"/>
        <v>164.50600327860232</v>
      </c>
      <c r="AC105" s="371"/>
      <c r="AD105" s="401">
        <f>IF(INDEX(HwyTransitModelGroup,A82,1)=Hwy,0.00000110231131*(C105*(1-M105)*VLOOKUP(K105,EmAuto20,2)-D105*(1-N105)*VLOOKUP(L105,EmAuto20,2)+(O105*(1-M105)-P105*(1-N105))*VLOOKUP(0,EmAuto20,2))+0.00000110231131*(C105*M105*VLOOKUP(K105,EmTruck20,2)-D105*N105*VLOOKUP(L105,EmTruck20,2)+(O105*M105-P105*N105)*VLOOKUP(0,EmTruck20,2)),0)</f>
        <v>5.2968052132032366E-2</v>
      </c>
      <c r="AE105" s="863">
        <f>IF(INDEX(HwyTransitModelGroup,A82,1)=Hwy,0.00000110231131*(C105*(1-M105)*VLOOKUP(K105,EmAuto20,3)-D105*(1-N105)*VLOOKUP(L105,EmAuto20,3)+(O105*(1-M105)-P105*(1-N105))*VLOOKUP(0,EmAuto20,3))+0.00000110231131*(C105*M105*VLOOKUP(K105,EmTruck20,3)-D105*N105*VLOOKUP(L105,EmTruck20,3)+(O105*M105-P105*N105)*VLOOKUP(0,EmTruck20,3)),0)</f>
        <v>0.96712903256535321</v>
      </c>
      <c r="AF105" s="861">
        <f>IF(INDEX(HwyTransitModelGroup,A82,1)=Hwy,0.00000110231131*(C105*(1-M105)*VLOOKUP(K105,EmAuto20,4)-D105*(1-N105)*VLOOKUP(L105,EmAuto20,4)+(O105*(1-M105)-P105*(1-N105))*VLOOKUP(0,EmAuto20,4))+0.00000110231131*(C105*M105*VLOOKUP(K105,EmTruck20,4)-D105*N105*VLOOKUP(L105,EmTruck20,4)+(O105*M105-P105*N105)*VLOOKUP(0,EmTruck20,4)),0)</f>
        <v>1.9731247927505163E-2</v>
      </c>
      <c r="AG105" s="863">
        <f>IF(INDEX(HwyTransitModelGroup,A82,1)=Hwy,0.00000110231131*(C105*(1-M105)*VLOOKUP(K105,EmAuto20,5)-D105*(1-N105)*VLOOKUP(L105,EmAuto20,5)+(O105*(1-M105)-P105*(1-N105))*VLOOKUP(0,EmAuto20,5))+0.00000110231131*(C105*M105*VLOOKUP(K105,EmTruck20,5)-D105*N105*VLOOKUP(L105,EmTruck20,5)+(O105*M105-P105*N105)*VLOOKUP(0,EmTruck20,5)),0)</f>
        <v>-2.9297472064743668E-4</v>
      </c>
      <c r="AH105" s="861">
        <f>IF(INDEX(HwyTransitModelGroup,A82,1)=Hwy,0.00000110231131*(C105*(1-M105)*VLOOKUP(K105,EmAuto20,6)-D105*(1-N105)*VLOOKUP(L105,EmAuto20,6)+(O105*(1-M105)-P105*(1-N105))*VLOOKUP(0,EmAuto20,6))+0.00000110231131*(C105*M105*VLOOKUP(K105,EmTruck20,6)-D105*N105*VLOOKUP(L105,EmTruck20,6)+(O105*M105-P105*N105)*VLOOKUP(0,EmTruck20,6)),0)</f>
        <v>-3.9168795950207255E-5</v>
      </c>
      <c r="AI105" s="863">
        <f>IF(INDEX(HwyTransitModelGroup,A82,1)=Hwy,0.00000110231131*(C105*(1-M105)*VLOOKUP(K105,EmAuto20,7)-D105*(1-N105)*VLOOKUP(L105,EmAuto20,7)+(O105*(1-M105)-P105*(1-N105))*VLOOKUP(0,EmAuto20,7))+0.00000110231131*(C105*M105*VLOOKUP(K105,EmTruck20,7)-D105*N105*VLOOKUP(L105,EmTruck20,7)+(O105*M105-P105*N105)*VLOOKUP(0,EmTruck20,7)),0)</f>
        <v>1.1517797699328322E-3</v>
      </c>
      <c r="AJ105" s="861">
        <f>IF(INDEX(HwyTransitModelGroup,A82,1)=Hwy,0.00000110231131*(C105*(1-M105)*VLOOKUP(K105,EmAuto20,8)-D105*(1-N105)*VLOOKUP(L105,EmAuto20,8)+(O105*(1-M105)-P105*(1-N105))*VLOOKUP(0,EmAuto20,8))+0.00000110231131*(C105*M105*VLOOKUP(K105,EmTruck20,8)-D105*N105*VLOOKUP(L105,EmTruck20,8)+(O105*M105-P105*N105)*VLOOKUP(0,EmTruck20,8)),0)</f>
        <v>-3.3434015186989191E-4</v>
      </c>
      <c r="AK105" s="401">
        <f>IF(INDEX(HwyTransitModelGroup,A82,1)=PARAMETERS!$J$9,0.00000110231131*(C105*VLOOKUP(K105,EmBus20,2)-D105*VLOOKUP(L105,EmBus20,2)+(O105-P105)*VLOOKUP(0,EmBus20,2)),0)</f>
        <v>0</v>
      </c>
      <c r="AL105" s="863">
        <f>IF(INDEX(HwyTransitModelGroup,A82,1)=PARAMETERS!$J$9,0.00000110231131*(C105*VLOOKUP(K105,EmBus20,3)-D105*VLOOKUP(L105,EmBus20,3)+(O105-P105)*VLOOKUP(0,EmBus20,3)),0)</f>
        <v>0</v>
      </c>
      <c r="AM105" s="861">
        <f>IF(INDEX(HwyTransitModelGroup,A82,1)=PARAMETERS!$J$9,0.00000110231131*(C105*VLOOKUP(K105,EmBus20,4)-D105*VLOOKUP(L105,EmBus20,4)+(O105-P105)*VLOOKUP(0,EmBus20,4)),0)</f>
        <v>0</v>
      </c>
      <c r="AN105" s="863">
        <f>IF(INDEX(HwyTransitModelGroup,A82,1)=PARAMETERS!$J$9,0.00000110231131*(C105*VLOOKUP(K105,EmBus20,5)-D105*VLOOKUP(L105,EmBus20,5)+(O105-P105)*VLOOKUP(0,EmBus20,5)),0)</f>
        <v>0</v>
      </c>
      <c r="AO105" s="861">
        <f>IF(INDEX(HwyTransitModelGroup,A82,1)=PARAMETERS!$J$9,0.00000110231131*(C105*VLOOKUP(K105,EmBus20,6)-D105*VLOOKUP(L105,EmBus20,6)+(O105-P105)*VLOOKUP(0,EmBus20,6)),0)</f>
        <v>0</v>
      </c>
      <c r="AP105" s="863">
        <f>IF(INDEX(HwyTransitModelGroup,A82,1)=PARAMETERS!$J$9,0.00000110231131*(C105*VLOOKUP(K105,EmBus20,7)-D105*VLOOKUP(L105,EmBus20,7)+(O105-P105)*VLOOKUP(0,EmBus20,7)),0)</f>
        <v>0</v>
      </c>
      <c r="AQ105" s="861">
        <f>IF(INDEX(HwyTransitModelGroup,A82,1)=PARAMETERS!$J$9,0.00000110231131*(C105*VLOOKUP(K105,EmBus20,8)-D105*VLOOKUP(L105,EmBus20,8)+(O105-P105)*VLOOKUP(0,EmBus20,8)),0)</f>
        <v>0</v>
      </c>
      <c r="AR105" s="401">
        <f>IF(INDEX(HwyTransitModelGroup,A82,1)=PARAMETERS!$J$10,0.00000110231131*((C105-D105)*PARAMETERS!$CQ$29),0)</f>
        <v>0</v>
      </c>
      <c r="AS105" s="863">
        <f>IF(INDEX(HwyTransitModelGroup,A82,1)=PARAMETERS!$J$10,0.00000110231131*((C105-D105)*PARAMETERS!$CR$29),0)</f>
        <v>0</v>
      </c>
      <c r="AT105" s="861">
        <f>IF(INDEX(HwyTransitModelGroup,A82,1)=PARAMETERS!$J$10,0.00000110231131*((C105-D105)*PARAMETERS!$CS$29),0)</f>
        <v>0</v>
      </c>
      <c r="AU105" s="863">
        <f>IF(INDEX(HwyTransitModelGroup,A82,1)=PARAMETERS!$J$10,0.00000110231131*((C105-D105)*PARAMETERS!$CT$29),0)</f>
        <v>0</v>
      </c>
      <c r="AV105" s="861">
        <f>IF(INDEX(HwyTransitModelGroup,A82,1)=PARAMETERS!$J$10,0.00000110231131*((C105-D105)*PARAMETERS!$CU$29),0)</f>
        <v>0</v>
      </c>
      <c r="AW105" s="863">
        <f>IF(INDEX(HwyTransitModelGroup,A82,1)=PARAMETERS!$J$10,0.00000110231131*((C105-D105)*PARAMETERS!$CV$29),0)</f>
        <v>0</v>
      </c>
      <c r="AX105" s="861">
        <f>IF(INDEX(HwyTransitModelGroup,A82,1)=PARAMETERS!$J$10,0.00000110231131*((C105-D105)*PARAMETERS!$CW$29),0)</f>
        <v>0</v>
      </c>
      <c r="AY105" s="401">
        <f>IF(INDEX(HwyTransitModelGroup,A82,1)=PARAMETERS!$J$11,0.00000110231131*((C105-D105)*PARAMETERS!$CQ$37),0)</f>
        <v>0</v>
      </c>
      <c r="AZ105" s="863">
        <f>IF(INDEX(HwyTransitModelGroup,A82,1)=PARAMETERS!$J$11,0.00000110231131*((C105-D105)*PARAMETERS!$CR$37),0)</f>
        <v>0</v>
      </c>
      <c r="BA105" s="861">
        <f>IF(INDEX(HwyTransitModelGroup,A82,1)=PARAMETERS!$J$11,0.00000110231131*((C105-D105)*PARAMETERS!$CS$37),0)</f>
        <v>0</v>
      </c>
      <c r="BB105" s="863">
        <f>IF(INDEX(HwyTransitModelGroup,A82,1)=PARAMETERS!$J$11,0.00000110231131*((C105-D105)*PARAMETERS!$CT$37),0)</f>
        <v>0</v>
      </c>
      <c r="BC105" s="861">
        <f>IF(INDEX(HwyTransitModelGroup,A82,1)=PARAMETERS!$J$11,0.00000110231131*((C105-D105)*PARAMETERS!$CU$37),0)</f>
        <v>0</v>
      </c>
      <c r="BD105" s="863">
        <f>IF(INDEX(HwyTransitModelGroup,A82,1)=PARAMETERS!$J$11,0.00000110231131*((C105-D105)*PARAMETERS!$CV$37),0)</f>
        <v>0</v>
      </c>
      <c r="BE105" s="865">
        <f>IF(INDEX(HwyTransitModelGroup,A82,1)=PARAMETERS!$J$11,0.00000110231131*((C105-D105)*PARAMETERS!$CW$37),0)</f>
        <v>0</v>
      </c>
      <c r="BF105" s="729">
        <f t="shared" si="35"/>
        <v>2.0917216038051714</v>
      </c>
      <c r="BG105" s="867">
        <f t="shared" si="36"/>
        <v>32.728691496732552</v>
      </c>
      <c r="BH105" s="867">
        <f t="shared" si="37"/>
        <v>147.07247247890868</v>
      </c>
      <c r="BI105" s="867">
        <f t="shared" si="38"/>
        <v>-16.877219452013044</v>
      </c>
      <c r="BJ105" s="867">
        <f t="shared" si="39"/>
        <v>-1.1407543296834139</v>
      </c>
      <c r="BK105" s="869">
        <f t="shared" si="40"/>
        <v>0.63109148085237865</v>
      </c>
      <c r="BL105" s="392"/>
      <c r="BN105" s="375">
        <f t="shared" si="44"/>
        <v>2039</v>
      </c>
      <c r="BO105" s="871">
        <f t="shared" ca="1" si="41"/>
        <v>-19.518464373241358</v>
      </c>
      <c r="BP105" s="871">
        <f t="shared" ca="1" si="45"/>
        <v>-19.213388361278298</v>
      </c>
      <c r="BQ105" s="871">
        <f t="shared" ca="1" si="45"/>
        <v>0.95540422464356056</v>
      </c>
      <c r="BR105" s="871">
        <f t="shared" ca="1" si="45"/>
        <v>-53.738338765673227</v>
      </c>
      <c r="BS105" s="871">
        <f t="shared" ca="1" si="45"/>
        <v>1074.5114493749354</v>
      </c>
      <c r="BT105" s="871">
        <f t="shared" ca="1" si="45"/>
        <v>1292.9927555350123</v>
      </c>
    </row>
    <row r="106" spans="2:72" x14ac:dyDescent="0.25">
      <c r="B106" s="375">
        <f t="shared" si="43"/>
        <v>2041</v>
      </c>
      <c r="C106" s="401">
        <f>MAX(TREND(C88:C89,B88:B89,B106),0)</f>
        <v>716495</v>
      </c>
      <c r="D106" s="402">
        <f>MAX(TREND(D88:D89,B88:B89,B106),0)</f>
        <v>704906.25</v>
      </c>
      <c r="E106" s="401">
        <f>MAX(TREND(E88:E89,B88:B89,B106),0)</f>
        <v>19618.75</v>
      </c>
      <c r="F106" s="402">
        <f>MAX(TREND(F88:F89,B88:B89,B106),0)</f>
        <v>14965</v>
      </c>
      <c r="G106" s="401">
        <f>MAX(TREND(G88:G89,B88:B89,B106),0)</f>
        <v>0</v>
      </c>
      <c r="H106" s="402">
        <f>MAX(TREND(H88:H89,B88:B89,B106),0)</f>
        <v>0</v>
      </c>
      <c r="I106" s="401">
        <f>MAX(TREND(I88:I89,B88:B89,B106),0)</f>
        <v>0</v>
      </c>
      <c r="J106" s="402">
        <f>MAX(TREND(J88:J89,B88:B89,B106),0)</f>
        <v>0</v>
      </c>
      <c r="K106" s="435">
        <f>IFERROR(IF(INDEX(HwyTransitModelGroup,A82,1)=Hwy,MAX(5,ROUND(C106/E106,1)),MAX(5,ROUND(G106/I106,1))),55)</f>
        <v>36.5</v>
      </c>
      <c r="L106" s="436">
        <f>IFERROR(IF(INDEX(HwyTransitModelGroup,A82,1)=Hwy,MAX(5,ROUND(D106/F106,1)),MAX(5,ROUND(H106/J106,1))),55)</f>
        <v>47.1</v>
      </c>
      <c r="M106" s="405">
        <f>MIN(MAX(TREND(M88:M89,B88:B89,B106),0),1)</f>
        <v>0.24</v>
      </c>
      <c r="N106" s="406">
        <f>MIN(MAX(TREND(N88:N89,B88:B89,B106),0),1)</f>
        <v>0.24</v>
      </c>
      <c r="O106" s="401">
        <f>MAX(TREND(O88:O89,B88:B89,B106),0)</f>
        <v>0</v>
      </c>
      <c r="P106" s="402">
        <f>MAX(TREND(P88:P89,B88:B89,B106),0)</f>
        <v>0</v>
      </c>
      <c r="Q106" s="729">
        <f>IF(INDEX(HwyTransitModelGroup,A82,1)=Hwy,C106*(1-M106)*0.00000110231131*(VLOOKUP(K106,EmAuto20,2)*VLOOKUP(ProjLoc,EmCost,2)+VLOOKUP(K106,EmAuto20,3)*VLOOKUP(ProjLoc,EmCost,3)*(1+CO2Uprater)^($B106-YearCurrent)+VLOOKUP(K106,EmAuto20,4)*VLOOKUP(ProjLoc,EmCost,4)+VLOOKUP(K106,EmAuto20,5)*VLOOKUP(ProjLoc,EmCost,5)+VLOOKUP(K106,EmAuto20,6)*VLOOKUP(ProjLoc,EmCost,6)+VLOOKUP(K106,EmAuto20,7)*VLOOKUP(ProjLoc,EmCost,7))+C106*M106*0.00000110231131*(VLOOKUP(K106,EmTruck20,2)*VLOOKUP(ProjLoc,EmCost,2)+VLOOKUP(K106,EmTruck20,3)*VLOOKUP(ProjLoc,EmCost,3)*(1+CO2Uprater)^($B106-YearCurrent)+VLOOKUP(K106,EmTruck20,4)*VLOOKUP(ProjLoc,EmCost,4)+VLOOKUP(K106,EmTruck20,5)*VLOOKUP(ProjLoc,EmCost,5)+VLOOKUP(K106,EmTruck20,6)*VLOOKUP(ProjLoc,EmCost,6)+VLOOKUP(K106,EmTruck20,7)*VLOOKUP(ProjLoc,EmCost,7)),0)</f>
        <v>18848.24312549298</v>
      </c>
      <c r="R106" s="802">
        <f>IF(INDEX(HwyTransitModelGroup,A82,1)=Hwy,D106*(1-N106)*0.00000110231131*(VLOOKUP(L106,EmAuto20,2)*VLOOKUP(ProjLoc,EmCost,2)+VLOOKUP(L106,EmAuto20,3)*VLOOKUP(ProjLoc,EmCost,3)*(1+CO2Uprater)^($B106-YearCurrent)+VLOOKUP(L106,EmAuto20,4)*VLOOKUP(ProjLoc,EmCost,4)+VLOOKUP(L106,EmAuto20,5)*VLOOKUP(ProjLoc,EmCost,5)+VLOOKUP(L106,EmAuto20,6)*VLOOKUP(ProjLoc,EmCost,6)+VLOOKUP(L106,EmAuto20,7)*VLOOKUP(ProjLoc,EmCost,7))+D106*N106*0.00000110231131*(VLOOKUP(L106,EmTruck20,2)*VLOOKUP(ProjLoc,EmCost,2)+VLOOKUP(L106,EmTruck20,3)*VLOOKUP(ProjLoc,EmCost,3)*(1+CO2Uprater)^($B106-YearCurrent)+VLOOKUP(L106,EmTruck20,4)*VLOOKUP(ProjLoc,EmCost,4)+VLOOKUP(L106,EmTruck20,5)*VLOOKUP(ProjLoc,EmCost,5)+VLOOKUP(L106,EmTruck20,6)*VLOOKUP(ProjLoc,EmCost,6)+VLOOKUP(L106,EmTruck20,7)*VLOOKUP(ProjLoc,EmCost,7)),0)</f>
        <v>18508.822756295031</v>
      </c>
      <c r="S106" s="729">
        <f>IF(INDEX(HwyTransitModelGroup,A82,1)=Hwy,O106*(1-M106)*0.00000110231131*(VLOOKUP(0,EmAuto20,2)*VLOOKUP(ProjLoc,EmCost,2)+VLOOKUP(0,EmAuto20,3)*VLOOKUP(ProjLoc,EmCost,3)*(1+CO2Uprater)^($B106-YearCurrent)+VLOOKUP(0,EmAuto20,4)*VLOOKUP(ProjLoc,EmCost,4)+VLOOKUP(0,EmAuto20,5)*VLOOKUP(ProjLoc,EmCost,5)+VLOOKUP(0,EmAuto20,6)*VLOOKUP(ProjLoc,EmCost,6)+VLOOKUP(0,EmAuto20,7)*VLOOKUP(ProjLoc,EmCost,7))+O106*M106*0.00000110231131*(VLOOKUP(0,EmTruck20,2)*VLOOKUP(ProjLoc,EmCost,2)+VLOOKUP(0,EmTruck20,3)*VLOOKUP(ProjLoc,EmCost,3)*(1+CO2Uprater)^($B106-YearCurrent)+VLOOKUP(0,EmTruck20,4)*VLOOKUP(ProjLoc,EmCost,4)+VLOOKUP(0,EmTruck20,5)*VLOOKUP(ProjLoc,EmCost,5)+VLOOKUP(0,EmTruck20,6)*VLOOKUP(ProjLoc,EmCost,6)+VLOOKUP(0,EmTruck20,7)*VLOOKUP(ProjLoc,EmCost,7)),0)</f>
        <v>0</v>
      </c>
      <c r="T106" s="802">
        <f>IF(INDEX(HwyTransitModelGroup,A82,1)=Hwy,P106*(1-N106)*0.00000110231131*(VLOOKUP(0,EmAuto20,2)*VLOOKUP(ProjLoc,EmCost,2)+VLOOKUP(0,EmAuto20,3)*VLOOKUP(ProjLoc,EmCost,3)*(1+CO2Uprater)^($B106-YearCurrent)+VLOOKUP(0,EmAuto20,4)*VLOOKUP(ProjLoc,EmCost,4)+VLOOKUP(0,EmAuto20,5)*VLOOKUP(ProjLoc,EmCost,5)+VLOOKUP(0,EmAuto20,6)*VLOOKUP(ProjLoc,EmCost,6)+VLOOKUP(0,EmAuto20,7)*VLOOKUP(ProjLoc,EmCost,7))+P106*N106*0.00000110231131*(VLOOKUP(0,EmTruck20,2)*VLOOKUP(ProjLoc,EmCost,2)+VLOOKUP(0,EmTruck20,3)*VLOOKUP(ProjLoc,EmCost,3)*(1+CO2Uprater)^($B106-YearCurrent)+VLOOKUP(0,EmTruck20,4)*VLOOKUP(ProjLoc,EmCost,4)+VLOOKUP(0,EmTruck20,5)*VLOOKUP(ProjLoc,EmCost,5)+VLOOKUP(0,EmTruck20,6)*VLOOKUP(ProjLoc,EmCost,6)+VLOOKUP(0,EmTruck20,7)*VLOOKUP(ProjLoc,EmCost,7)),0)</f>
        <v>0</v>
      </c>
      <c r="U106" s="729">
        <f>IF(INDEX(HwyTransitModelGroup,A82,1)=PARAMETERS!$J$9,C106*0.00000110231131*(VLOOKUP(K106,EmBus20,2)*VLOOKUP(ProjLoc,EmCost,2)+VLOOKUP(K106,EmBus20,3)*VLOOKUP(ProjLoc,EmCost,3)*(1+CO2Uprater)^($B106-YearCurrent)+VLOOKUP(K106,EmBus20,4)*VLOOKUP(ProjLoc,EmCost,4)+VLOOKUP(K106,EmBus20,5)*VLOOKUP(ProjLoc,EmCost,5)+VLOOKUP(K106,EmBus20,6)*VLOOKUP(ProjLoc,EmCost,6)+VLOOKUP(K106,EmBus20,7)*VLOOKUP(ProjLoc,EmCost,7)),0)</f>
        <v>0</v>
      </c>
      <c r="V106" s="802">
        <f>IF(INDEX(HwyTransitModelGroup,A82,1)=PARAMETERS!$J$9,D106*0.00000110231131*(VLOOKUP(L106,EmBus20,2)*VLOOKUP(ProjLoc,EmCost,2)+VLOOKUP(L106,EmBus20,3)*VLOOKUP(ProjLoc,EmCost,3)*(1+CO2Uprater)^($B106-YearCurrent)+VLOOKUP(L106,EmBus20,4)*VLOOKUP(ProjLoc,EmCost,4)+VLOOKUP(L106,EmBus20,5)*VLOOKUP(ProjLoc,EmCost,5)+VLOOKUP(L106,EmBus20,6)*VLOOKUP(ProjLoc,EmCost,6)+VLOOKUP(L106,EmBus20,7)*VLOOKUP(ProjLoc,EmCost,7)),0)</f>
        <v>0</v>
      </c>
      <c r="W106" s="808">
        <f>IF(INDEX(HwyTransitModelGroup,A82,1)=PARAMETERS!$J$10,C106*0.00000110231131*(PARAMETERS!$CQ$29*VLOOKUP(ProjLoc,EmCost,2)+PARAMETERS!$CR$29*VLOOKUP(ProjLoc,EmCost,3)*(1+CO2Uprater)^($B106-YearCurrent)+PARAMETERS!$CS$29*VLOOKUP(ProjLoc,EmCost,4)+PARAMETERS!$CT$29*VLOOKUP(ProjLoc,EmCost,5)+PARAMETERS!$CU$29*VLOOKUP(ProjLoc,EmCost,6)+PARAMETERS!$CV$29*VLOOKUP(ProjLoc,EmCost,7)),0)</f>
        <v>0</v>
      </c>
      <c r="X106" s="844">
        <f>IF(INDEX(HwyTransitModelGroup,A82,1)=PARAMETERS!$J$10,D106*0.00000110231131*(PARAMETERS!$CQ$29*VLOOKUP(ProjLoc,EmCost,2)+PARAMETERS!$CR$29*VLOOKUP(ProjLoc,EmCost,3)*(1+CO2Uprater)^($B106-YearCurrent)+PARAMETERS!$CS$29*VLOOKUP(ProjLoc,EmCost,4)+PARAMETERS!$CT$29*VLOOKUP(ProjLoc,EmCost,5)+PARAMETERS!$CU$29*VLOOKUP(ProjLoc,EmCost,6)+PARAMETERS!$CV$29*VLOOKUP(ProjLoc,EmCost,7)),0)</f>
        <v>0</v>
      </c>
      <c r="Y106" s="808">
        <f>IF(INDEX(HwyTransitModelGroup,A82,1)=PARAMETERS!$J$11,C106*0.00000110231131*(PARAMETERS!$CQ$37*VLOOKUP(ProjLoc,EmCost,2)+PARAMETERS!$CR$37*VLOOKUP(ProjLoc,EmCost,3)*(1+CO2Uprater)^($B106-YearCurrent)+PARAMETERS!$CS$37*VLOOKUP(ProjLoc,EmCost,4)+PARAMETERS!$CT$37*VLOOKUP(ProjLoc,EmCost,5)+PARAMETERS!$CU$37*VLOOKUP(ProjLoc,EmCost,6)+PARAMETERS!$CV$37*VLOOKUP(ProjLoc,EmCost,7)),0)</f>
        <v>0</v>
      </c>
      <c r="Z106" s="844">
        <f>IF(INDEX(HwyTransitModelGroup,A82,1)=PARAMETERS!$J$11,D106*0.00000110231131*(PARAMETERS!$CQ$37*VLOOKUP(ProjLoc,EmCost,2)+PARAMETERS!$CR$37*VLOOKUP(ProjLoc,EmCost,3)*(1+CO2Uprater)^($B106-YearCurrent)+PARAMETERS!$CS$37*VLOOKUP(ProjLoc,EmCost,4)+PARAMETERS!$CT$37*VLOOKUP(ProjLoc,EmCost,5)+PARAMETERS!$CU$37*VLOOKUP(ProjLoc,EmCost,6)+PARAMETERS!$CV$37*VLOOKUP(ProjLoc,EmCost,7)),0)</f>
        <v>0</v>
      </c>
      <c r="AA106" s="369">
        <f t="shared" si="33"/>
        <v>339.42036919794919</v>
      </c>
      <c r="AB106" s="370">
        <f t="shared" si="34"/>
        <v>161.10330680783781</v>
      </c>
      <c r="AC106" s="371"/>
      <c r="AD106" s="401">
        <f>IF(INDEX(HwyTransitModelGroup,A82,1)=Hwy,0.00000110231131*(C106*(1-M106)*VLOOKUP(K106,EmAuto20,2)-D106*(1-N106)*VLOOKUP(L106,EmAuto20,2)+(O106*(1-M106)-P106*(1-N106))*VLOOKUP(0,EmAuto20,2))+0.00000110231131*(C106*M106*VLOOKUP(K106,EmTruck20,2)-D106*N106*VLOOKUP(L106,EmTruck20,2)+(O106*M106-P106*N106)*VLOOKUP(0,EmTruck20,2)),0)</f>
        <v>5.3764085862046763E-2</v>
      </c>
      <c r="AE106" s="863">
        <f>IF(INDEX(HwyTransitModelGroup,A82,1)=Hwy,0.00000110231131*(C106*(1-M106)*VLOOKUP(K106,EmAuto20,3)-D106*(1-N106)*VLOOKUP(L106,EmAuto20,3)+(O106*(1-M106)-P106*(1-N106))*VLOOKUP(0,EmAuto20,3))+0.00000110231131*(C106*M106*VLOOKUP(K106,EmTruck20,3)-D106*N106*VLOOKUP(L106,EmTruck20,3)+(O106*M106-P106*N106)*VLOOKUP(0,EmTruck20,3)),0)</f>
        <v>0.97885384048711277</v>
      </c>
      <c r="AF106" s="861">
        <f>IF(INDEX(HwyTransitModelGroup,A82,1)=Hwy,0.00000110231131*(C106*(1-M106)*VLOOKUP(K106,EmAuto20,4)-D106*(1-N106)*VLOOKUP(L106,EmAuto20,4)+(O106*(1-M106)-P106*(1-N106))*VLOOKUP(0,EmAuto20,4))+0.00000110231131*(C106*M106*VLOOKUP(K106,EmTruck20,4)-D106*N106*VLOOKUP(L106,EmTruck20,4)+(O106*M106-P106*N106)*VLOOKUP(0,EmTruck20,4)),0)</f>
        <v>2.0028409918759489E-2</v>
      </c>
      <c r="AG106" s="863">
        <f>IF(INDEX(HwyTransitModelGroup,A82,1)=Hwy,0.00000110231131*(C106*(1-M106)*VLOOKUP(K106,EmAuto20,5)-D106*(1-N106)*VLOOKUP(L106,EmAuto20,5)+(O106*(1-M106)-P106*(1-N106))*VLOOKUP(0,EmAuto20,5))+0.00000110231131*(C106*M106*VLOOKUP(K106,EmTruck20,5)-D106*N106*VLOOKUP(L106,EmTruck20,5)+(O106*M106-P106*N106)*VLOOKUP(0,EmTruck20,5)),0)</f>
        <v>-2.9741401930299255E-4</v>
      </c>
      <c r="AH106" s="861">
        <f>IF(INDEX(HwyTransitModelGroup,A82,1)=Hwy,0.00000110231131*(C106*(1-M106)*VLOOKUP(K106,EmAuto20,6)-D106*(1-N106)*VLOOKUP(L106,EmAuto20,6)+(O106*(1-M106)-P106*(1-N106))*VLOOKUP(0,EmAuto20,6))+0.00000110231131*(C106*M106*VLOOKUP(K106,EmTruck20,6)-D106*N106*VLOOKUP(L106,EmTruck20,6)+(O106*M106-P106*N106)*VLOOKUP(0,EmTruck20,6)),0)</f>
        <v>-3.9788163731381588E-5</v>
      </c>
      <c r="AI106" s="863">
        <f>IF(INDEX(HwyTransitModelGroup,A82,1)=Hwy,0.00000110231131*(C106*(1-M106)*VLOOKUP(K106,EmAuto20,7)-D106*(1-N106)*VLOOKUP(L106,EmAuto20,7)+(O106*(1-M106)-P106*(1-N106))*VLOOKUP(0,EmAuto20,7))+0.00000110231131*(C106*M106*VLOOKUP(K106,EmTruck20,7)-D106*N106*VLOOKUP(L106,EmTruck20,7)+(O106*M106-P106*N106)*VLOOKUP(0,EmTruck20,7)),0)</f>
        <v>1.1691172396821694E-3</v>
      </c>
      <c r="AJ106" s="861">
        <f>IF(INDEX(HwyTransitModelGroup,A82,1)=Hwy,0.00000110231131*(C106*(1-M106)*VLOOKUP(K106,EmAuto20,8)-D106*(1-N106)*VLOOKUP(L106,EmAuto20,8)+(O106*(1-M106)-P106*(1-N106))*VLOOKUP(0,EmAuto20,8))+0.00000110231131*(C106*M106*VLOOKUP(K106,EmTruck20,8)-D106*N106*VLOOKUP(L106,EmTruck20,8)+(O106*M106-P106*N106)*VLOOKUP(0,EmTruck20,8)),0)</f>
        <v>-3.3940340502398294E-4</v>
      </c>
      <c r="AK106" s="401">
        <f>IF(INDEX(HwyTransitModelGroup,A82,1)=PARAMETERS!$J$9,0.00000110231131*(C106*VLOOKUP(K106,EmBus20,2)-D106*VLOOKUP(L106,EmBus20,2)+(O106-P106)*VLOOKUP(0,EmBus20,2)),0)</f>
        <v>0</v>
      </c>
      <c r="AL106" s="863">
        <f>IF(INDEX(HwyTransitModelGroup,A82,1)=PARAMETERS!$J$9,0.00000110231131*(C106*VLOOKUP(K106,EmBus20,3)-D106*VLOOKUP(L106,EmBus20,3)+(O106-P106)*VLOOKUP(0,EmBus20,3)),0)</f>
        <v>0</v>
      </c>
      <c r="AM106" s="861">
        <f>IF(INDEX(HwyTransitModelGroup,A82,1)=PARAMETERS!$J$9,0.00000110231131*(C106*VLOOKUP(K106,EmBus20,4)-D106*VLOOKUP(L106,EmBus20,4)+(O106-P106)*VLOOKUP(0,EmBus20,4)),0)</f>
        <v>0</v>
      </c>
      <c r="AN106" s="863">
        <f>IF(INDEX(HwyTransitModelGroup,A82,1)=PARAMETERS!$J$9,0.00000110231131*(C106*VLOOKUP(K106,EmBus20,5)-D106*VLOOKUP(L106,EmBus20,5)+(O106-P106)*VLOOKUP(0,EmBus20,5)),0)</f>
        <v>0</v>
      </c>
      <c r="AO106" s="861">
        <f>IF(INDEX(HwyTransitModelGroup,A82,1)=PARAMETERS!$J$9,0.00000110231131*(C106*VLOOKUP(K106,EmBus20,6)-D106*VLOOKUP(L106,EmBus20,6)+(O106-P106)*VLOOKUP(0,EmBus20,6)),0)</f>
        <v>0</v>
      </c>
      <c r="AP106" s="863">
        <f>IF(INDEX(HwyTransitModelGroup,A82,1)=PARAMETERS!$J$9,0.00000110231131*(C106*VLOOKUP(K106,EmBus20,7)-D106*VLOOKUP(L106,EmBus20,7)+(O106-P106)*VLOOKUP(0,EmBus20,7)),0)</f>
        <v>0</v>
      </c>
      <c r="AQ106" s="861">
        <f>IF(INDEX(HwyTransitModelGroup,A82,1)=PARAMETERS!$J$9,0.00000110231131*(C106*VLOOKUP(K106,EmBus20,8)-D106*VLOOKUP(L106,EmBus20,8)+(O106-P106)*VLOOKUP(0,EmBus20,8)),0)</f>
        <v>0</v>
      </c>
      <c r="AR106" s="401">
        <f>IF(INDEX(HwyTransitModelGroup,A82,1)=PARAMETERS!$J$10,0.00000110231131*((C106-D106)*PARAMETERS!$CQ$29),0)</f>
        <v>0</v>
      </c>
      <c r="AS106" s="863">
        <f>IF(INDEX(HwyTransitModelGroup,A82,1)=PARAMETERS!$J$10,0.00000110231131*((C106-D106)*PARAMETERS!$CR$29),0)</f>
        <v>0</v>
      </c>
      <c r="AT106" s="861">
        <f>IF(INDEX(HwyTransitModelGroup,A82,1)=PARAMETERS!$J$10,0.00000110231131*((C106-D106)*PARAMETERS!$CS$29),0)</f>
        <v>0</v>
      </c>
      <c r="AU106" s="863">
        <f>IF(INDEX(HwyTransitModelGroup,A82,1)=PARAMETERS!$J$10,0.00000110231131*((C106-D106)*PARAMETERS!$CT$29),0)</f>
        <v>0</v>
      </c>
      <c r="AV106" s="861">
        <f>IF(INDEX(HwyTransitModelGroup,A82,1)=PARAMETERS!$J$10,0.00000110231131*((C106-D106)*PARAMETERS!$CU$29),0)</f>
        <v>0</v>
      </c>
      <c r="AW106" s="863">
        <f>IF(INDEX(HwyTransitModelGroup,A82,1)=PARAMETERS!$J$10,0.00000110231131*((C106-D106)*PARAMETERS!$CV$29),0)</f>
        <v>0</v>
      </c>
      <c r="AX106" s="861">
        <f>IF(INDEX(HwyTransitModelGroup,A82,1)=PARAMETERS!$J$10,0.00000110231131*((C106-D106)*PARAMETERS!$CW$29),0)</f>
        <v>0</v>
      </c>
      <c r="AY106" s="401">
        <f>IF(INDEX(HwyTransitModelGroup,A82,1)=PARAMETERS!$J$11,0.00000110231131*((C106-D106)*PARAMETERS!$CQ$37),0)</f>
        <v>0</v>
      </c>
      <c r="AZ106" s="863">
        <f>IF(INDEX(HwyTransitModelGroup,A82,1)=PARAMETERS!$J$11,0.00000110231131*((C106-D106)*PARAMETERS!$CR$37),0)</f>
        <v>0</v>
      </c>
      <c r="BA106" s="861">
        <f>IF(INDEX(HwyTransitModelGroup,A82,1)=PARAMETERS!$J$11,0.00000110231131*((C106-D106)*PARAMETERS!$CS$37),0)</f>
        <v>0</v>
      </c>
      <c r="BB106" s="863">
        <f>IF(INDEX(HwyTransitModelGroup,A82,1)=PARAMETERS!$J$11,0.00000110231131*((C106-D106)*PARAMETERS!$CT$37),0)</f>
        <v>0</v>
      </c>
      <c r="BC106" s="861">
        <f>IF(INDEX(HwyTransitModelGroup,A82,1)=PARAMETERS!$J$11,0.00000110231131*((C106-D106)*PARAMETERS!$CU$37),0)</f>
        <v>0</v>
      </c>
      <c r="BD106" s="863">
        <f>IF(INDEX(HwyTransitModelGroup,A82,1)=PARAMETERS!$J$11,0.00000110231131*((C106-D106)*PARAMETERS!$CV$37),0)</f>
        <v>0</v>
      </c>
      <c r="BE106" s="865">
        <f>IF(INDEX(HwyTransitModelGroup,A82,1)=PARAMETERS!$J$11,0.00000110231131*((C106-D106)*PARAMETERS!$CW$37),0)</f>
        <v>0</v>
      </c>
      <c r="BF106" s="729">
        <f t="shared" si="35"/>
        <v>2.0414972832287139</v>
      </c>
      <c r="BG106" s="867">
        <f t="shared" si="36"/>
        <v>32.488443364816938</v>
      </c>
      <c r="BH106" s="867">
        <f t="shared" si="37"/>
        <v>143.54562880877828</v>
      </c>
      <c r="BI106" s="867">
        <f t="shared" si="38"/>
        <v>-16.473991801662525</v>
      </c>
      <c r="BJ106" s="867">
        <f t="shared" si="39"/>
        <v>-1.1142238784341731</v>
      </c>
      <c r="BK106" s="869">
        <f t="shared" si="40"/>
        <v>0.61595303111109101</v>
      </c>
      <c r="BL106" s="392"/>
      <c r="BN106" s="375">
        <f t="shared" si="44"/>
        <v>2040</v>
      </c>
      <c r="BO106" s="871">
        <f t="shared" ca="1" si="41"/>
        <v>-21.778227549284054</v>
      </c>
      <c r="BP106" s="871">
        <f t="shared" ca="1" si="45"/>
        <v>-19.507655364435923</v>
      </c>
      <c r="BQ106" s="871">
        <f t="shared" ca="1" si="45"/>
        <v>0.96712903256535321</v>
      </c>
      <c r="BR106" s="871">
        <f t="shared" ca="1" si="45"/>
        <v>-54.319842098968536</v>
      </c>
      <c r="BS106" s="871">
        <f t="shared" ca="1" si="45"/>
        <v>1109.3177815976774</v>
      </c>
      <c r="BT106" s="871">
        <f t="shared" ca="1" si="45"/>
        <v>1321.3288502933801</v>
      </c>
    </row>
    <row r="107" spans="2:72" x14ac:dyDescent="0.25">
      <c r="B107" s="375">
        <f t="shared" si="43"/>
        <v>2042</v>
      </c>
      <c r="C107" s="401">
        <f>MAX(TREND(C88:C89,B88:B89,B107),0)</f>
        <v>727153</v>
      </c>
      <c r="D107" s="402">
        <f>MAX(TREND(D88:D89,B88:B89,B107),0)</f>
        <v>715400</v>
      </c>
      <c r="E107" s="401">
        <f>MAX(TREND(E88:E89,B88:B89,B107),0)</f>
        <v>19929</v>
      </c>
      <c r="F107" s="402">
        <f>MAX(TREND(F88:F89,B88:B89,B107),0)</f>
        <v>15184</v>
      </c>
      <c r="G107" s="401">
        <f>MAX(TREND(G88:G89,B88:B89,B107),0)</f>
        <v>0</v>
      </c>
      <c r="H107" s="402">
        <f>MAX(TREND(H88:H89,B88:B89,B107),0)</f>
        <v>0</v>
      </c>
      <c r="I107" s="401">
        <f>MAX(TREND(I88:I89,B88:B89,B107),0)</f>
        <v>0</v>
      </c>
      <c r="J107" s="402">
        <f>MAX(TREND(J88:J89,B88:B89,B107),0)</f>
        <v>0</v>
      </c>
      <c r="K107" s="435">
        <f>IFERROR(IF(INDEX(HwyTransitModelGroup,A82,1)=Hwy,MAX(5,ROUND(C107/E107,1)),MAX(5,ROUND(G107/I107,1))),55)</f>
        <v>36.5</v>
      </c>
      <c r="L107" s="436">
        <f>IFERROR(IF(INDEX(HwyTransitModelGroup,A82,1)=Hwy,MAX(5,ROUND(D107/F107,1)),MAX(5,ROUND(H107/J107,1))),55)</f>
        <v>47.1</v>
      </c>
      <c r="M107" s="405">
        <f>MIN(MAX(TREND(M88:M89,B88:B89,B107),0),1)</f>
        <v>0.24</v>
      </c>
      <c r="N107" s="406">
        <f>MIN(MAX(TREND(N88:N89,B88:B89,B107),0),1)</f>
        <v>0.24</v>
      </c>
      <c r="O107" s="401">
        <f>MAX(TREND(O88:O89,B88:B89,B107),0)</f>
        <v>0</v>
      </c>
      <c r="P107" s="402">
        <f>MAX(TREND(P88:P89,B88:B89,B107),0)</f>
        <v>0</v>
      </c>
      <c r="Q107" s="729">
        <f>IF(INDEX(HwyTransitModelGroup,A82,1)=Hwy,C107*(1-M107)*0.00000110231131*(VLOOKUP(K107,EmAuto20,2)*VLOOKUP(ProjLoc,EmCost,2)+VLOOKUP(K107,EmAuto20,3)*VLOOKUP(ProjLoc,EmCost,3)*(1+CO2Uprater)^($B107-YearCurrent)+VLOOKUP(K107,EmAuto20,4)*VLOOKUP(ProjLoc,EmCost,4)+VLOOKUP(K107,EmAuto20,5)*VLOOKUP(ProjLoc,EmCost,5)+VLOOKUP(K107,EmAuto20,6)*VLOOKUP(ProjLoc,EmCost,6)+VLOOKUP(K107,EmAuto20,7)*VLOOKUP(ProjLoc,EmCost,7))+C107*M107*0.00000110231131*(VLOOKUP(K107,EmTruck20,2)*VLOOKUP(ProjLoc,EmCost,2)+VLOOKUP(K107,EmTruck20,3)*VLOOKUP(ProjLoc,EmCost,3)*(1+CO2Uprater)^($B107-YearCurrent)+VLOOKUP(K107,EmTruck20,4)*VLOOKUP(ProjLoc,EmCost,4)+VLOOKUP(K107,EmTruck20,5)*VLOOKUP(ProjLoc,EmCost,5)+VLOOKUP(K107,EmTruck20,6)*VLOOKUP(ProjLoc,EmCost,6)+VLOOKUP(K107,EmTruck20,7)*VLOOKUP(ProjLoc,EmCost,7)),0)</f>
        <v>19478.780846983878</v>
      </c>
      <c r="R107" s="802">
        <f>IF(INDEX(HwyTransitModelGroup,A82,1)=Hwy,D107*(1-N107)*0.00000110231131*(VLOOKUP(L107,EmAuto20,2)*VLOOKUP(ProjLoc,EmCost,2)+VLOOKUP(L107,EmAuto20,3)*VLOOKUP(ProjLoc,EmCost,3)*(1+CO2Uprater)^($B107-YearCurrent)+VLOOKUP(L107,EmAuto20,4)*VLOOKUP(ProjLoc,EmCost,4)+VLOOKUP(L107,EmAuto20,5)*VLOOKUP(ProjLoc,EmCost,5)+VLOOKUP(L107,EmAuto20,6)*VLOOKUP(ProjLoc,EmCost,6)+VLOOKUP(L107,EmAuto20,7)*VLOOKUP(ProjLoc,EmCost,7))+D107*N107*0.00000110231131*(VLOOKUP(L107,EmTruck20,2)*VLOOKUP(ProjLoc,EmCost,2)+VLOOKUP(L107,EmTruck20,3)*VLOOKUP(ProjLoc,EmCost,3)*(1+CO2Uprater)^($B107-YearCurrent)+VLOOKUP(L107,EmTruck20,4)*VLOOKUP(ProjLoc,EmCost,4)+VLOOKUP(L107,EmTruck20,5)*VLOOKUP(ProjLoc,EmCost,5)+VLOOKUP(L107,EmTruck20,6)*VLOOKUP(ProjLoc,EmCost,6)+VLOOKUP(L107,EmTruck20,7)*VLOOKUP(ProjLoc,EmCost,7)),0)</f>
        <v>19133.139770783324</v>
      </c>
      <c r="S107" s="729">
        <f>IF(INDEX(HwyTransitModelGroup,A82,1)=Hwy,O107*(1-M107)*0.00000110231131*(VLOOKUP(0,EmAuto20,2)*VLOOKUP(ProjLoc,EmCost,2)+VLOOKUP(0,EmAuto20,3)*VLOOKUP(ProjLoc,EmCost,3)*(1+CO2Uprater)^($B107-YearCurrent)+VLOOKUP(0,EmAuto20,4)*VLOOKUP(ProjLoc,EmCost,4)+VLOOKUP(0,EmAuto20,5)*VLOOKUP(ProjLoc,EmCost,5)+VLOOKUP(0,EmAuto20,6)*VLOOKUP(ProjLoc,EmCost,6)+VLOOKUP(0,EmAuto20,7)*VLOOKUP(ProjLoc,EmCost,7))+O107*M107*0.00000110231131*(VLOOKUP(0,EmTruck20,2)*VLOOKUP(ProjLoc,EmCost,2)+VLOOKUP(0,EmTruck20,3)*VLOOKUP(ProjLoc,EmCost,3)*(1+CO2Uprater)^($B107-YearCurrent)+VLOOKUP(0,EmTruck20,4)*VLOOKUP(ProjLoc,EmCost,4)+VLOOKUP(0,EmTruck20,5)*VLOOKUP(ProjLoc,EmCost,5)+VLOOKUP(0,EmTruck20,6)*VLOOKUP(ProjLoc,EmCost,6)+VLOOKUP(0,EmTruck20,7)*VLOOKUP(ProjLoc,EmCost,7)),0)</f>
        <v>0</v>
      </c>
      <c r="T107" s="802">
        <f>IF(INDEX(HwyTransitModelGroup,A82,1)=Hwy,P107*(1-N107)*0.00000110231131*(VLOOKUP(0,EmAuto20,2)*VLOOKUP(ProjLoc,EmCost,2)+VLOOKUP(0,EmAuto20,3)*VLOOKUP(ProjLoc,EmCost,3)*(1+CO2Uprater)^($B107-YearCurrent)+VLOOKUP(0,EmAuto20,4)*VLOOKUP(ProjLoc,EmCost,4)+VLOOKUP(0,EmAuto20,5)*VLOOKUP(ProjLoc,EmCost,5)+VLOOKUP(0,EmAuto20,6)*VLOOKUP(ProjLoc,EmCost,6)+VLOOKUP(0,EmAuto20,7)*VLOOKUP(ProjLoc,EmCost,7))+P107*N107*0.00000110231131*(VLOOKUP(0,EmTruck20,2)*VLOOKUP(ProjLoc,EmCost,2)+VLOOKUP(0,EmTruck20,3)*VLOOKUP(ProjLoc,EmCost,3)*(1+CO2Uprater)^($B107-YearCurrent)+VLOOKUP(0,EmTruck20,4)*VLOOKUP(ProjLoc,EmCost,4)+VLOOKUP(0,EmTruck20,5)*VLOOKUP(ProjLoc,EmCost,5)+VLOOKUP(0,EmTruck20,6)*VLOOKUP(ProjLoc,EmCost,6)+VLOOKUP(0,EmTruck20,7)*VLOOKUP(ProjLoc,EmCost,7)),0)</f>
        <v>0</v>
      </c>
      <c r="U107" s="729">
        <f>IF(INDEX(HwyTransitModelGroup,A82,1)=PARAMETERS!$J$9,C107*0.00000110231131*(VLOOKUP(K107,EmBus20,2)*VLOOKUP(ProjLoc,EmCost,2)+VLOOKUP(K107,EmBus20,3)*VLOOKUP(ProjLoc,EmCost,3)*(1+CO2Uprater)^($B107-YearCurrent)+VLOOKUP(K107,EmBus20,4)*VLOOKUP(ProjLoc,EmCost,4)+VLOOKUP(K107,EmBus20,5)*VLOOKUP(ProjLoc,EmCost,5)+VLOOKUP(K107,EmBus20,6)*VLOOKUP(ProjLoc,EmCost,6)+VLOOKUP(K107,EmBus20,7)*VLOOKUP(ProjLoc,EmCost,7)),0)</f>
        <v>0</v>
      </c>
      <c r="V107" s="802">
        <f>IF(INDEX(HwyTransitModelGroup,A82,1)=PARAMETERS!$J$9,D107*0.00000110231131*(VLOOKUP(L107,EmBus20,2)*VLOOKUP(ProjLoc,EmCost,2)+VLOOKUP(L107,EmBus20,3)*VLOOKUP(ProjLoc,EmCost,3)*(1+CO2Uprater)^($B107-YearCurrent)+VLOOKUP(L107,EmBus20,4)*VLOOKUP(ProjLoc,EmCost,4)+VLOOKUP(L107,EmBus20,5)*VLOOKUP(ProjLoc,EmCost,5)+VLOOKUP(L107,EmBus20,6)*VLOOKUP(ProjLoc,EmCost,6)+VLOOKUP(L107,EmBus20,7)*VLOOKUP(ProjLoc,EmCost,7)),0)</f>
        <v>0</v>
      </c>
      <c r="W107" s="808">
        <f>IF(INDEX(HwyTransitModelGroup,A82,1)=PARAMETERS!$J$10,C107*0.00000110231131*(PARAMETERS!$CQ$29*VLOOKUP(ProjLoc,EmCost,2)+PARAMETERS!$CR$29*VLOOKUP(ProjLoc,EmCost,3)*(1+CO2Uprater)^($B107-YearCurrent)+PARAMETERS!$CS$29*VLOOKUP(ProjLoc,EmCost,4)+PARAMETERS!$CT$29*VLOOKUP(ProjLoc,EmCost,5)+PARAMETERS!$CU$29*VLOOKUP(ProjLoc,EmCost,6)+PARAMETERS!$CV$29*VLOOKUP(ProjLoc,EmCost,7)),0)</f>
        <v>0</v>
      </c>
      <c r="X107" s="844">
        <f>IF(INDEX(HwyTransitModelGroup,A82,1)=PARAMETERS!$J$10,D107*0.00000110231131*(PARAMETERS!$CQ$29*VLOOKUP(ProjLoc,EmCost,2)+PARAMETERS!$CR$29*VLOOKUP(ProjLoc,EmCost,3)*(1+CO2Uprater)^($B107-YearCurrent)+PARAMETERS!$CS$29*VLOOKUP(ProjLoc,EmCost,4)+PARAMETERS!$CT$29*VLOOKUP(ProjLoc,EmCost,5)+PARAMETERS!$CU$29*VLOOKUP(ProjLoc,EmCost,6)+PARAMETERS!$CV$29*VLOOKUP(ProjLoc,EmCost,7)),0)</f>
        <v>0</v>
      </c>
      <c r="Y107" s="808">
        <f>IF(INDEX(HwyTransitModelGroup,A82,1)=PARAMETERS!$J$11,C107*0.00000110231131*(PARAMETERS!$CQ$37*VLOOKUP(ProjLoc,EmCost,2)+PARAMETERS!$CR$37*VLOOKUP(ProjLoc,EmCost,3)*(1+CO2Uprater)^($B107-YearCurrent)+PARAMETERS!$CS$37*VLOOKUP(ProjLoc,EmCost,4)+PARAMETERS!$CT$37*VLOOKUP(ProjLoc,EmCost,5)+PARAMETERS!$CU$37*VLOOKUP(ProjLoc,EmCost,6)+PARAMETERS!$CV$37*VLOOKUP(ProjLoc,EmCost,7)),0)</f>
        <v>0</v>
      </c>
      <c r="Z107" s="844">
        <f>IF(INDEX(HwyTransitModelGroup,A82,1)=PARAMETERS!$J$11,D107*0.00000110231131*(PARAMETERS!$CQ$37*VLOOKUP(ProjLoc,EmCost,2)+PARAMETERS!$CR$37*VLOOKUP(ProjLoc,EmCost,3)*(1+CO2Uprater)^($B107-YearCurrent)+PARAMETERS!$CS$37*VLOOKUP(ProjLoc,EmCost,4)+PARAMETERS!$CT$37*VLOOKUP(ProjLoc,EmCost,5)+PARAMETERS!$CU$37*VLOOKUP(ProjLoc,EmCost,6)+PARAMETERS!$CV$37*VLOOKUP(ProjLoc,EmCost,7)),0)</f>
        <v>0</v>
      </c>
      <c r="AA107" s="369">
        <f t="shared" si="33"/>
        <v>345.64107620055438</v>
      </c>
      <c r="AB107" s="370">
        <f t="shared" si="34"/>
        <v>157.7460752488991</v>
      </c>
      <c r="AC107" s="371"/>
      <c r="AD107" s="401">
        <f>IF(INDEX(HwyTransitModelGroup,A82,1)=Hwy,0.00000110231131*(C107*(1-M107)*VLOOKUP(K107,EmAuto20,2)-D107*(1-N107)*VLOOKUP(L107,EmAuto20,2)+(O107*(1-M107)-P107*(1-N107))*VLOOKUP(0,EmAuto20,2))+0.00000110231131*(C107*M107*VLOOKUP(K107,EmTruck20,2)-D107*N107*VLOOKUP(L107,EmTruck20,2)+(O107*M107-P107*N107)*VLOOKUP(0,EmTruck20,2)),0)</f>
        <v>5.4560119592061293E-2</v>
      </c>
      <c r="AE107" s="863">
        <f>IF(INDEX(HwyTransitModelGroup,A82,1)=Hwy,0.00000110231131*(C107*(1-M107)*VLOOKUP(K107,EmAuto20,3)-D107*(1-N107)*VLOOKUP(L107,EmAuto20,3)+(O107*(1-M107)-P107*(1-N107))*VLOOKUP(0,EmAuto20,3))+0.00000110231131*(C107*M107*VLOOKUP(K107,EmTruck20,3)-D107*N107*VLOOKUP(L107,EmTruck20,3)+(O107*M107-P107*N107)*VLOOKUP(0,EmTruck20,3)),0)</f>
        <v>0.99057864840893828</v>
      </c>
      <c r="AF107" s="861">
        <f>IF(INDEX(HwyTransitModelGroup,A82,1)=Hwy,0.00000110231131*(C107*(1-M107)*VLOOKUP(K107,EmAuto20,4)-D107*(1-N107)*VLOOKUP(L107,EmAuto20,4)+(O107*(1-M107)-P107*(1-N107))*VLOOKUP(0,EmAuto20,4))+0.00000110231131*(C107*M107*VLOOKUP(K107,EmTruck20,4)-D107*N107*VLOOKUP(L107,EmTruck20,4)+(O107*M107-P107*N107)*VLOOKUP(0,EmTruck20,4)),0)</f>
        <v>2.0325571910013811E-2</v>
      </c>
      <c r="AG107" s="863">
        <f>IF(INDEX(HwyTransitModelGroup,A82,1)=Hwy,0.00000110231131*(C107*(1-M107)*VLOOKUP(K107,EmAuto20,5)-D107*(1-N107)*VLOOKUP(L107,EmAuto20,5)+(O107*(1-M107)-P107*(1-N107))*VLOOKUP(0,EmAuto20,5))+0.00000110231131*(C107*M107*VLOOKUP(K107,EmTruck20,5)-D107*N107*VLOOKUP(L107,EmTruck20,5)+(O107*M107-P107*N107)*VLOOKUP(0,EmTruck20,5)),0)</f>
        <v>-3.0185331795854831E-4</v>
      </c>
      <c r="AH107" s="861">
        <f>IF(INDEX(HwyTransitModelGroup,A82,1)=Hwy,0.00000110231131*(C107*(1-M107)*VLOOKUP(K107,EmAuto20,6)-D107*(1-N107)*VLOOKUP(L107,EmAuto20,6)+(O107*(1-M107)-P107*(1-N107))*VLOOKUP(0,EmAuto20,6))+0.00000110231131*(C107*M107*VLOOKUP(K107,EmTruck20,6)-D107*N107*VLOOKUP(L107,EmTruck20,6)+(O107*M107-P107*N107)*VLOOKUP(0,EmTruck20,6)),0)</f>
        <v>-4.0407531512555412E-5</v>
      </c>
      <c r="AI107" s="863">
        <f>IF(INDEX(HwyTransitModelGroup,A82,1)=Hwy,0.00000110231131*(C107*(1-M107)*VLOOKUP(K107,EmAuto20,7)-D107*(1-N107)*VLOOKUP(L107,EmAuto20,7)+(O107*(1-M107)-P107*(1-N107))*VLOOKUP(0,EmAuto20,7))+0.00000110231131*(C107*M107*VLOOKUP(K107,EmTruck20,7)-D107*N107*VLOOKUP(L107,EmTruck20,7)+(O107*M107-P107*N107)*VLOOKUP(0,EmTruck20,7)),0)</f>
        <v>1.186454709431507E-3</v>
      </c>
      <c r="AJ107" s="861">
        <f>IF(INDEX(HwyTransitModelGroup,A82,1)=Hwy,0.00000110231131*(C107*(1-M107)*VLOOKUP(K107,EmAuto20,8)-D107*(1-N107)*VLOOKUP(L107,EmAuto20,8)+(O107*(1-M107)-P107*(1-N107))*VLOOKUP(0,EmAuto20,8))+0.00000110231131*(C107*M107*VLOOKUP(K107,EmTruck20,8)-D107*N107*VLOOKUP(L107,EmTruck20,8)+(O107*M107-P107*N107)*VLOOKUP(0,EmTruck20,8)),0)</f>
        <v>-3.4446665817807376E-4</v>
      </c>
      <c r="AK107" s="401">
        <f>IF(INDEX(HwyTransitModelGroup,A82,1)=PARAMETERS!$J$9,0.00000110231131*(C107*VLOOKUP(K107,EmBus20,2)-D107*VLOOKUP(L107,EmBus20,2)+(O107-P107)*VLOOKUP(0,EmBus20,2)),0)</f>
        <v>0</v>
      </c>
      <c r="AL107" s="863">
        <f>IF(INDEX(HwyTransitModelGroup,A82,1)=PARAMETERS!$J$9,0.00000110231131*(C107*VLOOKUP(K107,EmBus20,3)-D107*VLOOKUP(L107,EmBus20,3)+(O107-P107)*VLOOKUP(0,EmBus20,3)),0)</f>
        <v>0</v>
      </c>
      <c r="AM107" s="861">
        <f>IF(INDEX(HwyTransitModelGroup,A82,1)=PARAMETERS!$J$9,0.00000110231131*(C107*VLOOKUP(K107,EmBus20,4)-D107*VLOOKUP(L107,EmBus20,4)+(O107-P107)*VLOOKUP(0,EmBus20,4)),0)</f>
        <v>0</v>
      </c>
      <c r="AN107" s="863">
        <f>IF(INDEX(HwyTransitModelGroup,A82,1)=PARAMETERS!$J$9,0.00000110231131*(C107*VLOOKUP(K107,EmBus20,5)-D107*VLOOKUP(L107,EmBus20,5)+(O107-P107)*VLOOKUP(0,EmBus20,5)),0)</f>
        <v>0</v>
      </c>
      <c r="AO107" s="861">
        <f>IF(INDEX(HwyTransitModelGroup,A82,1)=PARAMETERS!$J$9,0.00000110231131*(C107*VLOOKUP(K107,EmBus20,6)-D107*VLOOKUP(L107,EmBus20,6)+(O107-P107)*VLOOKUP(0,EmBus20,6)),0)</f>
        <v>0</v>
      </c>
      <c r="AP107" s="863">
        <f>IF(INDEX(HwyTransitModelGroup,A82,1)=PARAMETERS!$J$9,0.00000110231131*(C107*VLOOKUP(K107,EmBus20,7)-D107*VLOOKUP(L107,EmBus20,7)+(O107-P107)*VLOOKUP(0,EmBus20,7)),0)</f>
        <v>0</v>
      </c>
      <c r="AQ107" s="861">
        <f>IF(INDEX(HwyTransitModelGroup,A82,1)=PARAMETERS!$J$9,0.00000110231131*(C107*VLOOKUP(K107,EmBus20,8)-D107*VLOOKUP(L107,EmBus20,8)+(O107-P107)*VLOOKUP(0,EmBus20,8)),0)</f>
        <v>0</v>
      </c>
      <c r="AR107" s="401">
        <f>IF(INDEX(HwyTransitModelGroup,A82,1)=PARAMETERS!$J$10,0.00000110231131*((C107-D107)*PARAMETERS!$CQ$29),0)</f>
        <v>0</v>
      </c>
      <c r="AS107" s="863">
        <f>IF(INDEX(HwyTransitModelGroup,A82,1)=PARAMETERS!$J$10,0.00000110231131*((C107-D107)*PARAMETERS!$CR$29),0)</f>
        <v>0</v>
      </c>
      <c r="AT107" s="861">
        <f>IF(INDEX(HwyTransitModelGroup,A82,1)=PARAMETERS!$J$10,0.00000110231131*((C107-D107)*PARAMETERS!$CS$29),0)</f>
        <v>0</v>
      </c>
      <c r="AU107" s="863">
        <f>IF(INDEX(HwyTransitModelGroup,A82,1)=PARAMETERS!$J$10,0.00000110231131*((C107-D107)*PARAMETERS!$CT$29),0)</f>
        <v>0</v>
      </c>
      <c r="AV107" s="861">
        <f>IF(INDEX(HwyTransitModelGroup,A82,1)=PARAMETERS!$J$10,0.00000110231131*((C107-D107)*PARAMETERS!$CU$29),0)</f>
        <v>0</v>
      </c>
      <c r="AW107" s="863">
        <f>IF(INDEX(HwyTransitModelGroup,A82,1)=PARAMETERS!$J$10,0.00000110231131*((C107-D107)*PARAMETERS!$CV$29),0)</f>
        <v>0</v>
      </c>
      <c r="AX107" s="861">
        <f>IF(INDEX(HwyTransitModelGroup,A82,1)=PARAMETERS!$J$10,0.00000110231131*((C107-D107)*PARAMETERS!$CW$29),0)</f>
        <v>0</v>
      </c>
      <c r="AY107" s="401">
        <f>IF(INDEX(HwyTransitModelGroup,A82,1)=PARAMETERS!$J$11,0.00000110231131*((C107-D107)*PARAMETERS!$CQ$37),0)</f>
        <v>0</v>
      </c>
      <c r="AZ107" s="863">
        <f>IF(INDEX(HwyTransitModelGroup,A82,1)=PARAMETERS!$J$11,0.00000110231131*((C107-D107)*PARAMETERS!$CR$37),0)</f>
        <v>0</v>
      </c>
      <c r="BA107" s="861">
        <f>IF(INDEX(HwyTransitModelGroup,A82,1)=PARAMETERS!$J$11,0.00000110231131*((C107-D107)*PARAMETERS!$CS$37),0)</f>
        <v>0</v>
      </c>
      <c r="BB107" s="863">
        <f>IF(INDEX(HwyTransitModelGroup,A82,1)=PARAMETERS!$J$11,0.00000110231131*((C107-D107)*PARAMETERS!$CT$37),0)</f>
        <v>0</v>
      </c>
      <c r="BC107" s="861">
        <f>IF(INDEX(HwyTransitModelGroup,A82,1)=PARAMETERS!$J$11,0.00000110231131*((C107-D107)*PARAMETERS!$CU$37),0)</f>
        <v>0</v>
      </c>
      <c r="BD107" s="863">
        <f>IF(INDEX(HwyTransitModelGroup,A82,1)=PARAMETERS!$J$11,0.00000110231131*((C107-D107)*PARAMETERS!$CV$37),0)</f>
        <v>0</v>
      </c>
      <c r="BE107" s="865">
        <f>IF(INDEX(HwyTransitModelGroup,A82,1)=PARAMETERS!$J$11,0.00000110231131*((C107-D107)*PARAMETERS!$CW$37),0)</f>
        <v>0</v>
      </c>
      <c r="BF107" s="729">
        <f t="shared" si="35"/>
        <v>1.9920421091998513</v>
      </c>
      <c r="BG107" s="867">
        <f t="shared" si="36"/>
        <v>32.245331739642559</v>
      </c>
      <c r="BH107" s="867">
        <f t="shared" si="37"/>
        <v>140.0725179764701</v>
      </c>
      <c r="BI107" s="867">
        <f t="shared" si="38"/>
        <v>-16.076815361912903</v>
      </c>
      <c r="BJ107" s="867">
        <f t="shared" si="39"/>
        <v>-1.0880467247223109</v>
      </c>
      <c r="BK107" s="869">
        <f t="shared" si="40"/>
        <v>0.60104551022438135</v>
      </c>
      <c r="BL107" s="392"/>
      <c r="BN107" s="375">
        <f t="shared" si="44"/>
        <v>2041</v>
      </c>
      <c r="BO107" s="871">
        <f t="shared" ca="1" si="41"/>
        <v>-24.03799072532674</v>
      </c>
      <c r="BP107" s="871">
        <f t="shared" ca="1" si="45"/>
        <v>-27.673671972785897</v>
      </c>
      <c r="BQ107" s="871">
        <f t="shared" ca="1" si="45"/>
        <v>0.97885384048711277</v>
      </c>
      <c r="BR107" s="871">
        <f t="shared" ca="1" si="45"/>
        <v>-54.901345432263852</v>
      </c>
      <c r="BS107" s="871">
        <f t="shared" ca="1" si="45"/>
        <v>1144.1241138204209</v>
      </c>
      <c r="BT107" s="871">
        <f t="shared" ca="1" si="45"/>
        <v>1349.6649450517475</v>
      </c>
    </row>
    <row r="108" spans="2:72" x14ac:dyDescent="0.25">
      <c r="B108" s="375">
        <f t="shared" si="43"/>
        <v>2043</v>
      </c>
      <c r="C108" s="401">
        <f>MAX(TREND(C88:C89,B88:B89,B108),0)</f>
        <v>737811</v>
      </c>
      <c r="D108" s="402">
        <f>MAX(TREND(D88:D89,B88:B89,B108),0)</f>
        <v>725893.75</v>
      </c>
      <c r="E108" s="401">
        <f>MAX(TREND(E88:E89,B88:B89,B108),0)</f>
        <v>20239.25</v>
      </c>
      <c r="F108" s="402">
        <f>MAX(TREND(F88:F89,B88:B89,B108),0)</f>
        <v>15403</v>
      </c>
      <c r="G108" s="401">
        <f>MAX(TREND(G88:G89,B88:B89,B108),0)</f>
        <v>0</v>
      </c>
      <c r="H108" s="402">
        <f>MAX(TREND(H88:H89,B88:B89,B108),0)</f>
        <v>0</v>
      </c>
      <c r="I108" s="401">
        <f>MAX(TREND(I88:I89,B88:B89,B108),0)</f>
        <v>0</v>
      </c>
      <c r="J108" s="402">
        <f>MAX(TREND(J88:J89,B88:B89,B108),0)</f>
        <v>0</v>
      </c>
      <c r="K108" s="435">
        <f>IFERROR(IF(INDEX(HwyTransitModelGroup,A82,1)=Hwy,MAX(5,ROUND(C108/E108,1)),MAX(5,ROUND(G108/I108,1))),55)</f>
        <v>36.5</v>
      </c>
      <c r="L108" s="436">
        <f>IFERROR(IF(INDEX(HwyTransitModelGroup,A82,1)=Hwy,MAX(5,ROUND(D108/F108,1)),MAX(5,ROUND(H108/J108,1))),55)</f>
        <v>47.1</v>
      </c>
      <c r="M108" s="405">
        <f>MIN(MAX(TREND(M88:M89,B88:B89,B108),0),1)</f>
        <v>0.24</v>
      </c>
      <c r="N108" s="406">
        <f>MIN(MAX(TREND(N88:N89,B88:B89,B108),0),1)</f>
        <v>0.24</v>
      </c>
      <c r="O108" s="401">
        <f>MAX(TREND(O88:O89,B88:B89,B108),0)</f>
        <v>0</v>
      </c>
      <c r="P108" s="402">
        <f>MAX(TREND(P88:P89,B88:B89,B108),0)</f>
        <v>0</v>
      </c>
      <c r="Q108" s="729">
        <f>IF(INDEX(HwyTransitModelGroup,A82,1)=Hwy,C108*(1-M108)*0.00000110231131*(VLOOKUP(K108,EmAuto20,2)*VLOOKUP(ProjLoc,EmCost,2)+VLOOKUP(K108,EmAuto20,3)*VLOOKUP(ProjLoc,EmCost,3)*(1+CO2Uprater)^($B108-YearCurrent)+VLOOKUP(K108,EmAuto20,4)*VLOOKUP(ProjLoc,EmCost,4)+VLOOKUP(K108,EmAuto20,5)*VLOOKUP(ProjLoc,EmCost,5)+VLOOKUP(K108,EmAuto20,6)*VLOOKUP(ProjLoc,EmCost,6)+VLOOKUP(K108,EmAuto20,7)*VLOOKUP(ProjLoc,EmCost,7))+C108*M108*0.00000110231131*(VLOOKUP(K108,EmTruck20,2)*VLOOKUP(ProjLoc,EmCost,2)+VLOOKUP(K108,EmTruck20,3)*VLOOKUP(ProjLoc,EmCost,3)*(1+CO2Uprater)^($B108-YearCurrent)+VLOOKUP(K108,EmTruck20,4)*VLOOKUP(ProjLoc,EmCost,4)+VLOOKUP(K108,EmTruck20,5)*VLOOKUP(ProjLoc,EmCost,5)+VLOOKUP(K108,EmTruck20,6)*VLOOKUP(ProjLoc,EmCost,6)+VLOOKUP(K108,EmTruck20,7)*VLOOKUP(ProjLoc,EmCost,7)),0)</f>
        <v>20126.68944252911</v>
      </c>
      <c r="R108" s="802">
        <f>IF(INDEX(HwyTransitModelGroup,A82,1)=Hwy,D108*(1-N108)*0.00000110231131*(VLOOKUP(L108,EmAuto20,2)*VLOOKUP(ProjLoc,EmCost,2)+VLOOKUP(L108,EmAuto20,3)*VLOOKUP(ProjLoc,EmCost,3)*(1+CO2Uprater)^($B108-YearCurrent)+VLOOKUP(L108,EmAuto20,4)*VLOOKUP(ProjLoc,EmCost,4)+VLOOKUP(L108,EmAuto20,5)*VLOOKUP(ProjLoc,EmCost,5)+VLOOKUP(L108,EmAuto20,6)*VLOOKUP(ProjLoc,EmCost,6)+VLOOKUP(L108,EmAuto20,7)*VLOOKUP(ProjLoc,EmCost,7))+D108*N108*0.00000110231131*(VLOOKUP(L108,EmTruck20,2)*VLOOKUP(ProjLoc,EmCost,2)+VLOOKUP(L108,EmTruck20,3)*VLOOKUP(ProjLoc,EmCost,3)*(1+CO2Uprater)^($B108-YearCurrent)+VLOOKUP(L108,EmTruck20,4)*VLOOKUP(ProjLoc,EmCost,4)+VLOOKUP(L108,EmTruck20,5)*VLOOKUP(ProjLoc,EmCost,5)+VLOOKUP(L108,EmTruck20,6)*VLOOKUP(ProjLoc,EmCost,6)+VLOOKUP(L108,EmTruck20,7)*VLOOKUP(ProjLoc,EmCost,7)),0)</f>
        <v>19774.76682892612</v>
      </c>
      <c r="S108" s="729">
        <f>IF(INDEX(HwyTransitModelGroup,A82,1)=Hwy,O108*(1-M108)*0.00000110231131*(VLOOKUP(0,EmAuto20,2)*VLOOKUP(ProjLoc,EmCost,2)+VLOOKUP(0,EmAuto20,3)*VLOOKUP(ProjLoc,EmCost,3)*(1+CO2Uprater)^($B108-YearCurrent)+VLOOKUP(0,EmAuto20,4)*VLOOKUP(ProjLoc,EmCost,4)+VLOOKUP(0,EmAuto20,5)*VLOOKUP(ProjLoc,EmCost,5)+VLOOKUP(0,EmAuto20,6)*VLOOKUP(ProjLoc,EmCost,6)+VLOOKUP(0,EmAuto20,7)*VLOOKUP(ProjLoc,EmCost,7))+O108*M108*0.00000110231131*(VLOOKUP(0,EmTruck20,2)*VLOOKUP(ProjLoc,EmCost,2)+VLOOKUP(0,EmTruck20,3)*VLOOKUP(ProjLoc,EmCost,3)*(1+CO2Uprater)^($B108-YearCurrent)+VLOOKUP(0,EmTruck20,4)*VLOOKUP(ProjLoc,EmCost,4)+VLOOKUP(0,EmTruck20,5)*VLOOKUP(ProjLoc,EmCost,5)+VLOOKUP(0,EmTruck20,6)*VLOOKUP(ProjLoc,EmCost,6)+VLOOKUP(0,EmTruck20,7)*VLOOKUP(ProjLoc,EmCost,7)),0)</f>
        <v>0</v>
      </c>
      <c r="T108" s="802">
        <f>IF(INDEX(HwyTransitModelGroup,A82,1)=Hwy,P108*(1-N108)*0.00000110231131*(VLOOKUP(0,EmAuto20,2)*VLOOKUP(ProjLoc,EmCost,2)+VLOOKUP(0,EmAuto20,3)*VLOOKUP(ProjLoc,EmCost,3)*(1+CO2Uprater)^($B108-YearCurrent)+VLOOKUP(0,EmAuto20,4)*VLOOKUP(ProjLoc,EmCost,4)+VLOOKUP(0,EmAuto20,5)*VLOOKUP(ProjLoc,EmCost,5)+VLOOKUP(0,EmAuto20,6)*VLOOKUP(ProjLoc,EmCost,6)+VLOOKUP(0,EmAuto20,7)*VLOOKUP(ProjLoc,EmCost,7))+P108*N108*0.00000110231131*(VLOOKUP(0,EmTruck20,2)*VLOOKUP(ProjLoc,EmCost,2)+VLOOKUP(0,EmTruck20,3)*VLOOKUP(ProjLoc,EmCost,3)*(1+CO2Uprater)^($B108-YearCurrent)+VLOOKUP(0,EmTruck20,4)*VLOOKUP(ProjLoc,EmCost,4)+VLOOKUP(0,EmTruck20,5)*VLOOKUP(ProjLoc,EmCost,5)+VLOOKUP(0,EmTruck20,6)*VLOOKUP(ProjLoc,EmCost,6)+VLOOKUP(0,EmTruck20,7)*VLOOKUP(ProjLoc,EmCost,7)),0)</f>
        <v>0</v>
      </c>
      <c r="U108" s="729">
        <f>IF(INDEX(HwyTransitModelGroup,A82,1)=PARAMETERS!$J$9,C108*0.00000110231131*(VLOOKUP(K108,EmBus20,2)*VLOOKUP(ProjLoc,EmCost,2)+VLOOKUP(K108,EmBus20,3)*VLOOKUP(ProjLoc,EmCost,3)*(1+CO2Uprater)^($B108-YearCurrent)+VLOOKUP(K108,EmBus20,4)*VLOOKUP(ProjLoc,EmCost,4)+VLOOKUP(K108,EmBus20,5)*VLOOKUP(ProjLoc,EmCost,5)+VLOOKUP(K108,EmBus20,6)*VLOOKUP(ProjLoc,EmCost,6)+VLOOKUP(K108,EmBus20,7)*VLOOKUP(ProjLoc,EmCost,7)),0)</f>
        <v>0</v>
      </c>
      <c r="V108" s="802">
        <f>IF(INDEX(HwyTransitModelGroup,A82,1)=PARAMETERS!$J$9,D108*0.00000110231131*(VLOOKUP(L108,EmBus20,2)*VLOOKUP(ProjLoc,EmCost,2)+VLOOKUP(L108,EmBus20,3)*VLOOKUP(ProjLoc,EmCost,3)*(1+CO2Uprater)^($B108-YearCurrent)+VLOOKUP(L108,EmBus20,4)*VLOOKUP(ProjLoc,EmCost,4)+VLOOKUP(L108,EmBus20,5)*VLOOKUP(ProjLoc,EmCost,5)+VLOOKUP(L108,EmBus20,6)*VLOOKUP(ProjLoc,EmCost,6)+VLOOKUP(L108,EmBus20,7)*VLOOKUP(ProjLoc,EmCost,7)),0)</f>
        <v>0</v>
      </c>
      <c r="W108" s="808">
        <f>IF(INDEX(HwyTransitModelGroup,A82,1)=PARAMETERS!$J$10,C108*0.00000110231131*(PARAMETERS!$CQ$29*VLOOKUP(ProjLoc,EmCost,2)+PARAMETERS!$CR$29*VLOOKUP(ProjLoc,EmCost,3)*(1+CO2Uprater)^($B108-YearCurrent)+PARAMETERS!$CS$29*VLOOKUP(ProjLoc,EmCost,4)+PARAMETERS!$CT$29*VLOOKUP(ProjLoc,EmCost,5)+PARAMETERS!$CU$29*VLOOKUP(ProjLoc,EmCost,6)+PARAMETERS!$CV$29*VLOOKUP(ProjLoc,EmCost,7)),0)</f>
        <v>0</v>
      </c>
      <c r="X108" s="844">
        <f>IF(INDEX(HwyTransitModelGroup,A82,1)=PARAMETERS!$J$10,D108*0.00000110231131*(PARAMETERS!$CQ$29*VLOOKUP(ProjLoc,EmCost,2)+PARAMETERS!$CR$29*VLOOKUP(ProjLoc,EmCost,3)*(1+CO2Uprater)^($B108-YearCurrent)+PARAMETERS!$CS$29*VLOOKUP(ProjLoc,EmCost,4)+PARAMETERS!$CT$29*VLOOKUP(ProjLoc,EmCost,5)+PARAMETERS!$CU$29*VLOOKUP(ProjLoc,EmCost,6)+PARAMETERS!$CV$29*VLOOKUP(ProjLoc,EmCost,7)),0)</f>
        <v>0</v>
      </c>
      <c r="Y108" s="808">
        <f>IF(INDEX(HwyTransitModelGroup,A82,1)=PARAMETERS!$J$11,C108*0.00000110231131*(PARAMETERS!$CQ$37*VLOOKUP(ProjLoc,EmCost,2)+PARAMETERS!$CR$37*VLOOKUP(ProjLoc,EmCost,3)*(1+CO2Uprater)^($B108-YearCurrent)+PARAMETERS!$CS$37*VLOOKUP(ProjLoc,EmCost,4)+PARAMETERS!$CT$37*VLOOKUP(ProjLoc,EmCost,5)+PARAMETERS!$CU$37*VLOOKUP(ProjLoc,EmCost,6)+PARAMETERS!$CV$37*VLOOKUP(ProjLoc,EmCost,7)),0)</f>
        <v>0</v>
      </c>
      <c r="Z108" s="844">
        <f>IF(INDEX(HwyTransitModelGroup,A82,1)=PARAMETERS!$J$11,D108*0.00000110231131*(PARAMETERS!$CQ$37*VLOOKUP(ProjLoc,EmCost,2)+PARAMETERS!$CR$37*VLOOKUP(ProjLoc,EmCost,3)*(1+CO2Uprater)^($B108-YearCurrent)+PARAMETERS!$CS$37*VLOOKUP(ProjLoc,EmCost,4)+PARAMETERS!$CT$37*VLOOKUP(ProjLoc,EmCost,5)+PARAMETERS!$CU$37*VLOOKUP(ProjLoc,EmCost,6)+PARAMETERS!$CV$37*VLOOKUP(ProjLoc,EmCost,7)),0)</f>
        <v>0</v>
      </c>
      <c r="AA108" s="369">
        <f t="shared" si="33"/>
        <v>351.92261360299017</v>
      </c>
      <c r="AB108" s="370">
        <f t="shared" si="34"/>
        <v>154.435468193698</v>
      </c>
      <c r="AC108" s="371"/>
      <c r="AD108" s="401">
        <f>IF(INDEX(HwyTransitModelGroup,A82,1)=Hwy,0.00000110231131*(C108*(1-M108)*VLOOKUP(K108,EmAuto20,2)-D108*(1-N108)*VLOOKUP(L108,EmAuto20,2)+(O108*(1-M108)-P108*(1-N108))*VLOOKUP(0,EmAuto20,2))+0.00000110231131*(C108*M108*VLOOKUP(K108,EmTruck20,2)-D108*N108*VLOOKUP(L108,EmTruck20,2)+(O108*M108-P108*N108)*VLOOKUP(0,EmTruck20,2)),0)</f>
        <v>5.535615332207576E-2</v>
      </c>
      <c r="AE108" s="863">
        <f>IF(INDEX(HwyTransitModelGroup,A82,1)=Hwy,0.00000110231131*(C108*(1-M108)*VLOOKUP(K108,EmAuto20,3)-D108*(1-N108)*VLOOKUP(L108,EmAuto20,3)+(O108*(1-M108)-P108*(1-N108))*VLOOKUP(0,EmAuto20,3))+0.00000110231131*(C108*M108*VLOOKUP(K108,EmTruck20,3)-D108*N108*VLOOKUP(L108,EmTruck20,3)+(O108*M108-P108*N108)*VLOOKUP(0,EmTruck20,3)),0)</f>
        <v>1.0023034563307145</v>
      </c>
      <c r="AF108" s="861">
        <f>IF(INDEX(HwyTransitModelGroup,A82,1)=Hwy,0.00000110231131*(C108*(1-M108)*VLOOKUP(K108,EmAuto20,4)-D108*(1-N108)*VLOOKUP(L108,EmAuto20,4)+(O108*(1-M108)-P108*(1-N108))*VLOOKUP(0,EmAuto20,4))+0.00000110231131*(C108*M108*VLOOKUP(K108,EmTruck20,4)-D108*N108*VLOOKUP(L108,EmTruck20,4)+(O108*M108-P108*N108)*VLOOKUP(0,EmTruck20,4)),0)</f>
        <v>2.0622733901268116E-2</v>
      </c>
      <c r="AG108" s="863">
        <f>IF(INDEX(HwyTransitModelGroup,A82,1)=Hwy,0.00000110231131*(C108*(1-M108)*VLOOKUP(K108,EmAuto20,5)-D108*(1-N108)*VLOOKUP(L108,EmAuto20,5)+(O108*(1-M108)-P108*(1-N108))*VLOOKUP(0,EmAuto20,5))+0.00000110231131*(C108*M108*VLOOKUP(K108,EmTruck20,5)-D108*N108*VLOOKUP(L108,EmTruck20,5)+(O108*M108-P108*N108)*VLOOKUP(0,EmTruck20,5)),0)</f>
        <v>-3.0629261661410434E-4</v>
      </c>
      <c r="AH108" s="861">
        <f>IF(INDEX(HwyTransitModelGroup,A82,1)=Hwy,0.00000110231131*(C108*(1-M108)*VLOOKUP(K108,EmAuto20,6)-D108*(1-N108)*VLOOKUP(L108,EmAuto20,6)+(O108*(1-M108)-P108*(1-N108))*VLOOKUP(0,EmAuto20,6))+0.00000110231131*(C108*M108*VLOOKUP(K108,EmTruck20,6)-D108*N108*VLOOKUP(L108,EmTruck20,6)+(O108*M108-P108*N108)*VLOOKUP(0,EmTruck20,6)),0)</f>
        <v>-4.1026899293729616E-5</v>
      </c>
      <c r="AI108" s="863">
        <f>IF(INDEX(HwyTransitModelGroup,A82,1)=Hwy,0.00000110231131*(C108*(1-M108)*VLOOKUP(K108,EmAuto20,7)-D108*(1-N108)*VLOOKUP(L108,EmAuto20,7)+(O108*(1-M108)-P108*(1-N108))*VLOOKUP(0,EmAuto20,7))+0.00000110231131*(C108*M108*VLOOKUP(K108,EmTruck20,7)-D108*N108*VLOOKUP(L108,EmTruck20,7)+(O108*M108-P108*N108)*VLOOKUP(0,EmTruck20,7)),0)</f>
        <v>1.2037921791808433E-3</v>
      </c>
      <c r="AJ108" s="861">
        <f>IF(INDEX(HwyTransitModelGroup,A82,1)=Hwy,0.00000110231131*(C108*(1-M108)*VLOOKUP(K108,EmAuto20,8)-D108*(1-N108)*VLOOKUP(L108,EmAuto20,8)+(O108*(1-M108)-P108*(1-N108))*VLOOKUP(0,EmAuto20,8))+0.00000110231131*(C108*M108*VLOOKUP(K108,EmTruck20,8)-D108*N108*VLOOKUP(L108,EmTruck20,8)+(O108*M108-P108*N108)*VLOOKUP(0,EmTruck20,8)),0)</f>
        <v>-3.4952991133216463E-4</v>
      </c>
      <c r="AK108" s="401">
        <f>IF(INDEX(HwyTransitModelGroup,A82,1)=PARAMETERS!$J$9,0.00000110231131*(C108*VLOOKUP(K108,EmBus20,2)-D108*VLOOKUP(L108,EmBus20,2)+(O108-P108)*VLOOKUP(0,EmBus20,2)),0)</f>
        <v>0</v>
      </c>
      <c r="AL108" s="863">
        <f>IF(INDEX(HwyTransitModelGroup,A82,1)=PARAMETERS!$J$9,0.00000110231131*(C108*VLOOKUP(K108,EmBus20,3)-D108*VLOOKUP(L108,EmBus20,3)+(O108-P108)*VLOOKUP(0,EmBus20,3)),0)</f>
        <v>0</v>
      </c>
      <c r="AM108" s="861">
        <f>IF(INDEX(HwyTransitModelGroup,A82,1)=PARAMETERS!$J$9,0.00000110231131*(C108*VLOOKUP(K108,EmBus20,4)-D108*VLOOKUP(L108,EmBus20,4)+(O108-P108)*VLOOKUP(0,EmBus20,4)),0)</f>
        <v>0</v>
      </c>
      <c r="AN108" s="863">
        <f>IF(INDEX(HwyTransitModelGroup,A82,1)=PARAMETERS!$J$9,0.00000110231131*(C108*VLOOKUP(K108,EmBus20,5)-D108*VLOOKUP(L108,EmBus20,5)+(O108-P108)*VLOOKUP(0,EmBus20,5)),0)</f>
        <v>0</v>
      </c>
      <c r="AO108" s="861">
        <f>IF(INDEX(HwyTransitModelGroup,A82,1)=PARAMETERS!$J$9,0.00000110231131*(C108*VLOOKUP(K108,EmBus20,6)-D108*VLOOKUP(L108,EmBus20,6)+(O108-P108)*VLOOKUP(0,EmBus20,6)),0)</f>
        <v>0</v>
      </c>
      <c r="AP108" s="863">
        <f>IF(INDEX(HwyTransitModelGroup,A82,1)=PARAMETERS!$J$9,0.00000110231131*(C108*VLOOKUP(K108,EmBus20,7)-D108*VLOOKUP(L108,EmBus20,7)+(O108-P108)*VLOOKUP(0,EmBus20,7)),0)</f>
        <v>0</v>
      </c>
      <c r="AQ108" s="861">
        <f>IF(INDEX(HwyTransitModelGroup,A82,1)=PARAMETERS!$J$9,0.00000110231131*(C108*VLOOKUP(K108,EmBus20,8)-D108*VLOOKUP(L108,EmBus20,8)+(O108-P108)*VLOOKUP(0,EmBus20,8)),0)</f>
        <v>0</v>
      </c>
      <c r="AR108" s="401">
        <f>IF(INDEX(HwyTransitModelGroup,A82,1)=PARAMETERS!$J$10,0.00000110231131*((C108-D108)*PARAMETERS!$CQ$29),0)</f>
        <v>0</v>
      </c>
      <c r="AS108" s="863">
        <f>IF(INDEX(HwyTransitModelGroup,A82,1)=PARAMETERS!$J$10,0.00000110231131*((C108-D108)*PARAMETERS!$CR$29),0)</f>
        <v>0</v>
      </c>
      <c r="AT108" s="861">
        <f>IF(INDEX(HwyTransitModelGroup,A82,1)=PARAMETERS!$J$10,0.00000110231131*((C108-D108)*PARAMETERS!$CS$29),0)</f>
        <v>0</v>
      </c>
      <c r="AU108" s="863">
        <f>IF(INDEX(HwyTransitModelGroup,A82,1)=PARAMETERS!$J$10,0.00000110231131*((C108-D108)*PARAMETERS!$CT$29),0)</f>
        <v>0</v>
      </c>
      <c r="AV108" s="861">
        <f>IF(INDEX(HwyTransitModelGroup,A82,1)=PARAMETERS!$J$10,0.00000110231131*((C108-D108)*PARAMETERS!$CU$29),0)</f>
        <v>0</v>
      </c>
      <c r="AW108" s="863">
        <f>IF(INDEX(HwyTransitModelGroup,A82,1)=PARAMETERS!$J$10,0.00000110231131*((C108-D108)*PARAMETERS!$CV$29),0)</f>
        <v>0</v>
      </c>
      <c r="AX108" s="861">
        <f>IF(INDEX(HwyTransitModelGroup,A82,1)=PARAMETERS!$J$10,0.00000110231131*((C108-D108)*PARAMETERS!$CW$29),0)</f>
        <v>0</v>
      </c>
      <c r="AY108" s="401">
        <f>IF(INDEX(HwyTransitModelGroup,A82,1)=PARAMETERS!$J$11,0.00000110231131*((C108-D108)*PARAMETERS!$CQ$37),0)</f>
        <v>0</v>
      </c>
      <c r="AZ108" s="863">
        <f>IF(INDEX(HwyTransitModelGroup,A82,1)=PARAMETERS!$J$11,0.00000110231131*((C108-D108)*PARAMETERS!$CR$37),0)</f>
        <v>0</v>
      </c>
      <c r="BA108" s="861">
        <f>IF(INDEX(HwyTransitModelGroup,A82,1)=PARAMETERS!$J$11,0.00000110231131*((C108-D108)*PARAMETERS!$CS$37),0)</f>
        <v>0</v>
      </c>
      <c r="BB108" s="863">
        <f>IF(INDEX(HwyTransitModelGroup,A82,1)=PARAMETERS!$J$11,0.00000110231131*((C108-D108)*PARAMETERS!$CT$37),0)</f>
        <v>0</v>
      </c>
      <c r="BC108" s="861">
        <f>IF(INDEX(HwyTransitModelGroup,A82,1)=PARAMETERS!$J$11,0.00000110231131*((C108-D108)*PARAMETERS!$CU$37),0)</f>
        <v>0</v>
      </c>
      <c r="BD108" s="863">
        <f>IF(INDEX(HwyTransitModelGroup,A82,1)=PARAMETERS!$J$11,0.00000110231131*((C108-D108)*PARAMETERS!$CV$37),0)</f>
        <v>0</v>
      </c>
      <c r="BE108" s="865">
        <f>IF(INDEX(HwyTransitModelGroup,A82,1)=PARAMETERS!$J$11,0.00000110231131*((C108-D108)*PARAMETERS!$CW$37),0)</f>
        <v>0</v>
      </c>
      <c r="BF108" s="729">
        <f t="shared" si="35"/>
        <v>1.9433712129317431</v>
      </c>
      <c r="BG108" s="867">
        <f t="shared" si="36"/>
        <v>31.999555604723</v>
      </c>
      <c r="BH108" s="867">
        <f t="shared" si="37"/>
        <v>136.65422391113108</v>
      </c>
      <c r="BI108" s="867">
        <f t="shared" si="38"/>
        <v>-15.685821145632698</v>
      </c>
      <c r="BJ108" s="867">
        <f t="shared" si="39"/>
        <v>-1.0622349380438643</v>
      </c>
      <c r="BK108" s="869">
        <f t="shared" si="40"/>
        <v>0.58637354859062629</v>
      </c>
      <c r="BL108" s="392"/>
      <c r="BN108" s="375">
        <f t="shared" si="44"/>
        <v>2042</v>
      </c>
      <c r="BO108" s="871">
        <f t="shared" ca="1" si="41"/>
        <v>-27.911937202481869</v>
      </c>
      <c r="BP108" s="871">
        <f t="shared" ca="1" si="45"/>
        <v>-28.085162775011018</v>
      </c>
      <c r="BQ108" s="871">
        <f t="shared" ca="1" si="45"/>
        <v>0.99057864840893828</v>
      </c>
      <c r="BR108" s="871">
        <f t="shared" ca="1" si="45"/>
        <v>-55.482848765559069</v>
      </c>
      <c r="BS108" s="871">
        <f t="shared" ca="1" si="45"/>
        <v>1178.9304460431645</v>
      </c>
      <c r="BT108" s="871">
        <f t="shared" ca="1" si="45"/>
        <v>1378.0010398101158</v>
      </c>
    </row>
    <row r="109" spans="2:72" x14ac:dyDescent="0.25">
      <c r="B109" s="375">
        <f t="shared" si="43"/>
        <v>2044</v>
      </c>
      <c r="C109" s="401">
        <f>MAX(TREND(C88:C89,B88:B89,B109),0)</f>
        <v>748469</v>
      </c>
      <c r="D109" s="402">
        <f>MAX(TREND(D88:D89,B88:B89,B109),0)</f>
        <v>736387.5</v>
      </c>
      <c r="E109" s="401">
        <f>MAX(TREND(E88:E89,B88:B89,B109),0)</f>
        <v>20549.5</v>
      </c>
      <c r="F109" s="402">
        <f>MAX(TREND(F88:F89,B88:B89,B109),0)</f>
        <v>15622</v>
      </c>
      <c r="G109" s="401">
        <f>MAX(TREND(G88:G89,B88:B89,B109),0)</f>
        <v>0</v>
      </c>
      <c r="H109" s="402">
        <f>MAX(TREND(H88:H89,B88:B89,B109),0)</f>
        <v>0</v>
      </c>
      <c r="I109" s="401">
        <f>MAX(TREND(I88:I89,B88:B89,B109),0)</f>
        <v>0</v>
      </c>
      <c r="J109" s="402">
        <f>MAX(TREND(J88:J89,B88:B89,B109),0)</f>
        <v>0</v>
      </c>
      <c r="K109" s="435">
        <f>IFERROR(IF(INDEX(HwyTransitModelGroup,A82,1)=Hwy,MAX(5,ROUND(C109/E109,1)),MAX(5,ROUND(G109/I109,1))),55)</f>
        <v>36.4</v>
      </c>
      <c r="L109" s="436">
        <f>IFERROR(IF(INDEX(HwyTransitModelGroup,A82,1)=Hwy,MAX(5,ROUND(D109/F109,1)),MAX(5,ROUND(H109/J109,1))),55)</f>
        <v>47.1</v>
      </c>
      <c r="M109" s="405">
        <f>MIN(MAX(TREND(M88:M89,B88:B89,B109),0),1)</f>
        <v>0.24</v>
      </c>
      <c r="N109" s="406">
        <f>MIN(MAX(TREND(N88:N89,B88:B89,B109),0),1)</f>
        <v>0.24</v>
      </c>
      <c r="O109" s="401">
        <f>MAX(TREND(O88:O89,B88:B89,B109),0)</f>
        <v>0</v>
      </c>
      <c r="P109" s="402">
        <f>MAX(TREND(P88:P89,B88:B89,B109),0)</f>
        <v>0</v>
      </c>
      <c r="Q109" s="729">
        <f>IF(INDEX(HwyTransitModelGroup,A82,1)=Hwy,C109*(1-M109)*0.00000110231131*(VLOOKUP(K109,EmAuto20,2)*VLOOKUP(ProjLoc,EmCost,2)+VLOOKUP(K109,EmAuto20,3)*VLOOKUP(ProjLoc,EmCost,3)*(1+CO2Uprater)^($B109-YearCurrent)+VLOOKUP(K109,EmAuto20,4)*VLOOKUP(ProjLoc,EmCost,4)+VLOOKUP(K109,EmAuto20,5)*VLOOKUP(ProjLoc,EmCost,5)+VLOOKUP(K109,EmAuto20,6)*VLOOKUP(ProjLoc,EmCost,6)+VLOOKUP(K109,EmAuto20,7)*VLOOKUP(ProjLoc,EmCost,7))+C109*M109*0.00000110231131*(VLOOKUP(K109,EmTruck20,2)*VLOOKUP(ProjLoc,EmCost,2)+VLOOKUP(K109,EmTruck20,3)*VLOOKUP(ProjLoc,EmCost,3)*(1+CO2Uprater)^($B109-YearCurrent)+VLOOKUP(K109,EmTruck20,4)*VLOOKUP(ProjLoc,EmCost,4)+VLOOKUP(K109,EmTruck20,5)*VLOOKUP(ProjLoc,EmCost,5)+VLOOKUP(K109,EmTruck20,6)*VLOOKUP(ProjLoc,EmCost,6)+VLOOKUP(K109,EmTruck20,7)*VLOOKUP(ProjLoc,EmCost,7)),0)</f>
        <v>20792.421031538957</v>
      </c>
      <c r="R109" s="802">
        <f>IF(INDEX(HwyTransitModelGroup,A82,1)=Hwy,D109*(1-N109)*0.00000110231131*(VLOOKUP(L109,EmAuto20,2)*VLOOKUP(ProjLoc,EmCost,2)+VLOOKUP(L109,EmAuto20,3)*VLOOKUP(ProjLoc,EmCost,3)*(1+CO2Uprater)^($B109-YearCurrent)+VLOOKUP(L109,EmAuto20,4)*VLOOKUP(ProjLoc,EmCost,4)+VLOOKUP(L109,EmAuto20,5)*VLOOKUP(ProjLoc,EmCost,5)+VLOOKUP(L109,EmAuto20,6)*VLOOKUP(ProjLoc,EmCost,6)+VLOOKUP(L109,EmAuto20,7)*VLOOKUP(ProjLoc,EmCost,7))+D109*N109*0.00000110231131*(VLOOKUP(L109,EmTruck20,2)*VLOOKUP(ProjLoc,EmCost,2)+VLOOKUP(L109,EmTruck20,3)*VLOOKUP(ProjLoc,EmCost,3)*(1+CO2Uprater)^($B109-YearCurrent)+VLOOKUP(L109,EmTruck20,4)*VLOOKUP(ProjLoc,EmCost,4)+VLOOKUP(L109,EmTruck20,5)*VLOOKUP(ProjLoc,EmCost,5)+VLOOKUP(L109,EmTruck20,6)*VLOOKUP(ProjLoc,EmCost,6)+VLOOKUP(L109,EmTruck20,7)*VLOOKUP(ProjLoc,EmCost,7)),0)</f>
        <v>20434.154499014705</v>
      </c>
      <c r="S109" s="729">
        <f>IF(INDEX(HwyTransitModelGroup,A82,1)=Hwy,O109*(1-M109)*0.00000110231131*(VLOOKUP(0,EmAuto20,2)*VLOOKUP(ProjLoc,EmCost,2)+VLOOKUP(0,EmAuto20,3)*VLOOKUP(ProjLoc,EmCost,3)*(1+CO2Uprater)^($B109-YearCurrent)+VLOOKUP(0,EmAuto20,4)*VLOOKUP(ProjLoc,EmCost,4)+VLOOKUP(0,EmAuto20,5)*VLOOKUP(ProjLoc,EmCost,5)+VLOOKUP(0,EmAuto20,6)*VLOOKUP(ProjLoc,EmCost,6)+VLOOKUP(0,EmAuto20,7)*VLOOKUP(ProjLoc,EmCost,7))+O109*M109*0.00000110231131*(VLOOKUP(0,EmTruck20,2)*VLOOKUP(ProjLoc,EmCost,2)+VLOOKUP(0,EmTruck20,3)*VLOOKUP(ProjLoc,EmCost,3)*(1+CO2Uprater)^($B109-YearCurrent)+VLOOKUP(0,EmTruck20,4)*VLOOKUP(ProjLoc,EmCost,4)+VLOOKUP(0,EmTruck20,5)*VLOOKUP(ProjLoc,EmCost,5)+VLOOKUP(0,EmTruck20,6)*VLOOKUP(ProjLoc,EmCost,6)+VLOOKUP(0,EmTruck20,7)*VLOOKUP(ProjLoc,EmCost,7)),0)</f>
        <v>0</v>
      </c>
      <c r="T109" s="802">
        <f>IF(INDEX(HwyTransitModelGroup,A82,1)=Hwy,P109*(1-N109)*0.00000110231131*(VLOOKUP(0,EmAuto20,2)*VLOOKUP(ProjLoc,EmCost,2)+VLOOKUP(0,EmAuto20,3)*VLOOKUP(ProjLoc,EmCost,3)*(1+CO2Uprater)^($B109-YearCurrent)+VLOOKUP(0,EmAuto20,4)*VLOOKUP(ProjLoc,EmCost,4)+VLOOKUP(0,EmAuto20,5)*VLOOKUP(ProjLoc,EmCost,5)+VLOOKUP(0,EmAuto20,6)*VLOOKUP(ProjLoc,EmCost,6)+VLOOKUP(0,EmAuto20,7)*VLOOKUP(ProjLoc,EmCost,7))+P109*N109*0.00000110231131*(VLOOKUP(0,EmTruck20,2)*VLOOKUP(ProjLoc,EmCost,2)+VLOOKUP(0,EmTruck20,3)*VLOOKUP(ProjLoc,EmCost,3)*(1+CO2Uprater)^($B109-YearCurrent)+VLOOKUP(0,EmTruck20,4)*VLOOKUP(ProjLoc,EmCost,4)+VLOOKUP(0,EmTruck20,5)*VLOOKUP(ProjLoc,EmCost,5)+VLOOKUP(0,EmTruck20,6)*VLOOKUP(ProjLoc,EmCost,6)+VLOOKUP(0,EmTruck20,7)*VLOOKUP(ProjLoc,EmCost,7)),0)</f>
        <v>0</v>
      </c>
      <c r="U109" s="729">
        <f>IF(INDEX(HwyTransitModelGroup,A82,1)=PARAMETERS!$J$9,C109*0.00000110231131*(VLOOKUP(K109,EmBus20,2)*VLOOKUP(ProjLoc,EmCost,2)+VLOOKUP(K109,EmBus20,3)*VLOOKUP(ProjLoc,EmCost,3)*(1+CO2Uprater)^($B109-YearCurrent)+VLOOKUP(K109,EmBus20,4)*VLOOKUP(ProjLoc,EmCost,4)+VLOOKUP(K109,EmBus20,5)*VLOOKUP(ProjLoc,EmCost,5)+VLOOKUP(K109,EmBus20,6)*VLOOKUP(ProjLoc,EmCost,6)+VLOOKUP(K109,EmBus20,7)*VLOOKUP(ProjLoc,EmCost,7)),0)</f>
        <v>0</v>
      </c>
      <c r="V109" s="802">
        <f>IF(INDEX(HwyTransitModelGroup,A82,1)=PARAMETERS!$J$9,D109*0.00000110231131*(VLOOKUP(L109,EmBus20,2)*VLOOKUP(ProjLoc,EmCost,2)+VLOOKUP(L109,EmBus20,3)*VLOOKUP(ProjLoc,EmCost,3)*(1+CO2Uprater)^($B109-YearCurrent)+VLOOKUP(L109,EmBus20,4)*VLOOKUP(ProjLoc,EmCost,4)+VLOOKUP(L109,EmBus20,5)*VLOOKUP(ProjLoc,EmCost,5)+VLOOKUP(L109,EmBus20,6)*VLOOKUP(ProjLoc,EmCost,6)+VLOOKUP(L109,EmBus20,7)*VLOOKUP(ProjLoc,EmCost,7)),0)</f>
        <v>0</v>
      </c>
      <c r="W109" s="808">
        <f>IF(INDEX(HwyTransitModelGroup,A82,1)=PARAMETERS!$J$10,C109*0.00000110231131*(PARAMETERS!$CQ$29*VLOOKUP(ProjLoc,EmCost,2)+PARAMETERS!$CR$29*VLOOKUP(ProjLoc,EmCost,3)*(1+CO2Uprater)^($B109-YearCurrent)+PARAMETERS!$CS$29*VLOOKUP(ProjLoc,EmCost,4)+PARAMETERS!$CT$29*VLOOKUP(ProjLoc,EmCost,5)+PARAMETERS!$CU$29*VLOOKUP(ProjLoc,EmCost,6)+PARAMETERS!$CV$29*VLOOKUP(ProjLoc,EmCost,7)),0)</f>
        <v>0</v>
      </c>
      <c r="X109" s="844">
        <f>IF(INDEX(HwyTransitModelGroup,A82,1)=PARAMETERS!$J$10,D109*0.00000110231131*(PARAMETERS!$CQ$29*VLOOKUP(ProjLoc,EmCost,2)+PARAMETERS!$CR$29*VLOOKUP(ProjLoc,EmCost,3)*(1+CO2Uprater)^($B109-YearCurrent)+PARAMETERS!$CS$29*VLOOKUP(ProjLoc,EmCost,4)+PARAMETERS!$CT$29*VLOOKUP(ProjLoc,EmCost,5)+PARAMETERS!$CU$29*VLOOKUP(ProjLoc,EmCost,6)+PARAMETERS!$CV$29*VLOOKUP(ProjLoc,EmCost,7)),0)</f>
        <v>0</v>
      </c>
      <c r="Y109" s="808">
        <f>IF(INDEX(HwyTransitModelGroup,A82,1)=PARAMETERS!$J$11,C109*0.00000110231131*(PARAMETERS!$CQ$37*VLOOKUP(ProjLoc,EmCost,2)+PARAMETERS!$CR$37*VLOOKUP(ProjLoc,EmCost,3)*(1+CO2Uprater)^($B109-YearCurrent)+PARAMETERS!$CS$37*VLOOKUP(ProjLoc,EmCost,4)+PARAMETERS!$CT$37*VLOOKUP(ProjLoc,EmCost,5)+PARAMETERS!$CU$37*VLOOKUP(ProjLoc,EmCost,6)+PARAMETERS!$CV$37*VLOOKUP(ProjLoc,EmCost,7)),0)</f>
        <v>0</v>
      </c>
      <c r="Z109" s="844">
        <f>IF(INDEX(HwyTransitModelGroup,A82,1)=PARAMETERS!$J$11,D109*0.00000110231131*(PARAMETERS!$CQ$37*VLOOKUP(ProjLoc,EmCost,2)+PARAMETERS!$CR$37*VLOOKUP(ProjLoc,EmCost,3)*(1+CO2Uprater)^($B109-YearCurrent)+PARAMETERS!$CS$37*VLOOKUP(ProjLoc,EmCost,4)+PARAMETERS!$CT$37*VLOOKUP(ProjLoc,EmCost,5)+PARAMETERS!$CU$37*VLOOKUP(ProjLoc,EmCost,6)+PARAMETERS!$CV$37*VLOOKUP(ProjLoc,EmCost,7)),0)</f>
        <v>0</v>
      </c>
      <c r="AA109" s="369">
        <f t="shared" si="33"/>
        <v>358.2665325242524</v>
      </c>
      <c r="AB109" s="370">
        <f t="shared" si="34"/>
        <v>151.17249325524168</v>
      </c>
      <c r="AC109" s="371"/>
      <c r="AD109" s="401">
        <f>IF(INDEX(HwyTransitModelGroup,A82,1)=Hwy,0.00000110231131*(C109*(1-M109)*VLOOKUP(K109,EmAuto20,2)-D109*(1-N109)*VLOOKUP(L109,EmAuto20,2)+(O109*(1-M109)-P109*(1-N109))*VLOOKUP(0,EmAuto20,2))+0.00000110231131*(C109*M109*VLOOKUP(K109,EmTruck20,2)-D109*N109*VLOOKUP(L109,EmTruck20,2)+(O109*M109-P109*N109)*VLOOKUP(0,EmTruck20,2)),0)</f>
        <v>5.615218705209029E-2</v>
      </c>
      <c r="AE109" s="863">
        <f>IF(INDEX(HwyTransitModelGroup,A82,1)=Hwy,0.00000110231131*(C109*(1-M109)*VLOOKUP(K109,EmAuto20,3)-D109*(1-N109)*VLOOKUP(L109,EmAuto20,3)+(O109*(1-M109)-P109*(1-N109))*VLOOKUP(0,EmAuto20,3))+0.00000110231131*(C109*M109*VLOOKUP(K109,EmTruck20,3)-D109*N109*VLOOKUP(L109,EmTruck20,3)+(O109*M109-P109*N109)*VLOOKUP(0,EmTruck20,3)),0)</f>
        <v>1.0140282642525236</v>
      </c>
      <c r="AF109" s="861">
        <f>IF(INDEX(HwyTransitModelGroup,A82,1)=Hwy,0.00000110231131*(C109*(1-M109)*VLOOKUP(K109,EmAuto20,4)-D109*(1-N109)*VLOOKUP(L109,EmAuto20,4)+(O109*(1-M109)-P109*(1-N109))*VLOOKUP(0,EmAuto20,4))+0.00000110231131*(C109*M109*VLOOKUP(K109,EmTruck20,4)-D109*N109*VLOOKUP(L109,EmTruck20,4)+(O109*M109-P109*N109)*VLOOKUP(0,EmTruck20,4)),0)</f>
        <v>2.0919895892522439E-2</v>
      </c>
      <c r="AG109" s="863">
        <f>IF(INDEX(HwyTransitModelGroup,A82,1)=Hwy,0.00000110231131*(C109*(1-M109)*VLOOKUP(K109,EmAuto20,5)-D109*(1-N109)*VLOOKUP(L109,EmAuto20,5)+(O109*(1-M109)-P109*(1-N109))*VLOOKUP(0,EmAuto20,5))+0.00000110231131*(C109*M109*VLOOKUP(K109,EmTruck20,5)-D109*N109*VLOOKUP(L109,EmTruck20,5)+(O109*M109-P109*N109)*VLOOKUP(0,EmTruck20,5)),0)</f>
        <v>-3.1073191526965988E-4</v>
      </c>
      <c r="AH109" s="861">
        <f>IF(INDEX(HwyTransitModelGroup,A82,1)=Hwy,0.00000110231131*(C109*(1-M109)*VLOOKUP(K109,EmAuto20,6)-D109*(1-N109)*VLOOKUP(L109,EmAuto20,6)+(O109*(1-M109)-P109*(1-N109))*VLOOKUP(0,EmAuto20,6))+0.00000110231131*(C109*M109*VLOOKUP(K109,EmTruck20,6)-D109*N109*VLOOKUP(L109,EmTruck20,6)+(O109*M109-P109*N109)*VLOOKUP(0,EmTruck20,6)),0)</f>
        <v>-4.164626707490344E-5</v>
      </c>
      <c r="AI109" s="863">
        <f>IF(INDEX(HwyTransitModelGroup,A82,1)=Hwy,0.00000110231131*(C109*(1-M109)*VLOOKUP(K109,EmAuto20,7)-D109*(1-N109)*VLOOKUP(L109,EmAuto20,7)+(O109*(1-M109)-P109*(1-N109))*VLOOKUP(0,EmAuto20,7))+0.00000110231131*(C109*M109*VLOOKUP(K109,EmTruck20,7)-D109*N109*VLOOKUP(L109,EmTruck20,7)+(O109*M109-P109*N109)*VLOOKUP(0,EmTruck20,7)),0)</f>
        <v>1.221129648930182E-3</v>
      </c>
      <c r="AJ109" s="861">
        <f>IF(INDEX(HwyTransitModelGroup,A82,1)=Hwy,0.00000110231131*(C109*(1-M109)*VLOOKUP(K109,EmAuto20,8)-D109*(1-N109)*VLOOKUP(L109,EmAuto20,8)+(O109*(1-M109)-P109*(1-N109))*VLOOKUP(0,EmAuto20,8))+0.00000110231131*(C109*M109*VLOOKUP(K109,EmTruck20,8)-D109*N109*VLOOKUP(L109,EmTruck20,8)+(O109*M109-P109*N109)*VLOOKUP(0,EmTruck20,8)),0)</f>
        <v>-3.545931644862554E-4</v>
      </c>
      <c r="AK109" s="401">
        <f>IF(INDEX(HwyTransitModelGroup,A82,1)=PARAMETERS!$J$9,0.00000110231131*(C109*VLOOKUP(K109,EmBus20,2)-D109*VLOOKUP(L109,EmBus20,2)+(O109-P109)*VLOOKUP(0,EmBus20,2)),0)</f>
        <v>0</v>
      </c>
      <c r="AL109" s="863">
        <f>IF(INDEX(HwyTransitModelGroup,A82,1)=PARAMETERS!$J$9,0.00000110231131*(C109*VLOOKUP(K109,EmBus20,3)-D109*VLOOKUP(L109,EmBus20,3)+(O109-P109)*VLOOKUP(0,EmBus20,3)),0)</f>
        <v>0</v>
      </c>
      <c r="AM109" s="861">
        <f>IF(INDEX(HwyTransitModelGroup,A82,1)=PARAMETERS!$J$9,0.00000110231131*(C109*VLOOKUP(K109,EmBus20,4)-D109*VLOOKUP(L109,EmBus20,4)+(O109-P109)*VLOOKUP(0,EmBus20,4)),0)</f>
        <v>0</v>
      </c>
      <c r="AN109" s="863">
        <f>IF(INDEX(HwyTransitModelGroup,A82,1)=PARAMETERS!$J$9,0.00000110231131*(C109*VLOOKUP(K109,EmBus20,5)-D109*VLOOKUP(L109,EmBus20,5)+(O109-P109)*VLOOKUP(0,EmBus20,5)),0)</f>
        <v>0</v>
      </c>
      <c r="AO109" s="861">
        <f>IF(INDEX(HwyTransitModelGroup,A82,1)=PARAMETERS!$J$9,0.00000110231131*(C109*VLOOKUP(K109,EmBus20,6)-D109*VLOOKUP(L109,EmBus20,6)+(O109-P109)*VLOOKUP(0,EmBus20,6)),0)</f>
        <v>0</v>
      </c>
      <c r="AP109" s="863">
        <f>IF(INDEX(HwyTransitModelGroup,A82,1)=PARAMETERS!$J$9,0.00000110231131*(C109*VLOOKUP(K109,EmBus20,7)-D109*VLOOKUP(L109,EmBus20,7)+(O109-P109)*VLOOKUP(0,EmBus20,7)),0)</f>
        <v>0</v>
      </c>
      <c r="AQ109" s="861">
        <f>IF(INDEX(HwyTransitModelGroup,A82,1)=PARAMETERS!$J$9,0.00000110231131*(C109*VLOOKUP(K109,EmBus20,8)-D109*VLOOKUP(L109,EmBus20,8)+(O109-P109)*VLOOKUP(0,EmBus20,8)),0)</f>
        <v>0</v>
      </c>
      <c r="AR109" s="401">
        <f>IF(INDEX(HwyTransitModelGroup,A82,1)=PARAMETERS!$J$10,0.00000110231131*((C109-D109)*PARAMETERS!$CQ$29),0)</f>
        <v>0</v>
      </c>
      <c r="AS109" s="863">
        <f>IF(INDEX(HwyTransitModelGroup,A82,1)=PARAMETERS!$J$10,0.00000110231131*((C109-D109)*PARAMETERS!$CR$29),0)</f>
        <v>0</v>
      </c>
      <c r="AT109" s="861">
        <f>IF(INDEX(HwyTransitModelGroup,A82,1)=PARAMETERS!$J$10,0.00000110231131*((C109-D109)*PARAMETERS!$CS$29),0)</f>
        <v>0</v>
      </c>
      <c r="AU109" s="863">
        <f>IF(INDEX(HwyTransitModelGroup,A82,1)=PARAMETERS!$J$10,0.00000110231131*((C109-D109)*PARAMETERS!$CT$29),0)</f>
        <v>0</v>
      </c>
      <c r="AV109" s="861">
        <f>IF(INDEX(HwyTransitModelGroup,A82,1)=PARAMETERS!$J$10,0.00000110231131*((C109-D109)*PARAMETERS!$CU$29),0)</f>
        <v>0</v>
      </c>
      <c r="AW109" s="863">
        <f>IF(INDEX(HwyTransitModelGroup,A82,1)=PARAMETERS!$J$10,0.00000110231131*((C109-D109)*PARAMETERS!$CV$29),0)</f>
        <v>0</v>
      </c>
      <c r="AX109" s="861">
        <f>IF(INDEX(HwyTransitModelGroup,A82,1)=PARAMETERS!$J$10,0.00000110231131*((C109-D109)*PARAMETERS!$CW$29),0)</f>
        <v>0</v>
      </c>
      <c r="AY109" s="401">
        <f>IF(INDEX(HwyTransitModelGroup,A82,1)=PARAMETERS!$J$11,0.00000110231131*((C109-D109)*PARAMETERS!$CQ$37),0)</f>
        <v>0</v>
      </c>
      <c r="AZ109" s="863">
        <f>IF(INDEX(HwyTransitModelGroup,A82,1)=PARAMETERS!$J$11,0.00000110231131*((C109-D109)*PARAMETERS!$CR$37),0)</f>
        <v>0</v>
      </c>
      <c r="BA109" s="861">
        <f>IF(INDEX(HwyTransitModelGroup,A82,1)=PARAMETERS!$J$11,0.00000110231131*((C109-D109)*PARAMETERS!$CS$37),0)</f>
        <v>0</v>
      </c>
      <c r="BB109" s="863">
        <f>IF(INDEX(HwyTransitModelGroup,A82,1)=PARAMETERS!$J$11,0.00000110231131*((C109-D109)*PARAMETERS!$CT$37),0)</f>
        <v>0</v>
      </c>
      <c r="BC109" s="861">
        <f>IF(INDEX(HwyTransitModelGroup,A82,1)=PARAMETERS!$J$11,0.00000110231131*((C109-D109)*PARAMETERS!$CU$37),0)</f>
        <v>0</v>
      </c>
      <c r="BD109" s="863">
        <f>IF(INDEX(HwyTransitModelGroup,A82,1)=PARAMETERS!$J$11,0.00000110231131*((C109-D109)*PARAMETERS!$CV$37),0)</f>
        <v>0</v>
      </c>
      <c r="BE109" s="865">
        <f>IF(INDEX(HwyTransitModelGroup,A82,1)=PARAMETERS!$J$11,0.00000110231131*((C109-D109)*PARAMETERS!$CW$37),0)</f>
        <v>0</v>
      </c>
      <c r="BF109" s="729">
        <f t="shared" si="35"/>
        <v>1.8954974239073383</v>
      </c>
      <c r="BG109" s="867">
        <f t="shared" si="36"/>
        <v>31.751307349350334</v>
      </c>
      <c r="BH109" s="867">
        <f t="shared" si="37"/>
        <v>133.29166767629692</v>
      </c>
      <c r="BI109" s="867">
        <f t="shared" si="38"/>
        <v>-15.30112113628244</v>
      </c>
      <c r="BJ109" s="867">
        <f t="shared" si="39"/>
        <v>-1.0367991368425638</v>
      </c>
      <c r="BK109" s="869">
        <f t="shared" si="40"/>
        <v>0.57194107881298328</v>
      </c>
      <c r="BL109" s="392"/>
      <c r="BN109" s="375">
        <f t="shared" si="44"/>
        <v>2043</v>
      </c>
      <c r="BO109" s="871">
        <f t="shared" ca="1" si="41"/>
        <v>-30.188927868447813</v>
      </c>
      <c r="BP109" s="871">
        <f t="shared" ca="1" si="45"/>
        <v>-28.496653577236074</v>
      </c>
      <c r="BQ109" s="871">
        <f t="shared" ca="1" si="45"/>
        <v>1.0023034563307145</v>
      </c>
      <c r="BR109" s="871">
        <f t="shared" ca="1" si="45"/>
        <v>-56.064352098854371</v>
      </c>
      <c r="BS109" s="871">
        <f t="shared" ca="1" si="45"/>
        <v>1213.7367782659078</v>
      </c>
      <c r="BT109" s="871">
        <f t="shared" ca="1" si="45"/>
        <v>1406.3371345684825</v>
      </c>
    </row>
    <row r="110" spans="2:72" x14ac:dyDescent="0.25">
      <c r="B110" s="375">
        <f t="shared" si="43"/>
        <v>2045</v>
      </c>
      <c r="C110" s="401">
        <f>MAX(TREND(C88:C89,B88:B89,B110),0)</f>
        <v>759127</v>
      </c>
      <c r="D110" s="402">
        <f>MAX(TREND(D88:D89,B88:B89,B110),0)</f>
        <v>746881.25</v>
      </c>
      <c r="E110" s="401">
        <f>MAX(TREND(E88:E89,B88:B89,B110),0)</f>
        <v>20859.75</v>
      </c>
      <c r="F110" s="402">
        <f>MAX(TREND(F88:F89,B88:B89,B110),0)</f>
        <v>15841</v>
      </c>
      <c r="G110" s="401">
        <f>MAX(TREND(G88:G89,B88:B89,B110),0)</f>
        <v>0</v>
      </c>
      <c r="H110" s="402">
        <f>MAX(TREND(H88:H89,B88:B89,B110),0)</f>
        <v>0</v>
      </c>
      <c r="I110" s="401">
        <f>MAX(TREND(I88:I89,B88:B89,B110),0)</f>
        <v>0</v>
      </c>
      <c r="J110" s="402">
        <f>MAX(TREND(J88:J89,B88:B89,B110),0)</f>
        <v>0</v>
      </c>
      <c r="K110" s="435">
        <f>IFERROR(IF(INDEX(HwyTransitModelGroup,A82,1)=Hwy,MAX(5,ROUND(C110/E110,1)),MAX(5,ROUND(G110/I110,1))),55)</f>
        <v>36.4</v>
      </c>
      <c r="L110" s="436">
        <f>IFERROR(IF(INDEX(HwyTransitModelGroup,A82,1)=Hwy,MAX(5,ROUND(D110/F110,1)),MAX(5,ROUND(H110/J110,1))),55)</f>
        <v>47.1</v>
      </c>
      <c r="M110" s="405">
        <f>MIN(MAX(TREND(M88:M89,B88:B89,B110),0),1)</f>
        <v>0.24</v>
      </c>
      <c r="N110" s="406">
        <f>MIN(MAX(TREND(N88:N89,B88:B89,B110),0),1)</f>
        <v>0.24</v>
      </c>
      <c r="O110" s="401">
        <f>MAX(TREND(O88:O89,B88:B89,B110),0)</f>
        <v>0</v>
      </c>
      <c r="P110" s="402">
        <f>MAX(TREND(P88:P89,B88:B89,B110),0)</f>
        <v>0</v>
      </c>
      <c r="Q110" s="729">
        <f>IF(INDEX(HwyTransitModelGroup,A82,1)=Hwy,C110*(1-M110)*0.00000110231131*(VLOOKUP(K110,EmAuto20,2)*VLOOKUP(ProjLoc,EmCost,2)+VLOOKUP(K110,EmAuto20,3)*VLOOKUP(ProjLoc,EmCost,3)*(1+CO2Uprater)^($B110-YearCurrent)+VLOOKUP(K110,EmAuto20,4)*VLOOKUP(ProjLoc,EmCost,4)+VLOOKUP(K110,EmAuto20,5)*VLOOKUP(ProjLoc,EmCost,5)+VLOOKUP(K110,EmAuto20,6)*VLOOKUP(ProjLoc,EmCost,6)+VLOOKUP(K110,EmAuto20,7)*VLOOKUP(ProjLoc,EmCost,7))+C110*M110*0.00000110231131*(VLOOKUP(K110,EmTruck20,2)*VLOOKUP(ProjLoc,EmCost,2)+VLOOKUP(K110,EmTruck20,3)*VLOOKUP(ProjLoc,EmCost,3)*(1+CO2Uprater)^($B110-YearCurrent)+VLOOKUP(K110,EmTruck20,4)*VLOOKUP(ProjLoc,EmCost,4)+VLOOKUP(K110,EmTruck20,5)*VLOOKUP(ProjLoc,EmCost,5)+VLOOKUP(K110,EmTruck20,6)*VLOOKUP(ProjLoc,EmCost,6)+VLOOKUP(K110,EmTruck20,7)*VLOOKUP(ProjLoc,EmCost,7)),0)</f>
        <v>21476.438869850448</v>
      </c>
      <c r="R110" s="802">
        <f>IF(INDEX(HwyTransitModelGroup,A82,1)=Hwy,D110*(1-N110)*0.00000110231131*(VLOOKUP(L110,EmAuto20,2)*VLOOKUP(ProjLoc,EmCost,2)+VLOOKUP(L110,EmAuto20,3)*VLOOKUP(ProjLoc,EmCost,3)*(1+CO2Uprater)^($B110-YearCurrent)+VLOOKUP(L110,EmAuto20,4)*VLOOKUP(ProjLoc,EmCost,4)+VLOOKUP(L110,EmAuto20,5)*VLOOKUP(ProjLoc,EmCost,5)+VLOOKUP(L110,EmAuto20,6)*VLOOKUP(ProjLoc,EmCost,6)+VLOOKUP(L110,EmAuto20,7)*VLOOKUP(ProjLoc,EmCost,7))+D110*N110*0.00000110231131*(VLOOKUP(L110,EmTruck20,2)*VLOOKUP(ProjLoc,EmCost,2)+VLOOKUP(L110,EmTruck20,3)*VLOOKUP(ProjLoc,EmCost,3)*(1+CO2Uprater)^($B110-YearCurrent)+VLOOKUP(L110,EmTruck20,4)*VLOOKUP(ProjLoc,EmCost,4)+VLOOKUP(L110,EmTruck20,5)*VLOOKUP(ProjLoc,EmCost,5)+VLOOKUP(L110,EmTruck20,6)*VLOOKUP(ProjLoc,EmCost,6)+VLOOKUP(L110,EmTruck20,7)*VLOOKUP(ProjLoc,EmCost,7)),0)</f>
        <v>21111.76444805452</v>
      </c>
      <c r="S110" s="729">
        <f>IF(INDEX(HwyTransitModelGroup,A82,1)=Hwy,O110*(1-M110)*0.00000110231131*(VLOOKUP(0,EmAuto20,2)*VLOOKUP(ProjLoc,EmCost,2)+VLOOKUP(0,EmAuto20,3)*VLOOKUP(ProjLoc,EmCost,3)*(1+CO2Uprater)^($B110-YearCurrent)+VLOOKUP(0,EmAuto20,4)*VLOOKUP(ProjLoc,EmCost,4)+VLOOKUP(0,EmAuto20,5)*VLOOKUP(ProjLoc,EmCost,5)+VLOOKUP(0,EmAuto20,6)*VLOOKUP(ProjLoc,EmCost,6)+VLOOKUP(0,EmAuto20,7)*VLOOKUP(ProjLoc,EmCost,7))+O110*M110*0.00000110231131*(VLOOKUP(0,EmTruck20,2)*VLOOKUP(ProjLoc,EmCost,2)+VLOOKUP(0,EmTruck20,3)*VLOOKUP(ProjLoc,EmCost,3)*(1+CO2Uprater)^($B110-YearCurrent)+VLOOKUP(0,EmTruck20,4)*VLOOKUP(ProjLoc,EmCost,4)+VLOOKUP(0,EmTruck20,5)*VLOOKUP(ProjLoc,EmCost,5)+VLOOKUP(0,EmTruck20,6)*VLOOKUP(ProjLoc,EmCost,6)+VLOOKUP(0,EmTruck20,7)*VLOOKUP(ProjLoc,EmCost,7)),0)</f>
        <v>0</v>
      </c>
      <c r="T110" s="802">
        <f>IF(INDEX(HwyTransitModelGroup,A82,1)=Hwy,P110*(1-N110)*0.00000110231131*(VLOOKUP(0,EmAuto20,2)*VLOOKUP(ProjLoc,EmCost,2)+VLOOKUP(0,EmAuto20,3)*VLOOKUP(ProjLoc,EmCost,3)*(1+CO2Uprater)^($B110-YearCurrent)+VLOOKUP(0,EmAuto20,4)*VLOOKUP(ProjLoc,EmCost,4)+VLOOKUP(0,EmAuto20,5)*VLOOKUP(ProjLoc,EmCost,5)+VLOOKUP(0,EmAuto20,6)*VLOOKUP(ProjLoc,EmCost,6)+VLOOKUP(0,EmAuto20,7)*VLOOKUP(ProjLoc,EmCost,7))+P110*N110*0.00000110231131*(VLOOKUP(0,EmTruck20,2)*VLOOKUP(ProjLoc,EmCost,2)+VLOOKUP(0,EmTruck20,3)*VLOOKUP(ProjLoc,EmCost,3)*(1+CO2Uprater)^($B110-YearCurrent)+VLOOKUP(0,EmTruck20,4)*VLOOKUP(ProjLoc,EmCost,4)+VLOOKUP(0,EmTruck20,5)*VLOOKUP(ProjLoc,EmCost,5)+VLOOKUP(0,EmTruck20,6)*VLOOKUP(ProjLoc,EmCost,6)+VLOOKUP(0,EmTruck20,7)*VLOOKUP(ProjLoc,EmCost,7)),0)</f>
        <v>0</v>
      </c>
      <c r="U110" s="729">
        <f>IF(INDEX(HwyTransitModelGroup,A82,1)=PARAMETERS!$J$9,C110*0.00000110231131*(VLOOKUP(K110,EmBus20,2)*VLOOKUP(ProjLoc,EmCost,2)+VLOOKUP(K110,EmBus20,3)*VLOOKUP(ProjLoc,EmCost,3)*(1+CO2Uprater)^($B110-YearCurrent)+VLOOKUP(K110,EmBus20,4)*VLOOKUP(ProjLoc,EmCost,4)+VLOOKUP(K110,EmBus20,5)*VLOOKUP(ProjLoc,EmCost,5)+VLOOKUP(K110,EmBus20,6)*VLOOKUP(ProjLoc,EmCost,6)+VLOOKUP(K110,EmBus20,7)*VLOOKUP(ProjLoc,EmCost,7)),0)</f>
        <v>0</v>
      </c>
      <c r="V110" s="802">
        <f>IF(INDEX(HwyTransitModelGroup,A82,1)=PARAMETERS!$J$9,D110*0.00000110231131*(VLOOKUP(L110,EmBus20,2)*VLOOKUP(ProjLoc,EmCost,2)+VLOOKUP(L110,EmBus20,3)*VLOOKUP(ProjLoc,EmCost,3)*(1+CO2Uprater)^($B110-YearCurrent)+VLOOKUP(L110,EmBus20,4)*VLOOKUP(ProjLoc,EmCost,4)+VLOOKUP(L110,EmBus20,5)*VLOOKUP(ProjLoc,EmCost,5)+VLOOKUP(L110,EmBus20,6)*VLOOKUP(ProjLoc,EmCost,6)+VLOOKUP(L110,EmBus20,7)*VLOOKUP(ProjLoc,EmCost,7)),0)</f>
        <v>0</v>
      </c>
      <c r="W110" s="808">
        <f>IF(INDEX(HwyTransitModelGroup,A82,1)=PARAMETERS!$J$10,C110*0.00000110231131*(PARAMETERS!$CQ$29*VLOOKUP(ProjLoc,EmCost,2)+PARAMETERS!$CR$29*VLOOKUP(ProjLoc,EmCost,3)*(1+CO2Uprater)^($B110-YearCurrent)+PARAMETERS!$CS$29*VLOOKUP(ProjLoc,EmCost,4)+PARAMETERS!$CT$29*VLOOKUP(ProjLoc,EmCost,5)+PARAMETERS!$CU$29*VLOOKUP(ProjLoc,EmCost,6)+PARAMETERS!$CV$29*VLOOKUP(ProjLoc,EmCost,7)),0)</f>
        <v>0</v>
      </c>
      <c r="X110" s="844">
        <f>IF(INDEX(HwyTransitModelGroup,A82,1)=PARAMETERS!$J$10,D110*0.00000110231131*(PARAMETERS!$CQ$29*VLOOKUP(ProjLoc,EmCost,2)+PARAMETERS!$CR$29*VLOOKUP(ProjLoc,EmCost,3)*(1+CO2Uprater)^($B110-YearCurrent)+PARAMETERS!$CS$29*VLOOKUP(ProjLoc,EmCost,4)+PARAMETERS!$CT$29*VLOOKUP(ProjLoc,EmCost,5)+PARAMETERS!$CU$29*VLOOKUP(ProjLoc,EmCost,6)+PARAMETERS!$CV$29*VLOOKUP(ProjLoc,EmCost,7)),0)</f>
        <v>0</v>
      </c>
      <c r="Y110" s="808">
        <f>IF(INDEX(HwyTransitModelGroup,A82,1)=PARAMETERS!$J$11,C110*0.00000110231131*(PARAMETERS!$CQ$37*VLOOKUP(ProjLoc,EmCost,2)+PARAMETERS!$CR$37*VLOOKUP(ProjLoc,EmCost,3)*(1+CO2Uprater)^($B110-YearCurrent)+PARAMETERS!$CS$37*VLOOKUP(ProjLoc,EmCost,4)+PARAMETERS!$CT$37*VLOOKUP(ProjLoc,EmCost,5)+PARAMETERS!$CU$37*VLOOKUP(ProjLoc,EmCost,6)+PARAMETERS!$CV$37*VLOOKUP(ProjLoc,EmCost,7)),0)</f>
        <v>0</v>
      </c>
      <c r="Z110" s="844">
        <f>IF(INDEX(HwyTransitModelGroup,A82,1)=PARAMETERS!$J$11,D110*0.00000110231131*(PARAMETERS!$CQ$37*VLOOKUP(ProjLoc,EmCost,2)+PARAMETERS!$CR$37*VLOOKUP(ProjLoc,EmCost,3)*(1+CO2Uprater)^($B110-YearCurrent)+PARAMETERS!$CS$37*VLOOKUP(ProjLoc,EmCost,4)+PARAMETERS!$CT$37*VLOOKUP(ProjLoc,EmCost,5)+PARAMETERS!$CU$37*VLOOKUP(ProjLoc,EmCost,6)+PARAMETERS!$CV$37*VLOOKUP(ProjLoc,EmCost,7)),0)</f>
        <v>0</v>
      </c>
      <c r="AA110" s="369">
        <f t="shared" si="33"/>
        <v>364.67442179592763</v>
      </c>
      <c r="AB110" s="370">
        <f t="shared" si="34"/>
        <v>147.95801601008236</v>
      </c>
      <c r="AC110" s="371"/>
      <c r="AD110" s="401">
        <f>IF(INDEX(HwyTransitModelGroup,A82,1)=Hwy,0.00000110231131*(C110*(1-M110)*VLOOKUP(K110,EmAuto20,2)-D110*(1-N110)*VLOOKUP(L110,EmAuto20,2)+(O110*(1-M110)-P110*(1-N110))*VLOOKUP(0,EmAuto20,2))+0.00000110231131*(C110*M110*VLOOKUP(K110,EmTruck20,2)-D110*N110*VLOOKUP(L110,EmTruck20,2)+(O110*M110-P110*N110)*VLOOKUP(0,EmTruck20,2)),0)</f>
        <v>5.6948220782104687E-2</v>
      </c>
      <c r="AE110" s="863">
        <f>IF(INDEX(HwyTransitModelGroup,A82,1)=Hwy,0.00000110231131*(C110*(1-M110)*VLOOKUP(K110,EmAuto20,3)-D110*(1-N110)*VLOOKUP(L110,EmAuto20,3)+(O110*(1-M110)-P110*(1-N110))*VLOOKUP(0,EmAuto20,3))+0.00000110231131*(C110*M110*VLOOKUP(K110,EmTruck20,3)-D110*N110*VLOOKUP(L110,EmTruck20,3)+(O110*M110-P110*N110)*VLOOKUP(0,EmTruck20,3)),0)</f>
        <v>1.0257530721742836</v>
      </c>
      <c r="AF110" s="861">
        <f>IF(INDEX(HwyTransitModelGroup,A82,1)=Hwy,0.00000110231131*(C110*(1-M110)*VLOOKUP(K110,EmAuto20,4)-D110*(1-N110)*VLOOKUP(L110,EmAuto20,4)+(O110*(1-M110)-P110*(1-N110))*VLOOKUP(0,EmAuto20,4))+0.00000110231131*(C110*M110*VLOOKUP(K110,EmTruck20,4)-D110*N110*VLOOKUP(L110,EmTruck20,4)+(O110*M110-P110*N110)*VLOOKUP(0,EmTruck20,4)),0)</f>
        <v>2.1217057883776758E-2</v>
      </c>
      <c r="AG110" s="863">
        <f>IF(INDEX(HwyTransitModelGroup,A82,1)=Hwy,0.00000110231131*(C110*(1-M110)*VLOOKUP(K110,EmAuto20,5)-D110*(1-N110)*VLOOKUP(L110,EmAuto20,5)+(O110*(1-M110)-P110*(1-N110))*VLOOKUP(0,EmAuto20,5))+0.00000110231131*(C110*M110*VLOOKUP(K110,EmTruck20,5)-D110*N110*VLOOKUP(L110,EmTruck20,5)+(O110*M110-P110*N110)*VLOOKUP(0,EmTruck20,5)),0)</f>
        <v>-3.1517121392521592E-4</v>
      </c>
      <c r="AH110" s="861">
        <f>IF(INDEX(HwyTransitModelGroup,A82,1)=Hwy,0.00000110231131*(C110*(1-M110)*VLOOKUP(K110,EmAuto20,6)-D110*(1-N110)*VLOOKUP(L110,EmAuto20,6)+(O110*(1-M110)-P110*(1-N110))*VLOOKUP(0,EmAuto20,6))+0.00000110231131*(C110*M110*VLOOKUP(K110,EmTruck20,6)-D110*N110*VLOOKUP(L110,EmTruck20,6)+(O110*M110-P110*N110)*VLOOKUP(0,EmTruck20,6)),0)</f>
        <v>-4.2265634856078023E-5</v>
      </c>
      <c r="AI110" s="863">
        <f>IF(INDEX(HwyTransitModelGroup,A82,1)=Hwy,0.00000110231131*(C110*(1-M110)*VLOOKUP(K110,EmAuto20,7)-D110*(1-N110)*VLOOKUP(L110,EmAuto20,7)+(O110*(1-M110)-P110*(1-N110))*VLOOKUP(0,EmAuto20,7))+0.00000110231131*(C110*M110*VLOOKUP(K110,EmTruck20,7)-D110*N110*VLOOKUP(L110,EmTruck20,7)+(O110*M110-P110*N110)*VLOOKUP(0,EmTruck20,7)),0)</f>
        <v>1.2384671186795189E-3</v>
      </c>
      <c r="AJ110" s="861">
        <f>IF(INDEX(HwyTransitModelGroup,A82,1)=Hwy,0.00000110231131*(C110*(1-M110)*VLOOKUP(K110,EmAuto20,8)-D110*(1-N110)*VLOOKUP(L110,EmAuto20,8)+(O110*(1-M110)-P110*(1-N110))*VLOOKUP(0,EmAuto20,8))+0.00000110231131*(C110*M110*VLOOKUP(K110,EmTruck20,8)-D110*N110*VLOOKUP(L110,EmTruck20,8)+(O110*M110-P110*N110)*VLOOKUP(0,EmTruck20,8)),0)</f>
        <v>-3.5965641764034643E-4</v>
      </c>
      <c r="AK110" s="401">
        <f>IF(INDEX(HwyTransitModelGroup,A82,1)=PARAMETERS!$J$9,0.00000110231131*(C110*VLOOKUP(K110,EmBus20,2)-D110*VLOOKUP(L110,EmBus20,2)+(O110-P110)*VLOOKUP(0,EmBus20,2)),0)</f>
        <v>0</v>
      </c>
      <c r="AL110" s="863">
        <f>IF(INDEX(HwyTransitModelGroup,A82,1)=PARAMETERS!$J$9,0.00000110231131*(C110*VLOOKUP(K110,EmBus20,3)-D110*VLOOKUP(L110,EmBus20,3)+(O110-P110)*VLOOKUP(0,EmBus20,3)),0)</f>
        <v>0</v>
      </c>
      <c r="AM110" s="861">
        <f>IF(INDEX(HwyTransitModelGroup,A82,1)=PARAMETERS!$J$9,0.00000110231131*(C110*VLOOKUP(K110,EmBus20,4)-D110*VLOOKUP(L110,EmBus20,4)+(O110-P110)*VLOOKUP(0,EmBus20,4)),0)</f>
        <v>0</v>
      </c>
      <c r="AN110" s="863">
        <f>IF(INDEX(HwyTransitModelGroup,A82,1)=PARAMETERS!$J$9,0.00000110231131*(C110*VLOOKUP(K110,EmBus20,5)-D110*VLOOKUP(L110,EmBus20,5)+(O110-P110)*VLOOKUP(0,EmBus20,5)),0)</f>
        <v>0</v>
      </c>
      <c r="AO110" s="861">
        <f>IF(INDEX(HwyTransitModelGroup,A82,1)=PARAMETERS!$J$9,0.00000110231131*(C110*VLOOKUP(K110,EmBus20,6)-D110*VLOOKUP(L110,EmBus20,6)+(O110-P110)*VLOOKUP(0,EmBus20,6)),0)</f>
        <v>0</v>
      </c>
      <c r="AP110" s="863">
        <f>IF(INDEX(HwyTransitModelGroup,A82,1)=PARAMETERS!$J$9,0.00000110231131*(C110*VLOOKUP(K110,EmBus20,7)-D110*VLOOKUP(L110,EmBus20,7)+(O110-P110)*VLOOKUP(0,EmBus20,7)),0)</f>
        <v>0</v>
      </c>
      <c r="AQ110" s="861">
        <f>IF(INDEX(HwyTransitModelGroup,A82,1)=PARAMETERS!$J$9,0.00000110231131*(C110*VLOOKUP(K110,EmBus20,8)-D110*VLOOKUP(L110,EmBus20,8)+(O110-P110)*VLOOKUP(0,EmBus20,8)),0)</f>
        <v>0</v>
      </c>
      <c r="AR110" s="401">
        <f>IF(INDEX(HwyTransitModelGroup,A82,1)=PARAMETERS!$J$10,0.00000110231131*((C110-D110)*PARAMETERS!$CQ$29),0)</f>
        <v>0</v>
      </c>
      <c r="AS110" s="863">
        <f>IF(INDEX(HwyTransitModelGroup,A82,1)=PARAMETERS!$J$10,0.00000110231131*((C110-D110)*PARAMETERS!$CR$29),0)</f>
        <v>0</v>
      </c>
      <c r="AT110" s="861">
        <f>IF(INDEX(HwyTransitModelGroup,A82,1)=PARAMETERS!$J$10,0.00000110231131*((C110-D110)*PARAMETERS!$CS$29),0)</f>
        <v>0</v>
      </c>
      <c r="AU110" s="863">
        <f>IF(INDEX(HwyTransitModelGroup,A82,1)=PARAMETERS!$J$10,0.00000110231131*((C110-D110)*PARAMETERS!$CT$29),0)</f>
        <v>0</v>
      </c>
      <c r="AV110" s="861">
        <f>IF(INDEX(HwyTransitModelGroup,A82,1)=PARAMETERS!$J$10,0.00000110231131*((C110-D110)*PARAMETERS!$CU$29),0)</f>
        <v>0</v>
      </c>
      <c r="AW110" s="863">
        <f>IF(INDEX(HwyTransitModelGroup,A82,1)=PARAMETERS!$J$10,0.00000110231131*((C110-D110)*PARAMETERS!$CV$29),0)</f>
        <v>0</v>
      </c>
      <c r="AX110" s="861">
        <f>IF(INDEX(HwyTransitModelGroup,A82,1)=PARAMETERS!$J$10,0.00000110231131*((C110-D110)*PARAMETERS!$CW$29),0)</f>
        <v>0</v>
      </c>
      <c r="AY110" s="401">
        <f>IF(INDEX(HwyTransitModelGroup,A82,1)=PARAMETERS!$J$11,0.00000110231131*((C110-D110)*PARAMETERS!$CQ$37),0)</f>
        <v>0</v>
      </c>
      <c r="AZ110" s="863">
        <f>IF(INDEX(HwyTransitModelGroup,A82,1)=PARAMETERS!$J$11,0.00000110231131*((C110-D110)*PARAMETERS!$CR$37),0)</f>
        <v>0</v>
      </c>
      <c r="BA110" s="861">
        <f>IF(INDEX(HwyTransitModelGroup,A82,1)=PARAMETERS!$J$11,0.00000110231131*((C110-D110)*PARAMETERS!$CS$37),0)</f>
        <v>0</v>
      </c>
      <c r="BB110" s="863">
        <f>IF(INDEX(HwyTransitModelGroup,A82,1)=PARAMETERS!$J$11,0.00000110231131*((C110-D110)*PARAMETERS!$CT$37),0)</f>
        <v>0</v>
      </c>
      <c r="BC110" s="861">
        <f>IF(INDEX(HwyTransitModelGroup,A82,1)=PARAMETERS!$J$11,0.00000110231131*((C110-D110)*PARAMETERS!$CU$37),0)</f>
        <v>0</v>
      </c>
      <c r="BD110" s="863">
        <f>IF(INDEX(HwyTransitModelGroup,A82,1)=PARAMETERS!$J$11,0.00000110231131*((C110-D110)*PARAMETERS!$CV$37),0)</f>
        <v>0</v>
      </c>
      <c r="BE110" s="865">
        <f>IF(INDEX(HwyTransitModelGroup,A82,1)=PARAMETERS!$J$11,0.00000110231131*((C110-D110)*PARAMETERS!$CW$37),0)</f>
        <v>0</v>
      </c>
      <c r="BF110" s="729">
        <f t="shared" si="35"/>
        <v>1.8484314245520674</v>
      </c>
      <c r="BG110" s="867">
        <f t="shared" si="36"/>
        <v>31.500772948618927</v>
      </c>
      <c r="BH110" s="867">
        <f t="shared" si="37"/>
        <v>129.9856183945696</v>
      </c>
      <c r="BI110" s="867">
        <f t="shared" si="38"/>
        <v>-14.922809557909394</v>
      </c>
      <c r="BJ110" s="867">
        <f t="shared" si="39"/>
        <v>-1.0117485822750445</v>
      </c>
      <c r="BK110" s="869">
        <f t="shared" si="40"/>
        <v>0.55775138252623713</v>
      </c>
      <c r="BL110" s="392"/>
      <c r="BN110" s="375">
        <f t="shared" si="44"/>
        <v>2044</v>
      </c>
      <c r="BO110" s="871">
        <f t="shared" ca="1" si="41"/>
        <v>-32.465918534413738</v>
      </c>
      <c r="BP110" s="871">
        <f t="shared" ca="1" si="45"/>
        <v>-28.908144379461163</v>
      </c>
      <c r="BQ110" s="871">
        <f t="shared" ca="1" si="45"/>
        <v>1.0140282642525236</v>
      </c>
      <c r="BR110" s="871">
        <f t="shared" ca="1" si="45"/>
        <v>-56.645855432149688</v>
      </c>
      <c r="BS110" s="871">
        <f t="shared" ca="1" si="45"/>
        <v>1248.5431104886522</v>
      </c>
      <c r="BT110" s="871">
        <f t="shared" ca="1" si="45"/>
        <v>1434.673229326851</v>
      </c>
    </row>
    <row r="111" spans="2:72" x14ac:dyDescent="0.25">
      <c r="B111" s="385"/>
      <c r="C111" s="386"/>
      <c r="D111" s="386"/>
      <c r="E111" s="386"/>
      <c r="F111" s="386"/>
      <c r="G111" s="386"/>
      <c r="H111" s="386"/>
      <c r="I111" s="386"/>
      <c r="J111" s="386"/>
      <c r="K111" s="388"/>
      <c r="L111" s="388"/>
      <c r="M111" s="386"/>
      <c r="N111" s="386"/>
      <c r="O111" s="388"/>
      <c r="P111" s="388"/>
      <c r="Q111" s="388"/>
      <c r="R111" s="388"/>
      <c r="S111" s="388"/>
      <c r="T111" s="388"/>
      <c r="U111" s="388"/>
      <c r="V111" s="388"/>
      <c r="W111" s="388"/>
      <c r="X111" s="388"/>
      <c r="Y111" s="388"/>
      <c r="Z111" s="388"/>
      <c r="AA111" s="388"/>
      <c r="AB111" s="389"/>
      <c r="AC111" s="390"/>
      <c r="AD111" s="847"/>
      <c r="AE111" s="389"/>
      <c r="AF111" s="389"/>
      <c r="AG111" s="389"/>
      <c r="AH111" s="389"/>
      <c r="AI111" s="389"/>
      <c r="AJ111" s="848"/>
      <c r="AK111" s="390"/>
      <c r="AL111" s="390"/>
      <c r="AM111" s="390"/>
      <c r="AN111" s="390"/>
      <c r="AO111" s="390"/>
      <c r="AP111" s="390"/>
      <c r="AQ111" s="390"/>
      <c r="AR111" s="390"/>
      <c r="AS111" s="390"/>
      <c r="AT111" s="390"/>
      <c r="AU111" s="390"/>
      <c r="AV111" s="390"/>
      <c r="AW111" s="390"/>
      <c r="AX111" s="390"/>
      <c r="AY111" s="390"/>
      <c r="AZ111" s="390"/>
      <c r="BA111" s="390"/>
      <c r="BB111" s="390"/>
      <c r="BC111" s="390"/>
      <c r="BD111" s="390"/>
      <c r="BE111" s="390"/>
      <c r="BF111" s="390"/>
      <c r="BG111" s="390"/>
      <c r="BH111" s="390"/>
      <c r="BI111" s="390"/>
      <c r="BJ111" s="390"/>
      <c r="BK111" s="390"/>
      <c r="BL111" s="392"/>
      <c r="BN111" s="375">
        <f t="shared" si="44"/>
        <v>2045</v>
      </c>
      <c r="BO111" s="871">
        <f t="shared" ca="1" si="41"/>
        <v>-34.742909200379756</v>
      </c>
      <c r="BP111" s="871">
        <f t="shared" ca="1" si="45"/>
        <v>-29.319635181686266</v>
      </c>
      <c r="BQ111" s="871">
        <f t="shared" ca="1" si="45"/>
        <v>1.0257530721742836</v>
      </c>
      <c r="BR111" s="871">
        <f t="shared" ca="1" si="45"/>
        <v>-57.227358765444933</v>
      </c>
      <c r="BS111" s="871">
        <f t="shared" ca="1" si="45"/>
        <v>1283.3494427113947</v>
      </c>
      <c r="BT111" s="871">
        <f t="shared" ca="1" si="45"/>
        <v>1463.0093240852179</v>
      </c>
    </row>
    <row r="112" spans="2:72" x14ac:dyDescent="0.25">
      <c r="B112" s="407" t="s">
        <v>56</v>
      </c>
      <c r="C112" s="413"/>
      <c r="D112" s="414"/>
      <c r="E112" s="414"/>
      <c r="F112" s="414"/>
      <c r="G112" s="414"/>
      <c r="H112" s="414"/>
      <c r="I112" s="414"/>
      <c r="J112" s="414"/>
      <c r="K112" s="414"/>
      <c r="L112" s="414"/>
      <c r="M112" s="414"/>
      <c r="N112" s="414"/>
      <c r="O112" s="414"/>
      <c r="P112" s="414"/>
      <c r="Q112" s="414"/>
      <c r="R112" s="415"/>
      <c r="S112" s="414"/>
      <c r="T112" s="415"/>
      <c r="U112" s="415"/>
      <c r="V112" s="415"/>
      <c r="W112" s="415"/>
      <c r="X112" s="415"/>
      <c r="Y112" s="415"/>
      <c r="Z112" s="415"/>
      <c r="AA112" s="414"/>
      <c r="AB112" s="409">
        <f>SUM(AB91:AB110)</f>
        <v>7726.9230370960377</v>
      </c>
      <c r="AC112" s="416"/>
      <c r="AD112" s="438">
        <f t="shared" ref="AD112:BK112" si="46">SUM(AD91:AD110)</f>
        <v>1.1820037457880765</v>
      </c>
      <c r="AE112" s="699">
        <f t="shared" si="46"/>
        <v>98.929988622022208</v>
      </c>
      <c r="AF112" s="699">
        <f t="shared" si="46"/>
        <v>0.40651195038371485</v>
      </c>
      <c r="AG112" s="699">
        <f t="shared" si="46"/>
        <v>-2.7157090064522109E-3</v>
      </c>
      <c r="AH112" s="699">
        <f t="shared" si="46"/>
        <v>2.4240592033723178E-4</v>
      </c>
      <c r="AI112" s="699">
        <f t="shared" si="46"/>
        <v>3.4358611627287143E-2</v>
      </c>
      <c r="AJ112" s="700">
        <f t="shared" si="46"/>
        <v>-3.304319789909845E-3</v>
      </c>
      <c r="AK112" s="438">
        <f t="shared" si="46"/>
        <v>0</v>
      </c>
      <c r="AL112" s="699">
        <f t="shared" si="46"/>
        <v>0</v>
      </c>
      <c r="AM112" s="699">
        <f t="shared" si="46"/>
        <v>0</v>
      </c>
      <c r="AN112" s="699">
        <f t="shared" si="46"/>
        <v>0</v>
      </c>
      <c r="AO112" s="699">
        <f t="shared" si="46"/>
        <v>0</v>
      </c>
      <c r="AP112" s="699">
        <f t="shared" si="46"/>
        <v>0</v>
      </c>
      <c r="AQ112" s="700">
        <f t="shared" si="46"/>
        <v>0</v>
      </c>
      <c r="AR112" s="438">
        <f t="shared" si="46"/>
        <v>0</v>
      </c>
      <c r="AS112" s="699">
        <f t="shared" si="46"/>
        <v>0</v>
      </c>
      <c r="AT112" s="699">
        <f t="shared" si="46"/>
        <v>0</v>
      </c>
      <c r="AU112" s="699">
        <f t="shared" si="46"/>
        <v>0</v>
      </c>
      <c r="AV112" s="699">
        <f t="shared" si="46"/>
        <v>0</v>
      </c>
      <c r="AW112" s="699">
        <f t="shared" si="46"/>
        <v>0</v>
      </c>
      <c r="AX112" s="700">
        <f t="shared" si="46"/>
        <v>0</v>
      </c>
      <c r="AY112" s="438">
        <f t="shared" si="46"/>
        <v>0</v>
      </c>
      <c r="AZ112" s="699">
        <f t="shared" si="46"/>
        <v>0</v>
      </c>
      <c r="BA112" s="699">
        <f t="shared" si="46"/>
        <v>0</v>
      </c>
      <c r="BB112" s="699">
        <f t="shared" si="46"/>
        <v>0</v>
      </c>
      <c r="BC112" s="699">
        <f t="shared" si="46"/>
        <v>0</v>
      </c>
      <c r="BD112" s="699">
        <f t="shared" si="46"/>
        <v>0</v>
      </c>
      <c r="BE112" s="700">
        <f t="shared" si="46"/>
        <v>0</v>
      </c>
      <c r="BF112" s="704">
        <f t="shared" si="46"/>
        <v>58.432234725258205</v>
      </c>
      <c r="BG112" s="705">
        <f t="shared" si="46"/>
        <v>4035.1148584461071</v>
      </c>
      <c r="BH112" s="705">
        <f t="shared" si="46"/>
        <v>3723.4473499365422</v>
      </c>
      <c r="BI112" s="705">
        <f t="shared" si="46"/>
        <v>-133.14849348334639</v>
      </c>
      <c r="BJ112" s="705">
        <f t="shared" si="46"/>
        <v>18.161244879772408</v>
      </c>
      <c r="BK112" s="439">
        <f t="shared" si="46"/>
        <v>24.915842591707204</v>
      </c>
      <c r="BL112" s="392"/>
      <c r="BN112" s="385"/>
      <c r="BO112" s="389"/>
      <c r="BP112" s="389"/>
      <c r="BQ112" s="389"/>
      <c r="BR112" s="389"/>
      <c r="BS112" s="389"/>
      <c r="BT112" s="389"/>
    </row>
    <row r="113" spans="1:72" x14ac:dyDescent="0.25">
      <c r="B113" s="2"/>
      <c r="C113" s="418"/>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I113" s="2"/>
      <c r="BJ113" s="418"/>
      <c r="BK113" s="418"/>
      <c r="BL113" s="392"/>
      <c r="BN113" s="407" t="s">
        <v>56</v>
      </c>
      <c r="BO113" s="411">
        <f t="shared" ref="BO113:BT113" ca="1" si="47">SUM(BO92:BO111)</f>
        <v>-229.80883459130339</v>
      </c>
      <c r="BP113" s="411">
        <f t="shared" ca="1" si="47"/>
        <v>-389.0016095113765</v>
      </c>
      <c r="BQ113" s="411">
        <f t="shared" ca="1" si="47"/>
        <v>98.929988622022208</v>
      </c>
      <c r="BR113" s="411">
        <f t="shared" ca="1" si="47"/>
        <v>-838.43867448878802</v>
      </c>
      <c r="BS113" s="411">
        <f t="shared" ca="1" si="47"/>
        <v>20573.702466628256</v>
      </c>
      <c r="BT113" s="411">
        <f t="shared" ca="1" si="47"/>
        <v>25988.738467351915</v>
      </c>
    </row>
    <row r="114" spans="1:72" x14ac:dyDescent="0.25">
      <c r="A114" s="1">
        <f>MAX($A$1:A113)+1</f>
        <v>4</v>
      </c>
      <c r="B114" s="319" t="str">
        <f>IF(ISBLANK(INDEX(ModelGroup,A114,1)),"Not Used",INDEX(ModelGroup,A114,1))</f>
        <v>NB On-ramp from Ave 280</v>
      </c>
      <c r="C114" s="2"/>
      <c r="D114" s="2"/>
      <c r="E114" s="2"/>
      <c r="F114" s="2"/>
      <c r="G114" s="2"/>
      <c r="H114" s="2"/>
      <c r="I114" s="2"/>
      <c r="J114" s="2"/>
      <c r="K114" s="2"/>
      <c r="L114" s="2"/>
      <c r="M114" s="2"/>
      <c r="N114" s="2"/>
      <c r="O114" s="2"/>
      <c r="P114" s="320"/>
      <c r="Q114" s="320"/>
      <c r="R114" s="2"/>
      <c r="S114" s="320"/>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I114" s="319"/>
      <c r="BJ114" s="2"/>
      <c r="BK114" s="2"/>
      <c r="BL114" s="392"/>
    </row>
    <row r="115" spans="1:72" ht="15.75" x14ac:dyDescent="0.25">
      <c r="B115" s="2"/>
      <c r="C115" s="2"/>
      <c r="D115" s="321"/>
      <c r="E115" s="321"/>
      <c r="F115" s="321"/>
      <c r="G115" s="321"/>
      <c r="H115" s="321"/>
      <c r="I115" s="321"/>
      <c r="J115" s="321"/>
      <c r="K115" s="321"/>
      <c r="L115" s="321"/>
      <c r="M115" s="321"/>
      <c r="N115" s="321"/>
      <c r="O115" s="2"/>
      <c r="P115" s="320"/>
      <c r="Q115" s="1788" t="s">
        <v>327</v>
      </c>
      <c r="R115" s="1789"/>
      <c r="S115" s="1789"/>
      <c r="T115" s="1790"/>
      <c r="U115" s="1788" t="s">
        <v>328</v>
      </c>
      <c r="V115" s="1789"/>
      <c r="W115" s="1788" t="s">
        <v>329</v>
      </c>
      <c r="X115" s="1790"/>
      <c r="Y115" s="1788" t="s">
        <v>330</v>
      </c>
      <c r="Z115" s="1790"/>
      <c r="AA115" s="2"/>
      <c r="AB115" s="149"/>
      <c r="AC115" s="149"/>
      <c r="AD115" s="1791" t="s">
        <v>327</v>
      </c>
      <c r="AE115" s="1792"/>
      <c r="AF115" s="1792"/>
      <c r="AG115" s="1792"/>
      <c r="AH115" s="1792"/>
      <c r="AI115" s="1792"/>
      <c r="AJ115" s="1793"/>
      <c r="AK115" s="1791" t="s">
        <v>328</v>
      </c>
      <c r="AL115" s="1792"/>
      <c r="AM115" s="1792"/>
      <c r="AN115" s="1792"/>
      <c r="AO115" s="1792"/>
      <c r="AP115" s="1792"/>
      <c r="AQ115" s="1793"/>
      <c r="AR115" s="1791" t="s">
        <v>329</v>
      </c>
      <c r="AS115" s="1792"/>
      <c r="AT115" s="1792"/>
      <c r="AU115" s="1792"/>
      <c r="AV115" s="1792"/>
      <c r="AW115" s="1792"/>
      <c r="AX115" s="1793"/>
      <c r="AY115" s="1791" t="s">
        <v>330</v>
      </c>
      <c r="AZ115" s="1792"/>
      <c r="BA115" s="1792"/>
      <c r="BB115" s="1792"/>
      <c r="BC115" s="1792"/>
      <c r="BD115" s="1792"/>
      <c r="BE115" s="1793"/>
      <c r="BF115" s="149"/>
      <c r="BG115" s="149"/>
      <c r="BI115" s="2"/>
      <c r="BJ115" s="2"/>
      <c r="BK115" s="321"/>
      <c r="BL115" s="392"/>
    </row>
    <row r="116" spans="1:72" ht="15.75" x14ac:dyDescent="0.25">
      <c r="B116" s="322"/>
      <c r="C116" s="325" t="s">
        <v>271</v>
      </c>
      <c r="D116" s="326"/>
      <c r="E116" s="325" t="s">
        <v>190</v>
      </c>
      <c r="F116" s="326"/>
      <c r="G116" s="325" t="s">
        <v>331</v>
      </c>
      <c r="H116" s="326"/>
      <c r="I116" s="325" t="s">
        <v>193</v>
      </c>
      <c r="J116" s="326"/>
      <c r="K116" s="323" t="s">
        <v>272</v>
      </c>
      <c r="L116" s="427"/>
      <c r="M116" s="325" t="s">
        <v>192</v>
      </c>
      <c r="N116" s="326"/>
      <c r="O116" s="323" t="s">
        <v>332</v>
      </c>
      <c r="P116" s="324"/>
      <c r="Q116" s="327" t="s">
        <v>333</v>
      </c>
      <c r="R116" s="328"/>
      <c r="S116" s="327" t="s">
        <v>334</v>
      </c>
      <c r="T116" s="328"/>
      <c r="U116" s="327" t="s">
        <v>333</v>
      </c>
      <c r="V116" s="328"/>
      <c r="W116" s="327" t="s">
        <v>335</v>
      </c>
      <c r="X116" s="328"/>
      <c r="Y116" s="323" t="s">
        <v>335</v>
      </c>
      <c r="Z116" s="323"/>
      <c r="AA116" s="329"/>
      <c r="AB116" s="330"/>
      <c r="AC116" s="2"/>
      <c r="AD116" s="680" t="s">
        <v>336</v>
      </c>
      <c r="AE116" s="680"/>
      <c r="AF116" s="681"/>
      <c r="AG116" s="681"/>
      <c r="AH116" s="681"/>
      <c r="AI116" s="681"/>
      <c r="AJ116" s="683"/>
      <c r="AK116" s="852" t="s">
        <v>336</v>
      </c>
      <c r="AL116" s="681"/>
      <c r="AM116" s="681"/>
      <c r="AN116" s="681"/>
      <c r="AO116" s="681"/>
      <c r="AP116" s="681"/>
      <c r="AQ116" s="683"/>
      <c r="AR116" s="852" t="s">
        <v>336</v>
      </c>
      <c r="AS116" s="681"/>
      <c r="AT116" s="681"/>
      <c r="AU116" s="681"/>
      <c r="AV116" s="681"/>
      <c r="AW116" s="681"/>
      <c r="AX116" s="683"/>
      <c r="AY116" s="852" t="s">
        <v>336</v>
      </c>
      <c r="AZ116" s="681"/>
      <c r="BA116" s="681"/>
      <c r="BB116" s="681"/>
      <c r="BC116" s="681"/>
      <c r="BD116" s="681"/>
      <c r="BE116" s="683"/>
      <c r="BF116" s="849" t="s">
        <v>337</v>
      </c>
      <c r="BG116" s="682"/>
      <c r="BH116" s="681"/>
      <c r="BI116" s="681"/>
      <c r="BJ116" s="681"/>
      <c r="BK116" s="683"/>
      <c r="BL116" s="392"/>
    </row>
    <row r="117" spans="1:72" ht="21" x14ac:dyDescent="0.35">
      <c r="B117" s="335"/>
      <c r="C117" s="338" t="s">
        <v>274</v>
      </c>
      <c r="D117" s="339"/>
      <c r="E117" s="338" t="s">
        <v>275</v>
      </c>
      <c r="F117" s="339"/>
      <c r="G117" s="338" t="s">
        <v>338</v>
      </c>
      <c r="H117" s="339"/>
      <c r="I117" s="338" t="s">
        <v>339</v>
      </c>
      <c r="J117" s="339"/>
      <c r="K117" s="336" t="s">
        <v>276</v>
      </c>
      <c r="L117" s="428"/>
      <c r="M117" s="338" t="s">
        <v>277</v>
      </c>
      <c r="N117" s="339"/>
      <c r="O117" s="336" t="s">
        <v>340</v>
      </c>
      <c r="P117" s="337"/>
      <c r="Q117" s="340" t="s">
        <v>203</v>
      </c>
      <c r="R117" s="341"/>
      <c r="S117" s="340" t="s">
        <v>203</v>
      </c>
      <c r="T117" s="341"/>
      <c r="U117" s="340" t="s">
        <v>203</v>
      </c>
      <c r="V117" s="341"/>
      <c r="W117" s="340" t="s">
        <v>203</v>
      </c>
      <c r="X117" s="341"/>
      <c r="Y117" s="336" t="s">
        <v>203</v>
      </c>
      <c r="Z117" s="336"/>
      <c r="AA117" s="342"/>
      <c r="AB117" s="343"/>
      <c r="AC117" s="2"/>
      <c r="AD117" s="684" t="s">
        <v>341</v>
      </c>
      <c r="AE117" s="684"/>
      <c r="AF117" s="685"/>
      <c r="AG117" s="685"/>
      <c r="AH117" s="685"/>
      <c r="AI117" s="685"/>
      <c r="AJ117" s="686"/>
      <c r="AK117" s="684" t="s">
        <v>341</v>
      </c>
      <c r="AL117" s="685"/>
      <c r="AM117" s="685"/>
      <c r="AN117" s="685"/>
      <c r="AO117" s="685"/>
      <c r="AP117" s="685"/>
      <c r="AQ117" s="686"/>
      <c r="AR117" s="684" t="s">
        <v>341</v>
      </c>
      <c r="AS117" s="685"/>
      <c r="AT117" s="685"/>
      <c r="AU117" s="685"/>
      <c r="AV117" s="685"/>
      <c r="AW117" s="685"/>
      <c r="AX117" s="686"/>
      <c r="AY117" s="684" t="s">
        <v>341</v>
      </c>
      <c r="AZ117" s="685"/>
      <c r="BA117" s="685"/>
      <c r="BB117" s="685"/>
      <c r="BC117" s="685"/>
      <c r="BD117" s="685"/>
      <c r="BE117" s="686"/>
      <c r="BF117" s="685" t="s">
        <v>342</v>
      </c>
      <c r="BG117" s="687"/>
      <c r="BH117" s="688"/>
      <c r="BI117" s="688"/>
      <c r="BJ117" s="688"/>
      <c r="BK117" s="687"/>
      <c r="BL117" s="392"/>
      <c r="BN117" s="316" t="s">
        <v>353</v>
      </c>
    </row>
    <row r="118" spans="1:72" x14ac:dyDescent="0.25">
      <c r="B118" s="77" t="s">
        <v>34</v>
      </c>
      <c r="C118" s="348"/>
      <c r="D118" s="349"/>
      <c r="E118" s="348"/>
      <c r="F118" s="349"/>
      <c r="G118" s="348"/>
      <c r="H118" s="349"/>
      <c r="I118" s="348"/>
      <c r="J118" s="349"/>
      <c r="K118" s="348"/>
      <c r="L118" s="349"/>
      <c r="M118" s="348"/>
      <c r="N118" s="349"/>
      <c r="O118" s="348"/>
      <c r="P118" s="349"/>
      <c r="Q118" s="348"/>
      <c r="R118" s="349"/>
      <c r="S118" s="348"/>
      <c r="T118" s="349"/>
      <c r="U118" s="348"/>
      <c r="V118" s="349"/>
      <c r="W118" s="723"/>
      <c r="X118" s="349"/>
      <c r="Y118" s="723"/>
      <c r="Z118" s="349"/>
      <c r="AA118" s="351" t="s">
        <v>208</v>
      </c>
      <c r="AB118" s="347" t="s">
        <v>39</v>
      </c>
      <c r="AC118" s="352"/>
      <c r="AD118" s="689"/>
      <c r="AE118" s="690"/>
      <c r="AF118" s="690"/>
      <c r="AG118" s="690"/>
      <c r="AH118" s="690"/>
      <c r="AI118" s="690"/>
      <c r="AJ118" s="692"/>
      <c r="AK118" s="689"/>
      <c r="AL118" s="690"/>
      <c r="AM118" s="690"/>
      <c r="AN118" s="690"/>
      <c r="AO118" s="690"/>
      <c r="AP118" s="690"/>
      <c r="AQ118" s="692"/>
      <c r="AR118" s="689"/>
      <c r="AS118" s="690"/>
      <c r="AT118" s="690"/>
      <c r="AU118" s="690"/>
      <c r="AV118" s="690"/>
      <c r="AW118" s="690"/>
      <c r="AX118" s="692"/>
      <c r="AY118" s="689"/>
      <c r="AZ118" s="690"/>
      <c r="BA118" s="690"/>
      <c r="BB118" s="690"/>
      <c r="BC118" s="690"/>
      <c r="BD118" s="690"/>
      <c r="BE118" s="692"/>
      <c r="BF118" s="850"/>
      <c r="BG118" s="690"/>
      <c r="BH118" s="690"/>
      <c r="BI118" s="690"/>
      <c r="BJ118" s="690"/>
      <c r="BK118" s="692"/>
      <c r="BL118" s="392"/>
      <c r="BN118" s="2"/>
      <c r="BO118" s="310"/>
      <c r="BP118" s="310"/>
      <c r="BQ118" s="310"/>
      <c r="BR118" s="310"/>
      <c r="BS118" s="310"/>
      <c r="BT118" s="310"/>
    </row>
    <row r="119" spans="1:72" ht="16.5" x14ac:dyDescent="0.25">
      <c r="B119" s="355"/>
      <c r="C119" s="356" t="s">
        <v>74</v>
      </c>
      <c r="D119" s="357" t="s">
        <v>125</v>
      </c>
      <c r="E119" s="356" t="s">
        <v>74</v>
      </c>
      <c r="F119" s="357" t="s">
        <v>125</v>
      </c>
      <c r="G119" s="356" t="s">
        <v>74</v>
      </c>
      <c r="H119" s="357" t="s">
        <v>125</v>
      </c>
      <c r="I119" s="356" t="s">
        <v>74</v>
      </c>
      <c r="J119" s="357" t="s">
        <v>125</v>
      </c>
      <c r="K119" s="356" t="s">
        <v>74</v>
      </c>
      <c r="L119" s="357" t="s">
        <v>125</v>
      </c>
      <c r="M119" s="356" t="s">
        <v>74</v>
      </c>
      <c r="N119" s="357" t="s">
        <v>125</v>
      </c>
      <c r="O119" s="356" t="s">
        <v>74</v>
      </c>
      <c r="P119" s="357" t="s">
        <v>125</v>
      </c>
      <c r="Q119" s="356" t="s">
        <v>74</v>
      </c>
      <c r="R119" s="357" t="s">
        <v>125</v>
      </c>
      <c r="S119" s="356" t="s">
        <v>74</v>
      </c>
      <c r="T119" s="357" t="s">
        <v>125</v>
      </c>
      <c r="U119" s="356" t="s">
        <v>74</v>
      </c>
      <c r="V119" s="357" t="s">
        <v>125</v>
      </c>
      <c r="W119" s="724" t="s">
        <v>74</v>
      </c>
      <c r="X119" s="357" t="s">
        <v>125</v>
      </c>
      <c r="Y119" s="724" t="s">
        <v>74</v>
      </c>
      <c r="Z119" s="357" t="s">
        <v>125</v>
      </c>
      <c r="AA119" s="359" t="s">
        <v>48</v>
      </c>
      <c r="AB119" s="360" t="s">
        <v>49</v>
      </c>
      <c r="AC119" s="352"/>
      <c r="AD119" s="693" t="s">
        <v>344</v>
      </c>
      <c r="AE119" s="694" t="s">
        <v>345</v>
      </c>
      <c r="AF119" s="694" t="s">
        <v>346</v>
      </c>
      <c r="AG119" s="694" t="s">
        <v>347</v>
      </c>
      <c r="AH119" s="694" t="s">
        <v>348</v>
      </c>
      <c r="AI119" s="694" t="s">
        <v>349</v>
      </c>
      <c r="AJ119" s="696" t="s">
        <v>350</v>
      </c>
      <c r="AK119" s="693" t="s">
        <v>344</v>
      </c>
      <c r="AL119" s="694" t="s">
        <v>345</v>
      </c>
      <c r="AM119" s="694" t="s">
        <v>346</v>
      </c>
      <c r="AN119" s="694" t="s">
        <v>347</v>
      </c>
      <c r="AO119" s="694" t="s">
        <v>348</v>
      </c>
      <c r="AP119" s="694" t="s">
        <v>349</v>
      </c>
      <c r="AQ119" s="696" t="s">
        <v>350</v>
      </c>
      <c r="AR119" s="693" t="s">
        <v>344</v>
      </c>
      <c r="AS119" s="694" t="s">
        <v>345</v>
      </c>
      <c r="AT119" s="694" t="s">
        <v>346</v>
      </c>
      <c r="AU119" s="694" t="s">
        <v>347</v>
      </c>
      <c r="AV119" s="694" t="s">
        <v>348</v>
      </c>
      <c r="AW119" s="694" t="s">
        <v>349</v>
      </c>
      <c r="AX119" s="696" t="s">
        <v>350</v>
      </c>
      <c r="AY119" s="693" t="s">
        <v>344</v>
      </c>
      <c r="AZ119" s="694" t="s">
        <v>345</v>
      </c>
      <c r="BA119" s="694" t="s">
        <v>346</v>
      </c>
      <c r="BB119" s="694" t="s">
        <v>347</v>
      </c>
      <c r="BC119" s="694" t="s">
        <v>348</v>
      </c>
      <c r="BD119" s="694" t="s">
        <v>349</v>
      </c>
      <c r="BE119" s="696" t="s">
        <v>350</v>
      </c>
      <c r="BF119" s="851" t="s">
        <v>344</v>
      </c>
      <c r="BG119" s="694" t="s">
        <v>345</v>
      </c>
      <c r="BH119" s="694" t="s">
        <v>346</v>
      </c>
      <c r="BI119" s="694" t="s">
        <v>347</v>
      </c>
      <c r="BJ119" s="694" t="s">
        <v>348</v>
      </c>
      <c r="BK119" s="696" t="s">
        <v>349</v>
      </c>
      <c r="BL119" s="392"/>
    </row>
    <row r="120" spans="1:72" x14ac:dyDescent="0.25">
      <c r="B120" s="363">
        <f>YearFirst</f>
        <v>2026</v>
      </c>
      <c r="C120" s="364">
        <f>INDEX(ModelData1NB,A114,2)*AnnualFactor</f>
        <v>917245</v>
      </c>
      <c r="D120" s="365">
        <f>INDEX(ModelData1B,A114,2)*AnnualFactor</f>
        <v>756280</v>
      </c>
      <c r="E120" s="364">
        <f>IF(INDEX(HwyTransitModelGroup,A114,1)=Hwy,INDEX(ModelData1NB,A114,3),0)*AnnualFactor</f>
        <v>21170</v>
      </c>
      <c r="F120" s="365">
        <f>IF(INDEX(HwyTransitModelGroup,A114,1)=Hwy,INDEX(ModelData1B,A114,3),0)*AnnualFactor</f>
        <v>9855</v>
      </c>
      <c r="G120" s="364">
        <f>IF(INDEX(HwyTransitModelGroup,A114,1)&lt;&gt;Hwy,INDEX(ModelData1NB,A114,4),0)*AnnualFactor</f>
        <v>0</v>
      </c>
      <c r="H120" s="365">
        <f>IF(INDEX(HwyTransitModelGroup,A114,1)&lt;&gt;Hwy,INDEX(ModelData1B,A114,4),0)*AnnualFactor</f>
        <v>0</v>
      </c>
      <c r="I120" s="364">
        <f>IF(INDEX(HwyTransitModelGroup,A114,1)&lt;&gt;Hwy,INDEX(ModelData1NB,A114,5),0)*AnnualFactor</f>
        <v>0</v>
      </c>
      <c r="J120" s="365">
        <f>IF(INDEX(HwyTransitModelGroup,A114,1)&lt;&gt;Hwy,INDEX(ModelData1B,A114,5),0)*AnnualFactor</f>
        <v>0</v>
      </c>
      <c r="K120" s="429">
        <f>IFERROR(IF(INDEX(HwyTransitModelGroup,A114,1)=Hwy,MAX(5,ROUND(C120/E120,1)),MAX(5,ROUND(G120/I120,1))),55)</f>
        <v>43.3</v>
      </c>
      <c r="L120" s="430">
        <f>IFERROR(IF(INDEX(HwyTransitModelGroup,A114,1)=Hwy,MAX(5,ROUND(D120/F120,1)),MAX(5,ROUND(H120/J120,1))),55)</f>
        <v>76.7</v>
      </c>
      <c r="M120" s="803">
        <f>IF(INDEX(HwyTransitModelGroup,A114,1)=Hwy,INDEX(ModelData1NB,A114,9),0)</f>
        <v>0.24</v>
      </c>
      <c r="N120" s="804">
        <f>IF(INDEX(HwyTransitModelGroup,A114,1)=Hwy,INDEX(ModelData1B,A114,9),0)</f>
        <v>0.24</v>
      </c>
      <c r="O120" s="364">
        <f>IF(OR(INDEX(ModelData1NB,A114,8)=0,INDEX(HwyTransitModelGroup,A114,1)&lt;&gt;Hwy),0,INDEX(ModelData1NB,A114,1)*AnnualFactor/INDEX(ModelData1NB,A114,8))</f>
        <v>0</v>
      </c>
      <c r="P120" s="365">
        <f>IF(OR(INDEX(ModelData1B,A114,8)=0,INDEX(HwyTransitModelGroup,A114,1)&lt;&gt;Hwy),0,INDEX(ModelData1B,A114,1)*AnnualFactor/INDEX(ModelData1B,A114,8))</f>
        <v>0</v>
      </c>
      <c r="Q120" s="808">
        <f>IF(INDEX(HwyTransitModelGroup,A114,1)=Hwy,C120*(1-M120)*0.00000110231131*(VLOOKUP(K120,EmAuto1,2)*VLOOKUP(ProjLoc,EmCost,2)+VLOOKUP(K120,EmAuto1,3)*VLOOKUP(ProjLoc,EmCost,3)*(1+CO2Uprater)^($B120-YearCurrent)+VLOOKUP(K120,EmAuto1,4)*VLOOKUP(ProjLoc,EmCost,4)+VLOOKUP(K120,EmAuto1,5)*VLOOKUP(ProjLoc,EmCost,5)+VLOOKUP(K120,EmAuto1,6)*VLOOKUP(ProjLoc,EmCost,6)+VLOOKUP(K120,EmAuto1,7)*VLOOKUP(ProjLoc,EmCost,7))+C120*M120*0.00000110231131*(VLOOKUP(K120,EmTruck1,2)*VLOOKUP(ProjLoc,EmCost,2)+VLOOKUP(K120,EmTruck1,3)*VLOOKUP(ProjLoc,EmCost,3)*(1+CO2Uprater)^($B120-YearCurrent)+VLOOKUP(K120,EmTruck1,4)*VLOOKUP(ProjLoc,EmCost,4)+VLOOKUP(K120,EmTruck1,5)*VLOOKUP(ProjLoc,EmCost,5)+VLOOKUP(K120,EmTruck1,6)*VLOOKUP(ProjLoc,EmCost,6)+VLOOKUP(K120,EmTruck1,7)*VLOOKUP(ProjLoc,EmCost,7)),0)</f>
        <v>29033.02284751246</v>
      </c>
      <c r="R120" s="844">
        <f>IF(INDEX(HwyTransitModelGroup,A114,1)=Hwy,D120*(1-N120)*0.00000110231131*(VLOOKUP(L120,EmAuto1,2)*VLOOKUP(ProjLoc,EmCost,2)+VLOOKUP(L120,EmAuto1,3)*VLOOKUP(ProjLoc,EmCost,3)*(1+CO2Uprater)^($B120-YearCurrent)+VLOOKUP(L120,EmAuto1,4)*VLOOKUP(ProjLoc,EmCost,4)+VLOOKUP(L120,EmAuto1,5)*VLOOKUP(ProjLoc,EmCost,5)+VLOOKUP(L120,EmAuto1,6)*VLOOKUP(ProjLoc,EmCost,6)+VLOOKUP(L120,EmAuto1,7)*VLOOKUP(ProjLoc,EmCost,7))+D120*N120*0.00000110231131*(VLOOKUP(L120,EmTruck1,2)*VLOOKUP(ProjLoc,EmCost,2)+VLOOKUP(L120,EmTruck1,3)*VLOOKUP(ProjLoc,EmCost,3)*(1+CO2Uprater)^($B120-YearCurrent)+VLOOKUP(L120,EmTruck1,4)*VLOOKUP(ProjLoc,EmCost,4)+VLOOKUP(L120,EmTruck1,5)*VLOOKUP(ProjLoc,EmCost,5)+VLOOKUP(L120,EmTruck1,6)*VLOOKUP(ProjLoc,EmCost,6)+VLOOKUP(L120,EmTruck1,7)*VLOOKUP(ProjLoc,EmCost,7)),0)</f>
        <v>30655.91162277259</v>
      </c>
      <c r="S120" s="808">
        <f>IF(INDEX(HwyTransitModelGroup,A114,1)=Hwy,O120*(1-M120)*0.00000110231131*(VLOOKUP(0,EmAuto1,2)*VLOOKUP(ProjLoc,EmCost,2)+VLOOKUP(0,EmAuto1,3)*VLOOKUP(ProjLoc,EmCost,3)*(1+CO2Uprater)^($B120-YearCurrent)+VLOOKUP(0,EmAuto1,4)*VLOOKUP(ProjLoc,EmCost,4)+VLOOKUP(0,EmAuto1,5)*VLOOKUP(ProjLoc,EmCost,5)+VLOOKUP(0,EmAuto1,6)*VLOOKUP(ProjLoc,EmCost,6)+VLOOKUP(0,EmAuto1,7)*VLOOKUP(ProjLoc,EmCost,7))+O120*M120*0.00000110231131*(VLOOKUP(0,EmTruck1,2)*VLOOKUP(ProjLoc,EmCost,2)+VLOOKUP(0,EmTruck1,3)*VLOOKUP(ProjLoc,EmCost,3)*(1+CO2Uprater)^($B120-YearCurrent)+VLOOKUP(0,EmTruck1,4)*VLOOKUP(ProjLoc,EmCost,4)+VLOOKUP(0,EmTruck1,5)*VLOOKUP(ProjLoc,EmCost,5)+VLOOKUP(0,EmTruck1,6)*VLOOKUP(ProjLoc,EmCost,6)+VLOOKUP(0,EmTruck1,7)*VLOOKUP(ProjLoc,EmCost,7)),0)</f>
        <v>0</v>
      </c>
      <c r="T120" s="844">
        <f>IF(INDEX(HwyTransitModelGroup,A114,1)=Hwy,P120*(1-N120)*0.00000110231131*(VLOOKUP(0,EmAuto1,2)*VLOOKUP(ProjLoc,EmCost,2)+VLOOKUP(0,EmAuto1,3)*VLOOKUP(ProjLoc,EmCost,3)*(1+CO2Uprater)^($B120-YearCurrent)+VLOOKUP(0,EmAuto1,4)*VLOOKUP(ProjLoc,EmCost,4)+VLOOKUP(0,EmAuto1,5)*VLOOKUP(ProjLoc,EmCost,5)+VLOOKUP(0,EmAuto1,6)*VLOOKUP(ProjLoc,EmCost,6)+VLOOKUP(0,EmAuto1,7)*VLOOKUP(ProjLoc,EmCost,7))+P120*N120*0.00000110231131*(VLOOKUP(0,EmTruck1,2)*VLOOKUP(ProjLoc,EmCost,2)+VLOOKUP(0,EmTruck1,3)*VLOOKUP(ProjLoc,EmCost,3)*(1+CO2Uprater)^($B120-YearCurrent)+VLOOKUP(0,EmTruck1,4)*VLOOKUP(ProjLoc,EmCost,4)+VLOOKUP(0,EmTruck1,5)*VLOOKUP(ProjLoc,EmCost,5)+VLOOKUP(0,EmTruck1,6)*VLOOKUP(ProjLoc,EmCost,6)+VLOOKUP(0,EmTruck1,7)*VLOOKUP(ProjLoc,EmCost,7)),0)</f>
        <v>0</v>
      </c>
      <c r="U120" s="808">
        <f>IF(INDEX(HwyTransitModelGroup,A114,1)=PARAMETERS!$J$9,C120*0.00000110231131*(VLOOKUP(K120,EmBus1,2)*VLOOKUP(ProjLoc,EmCost,2)+VLOOKUP(K120,EmBus1,3)*VLOOKUP(ProjLoc,EmCost,3)*(1+CO2Uprater)^($B120-YearCurrent)+VLOOKUP(K120,EmBus1,4)*VLOOKUP(ProjLoc,EmCost,4)+VLOOKUP(K120,EmBus1,5)*VLOOKUP(ProjLoc,EmCost,5)+VLOOKUP(K120,EmBus1,6)*VLOOKUP(ProjLoc,EmCost,6)+VLOOKUP(K120,EmBus1,7)*VLOOKUP(ProjLoc,EmCost,7)),0)</f>
        <v>0</v>
      </c>
      <c r="V120" s="844">
        <f>IF(INDEX(HwyTransitModelGroup,A114,1)=PARAMETERS!$J$9,D120*0.00000110231131*(VLOOKUP(L120,EmBus1,2)*VLOOKUP(ProjLoc,EmCost,2)+VLOOKUP(L120,EmBus1,3)*VLOOKUP(ProjLoc,EmCost,3)*(1+CO2Uprater)^($B120-YearCurrent)+VLOOKUP(L120,EmBus1,4)*VLOOKUP(ProjLoc,EmCost,4)+VLOOKUP(L120,EmBus1,5)*VLOOKUP(ProjLoc,EmCost,5)+VLOOKUP(L120,EmBus1,6)*VLOOKUP(ProjLoc,EmCost,6)+VLOOKUP(L120,EmBus1,7)*VLOOKUP(ProjLoc,EmCost,7)),0)</f>
        <v>0</v>
      </c>
      <c r="W120" s="808">
        <f>IF(INDEX(HwyTransitModelGroup,A114,1)=PARAMETERS!$J$10,C120*0.00000110231131*(PARAMETERS!$CQ$28*VLOOKUP(ProjLoc,EmCost,2)+PARAMETERS!$CR$28*VLOOKUP(ProjLoc,EmCost,3)*(1+CO2Uprater)^($B120-YearCurrent)+PARAMETERS!$CS$28*VLOOKUP(ProjLoc,EmCost,4)+PARAMETERS!$CT$28*VLOOKUP(ProjLoc,EmCost,5)+PARAMETERS!$CU$28*VLOOKUP(ProjLoc,EmCost,6)+PARAMETERS!$CV$28*VLOOKUP(ProjLoc,EmCost,7)),0)</f>
        <v>0</v>
      </c>
      <c r="X120" s="844">
        <f>IF(INDEX(HwyTransitModelGroup,A114,1)=PARAMETERS!$J$10,D120*0.00000110231131*(PARAMETERS!$CQ$28*VLOOKUP(ProjLoc,EmCost,2)+PARAMETERS!$CR$28*VLOOKUP(ProjLoc,EmCost,3)*(1+CO2Uprater)^($B120-YearCurrent)+PARAMETERS!$CS$28*VLOOKUP(ProjLoc,EmCost,4)+PARAMETERS!$CT$28*VLOOKUP(ProjLoc,EmCost,5)+PARAMETERS!$CU$28*VLOOKUP(ProjLoc,EmCost,6)+PARAMETERS!$CV$28*VLOOKUP(ProjLoc,EmCost,7)),0)</f>
        <v>0</v>
      </c>
      <c r="Y120" s="808">
        <f>IF(INDEX(HwyTransitModelGroup,A114,1)=PARAMETERS!$J$11,C120*0.00000110231131*(PARAMETERS!$CQ$36*VLOOKUP(ProjLoc,EmCost,2)+PARAMETERS!$CR$36*VLOOKUP(ProjLoc,EmCost,3)*(1+CO2Uprater)^($B120-YearCurrent)+PARAMETERS!$CS$36*VLOOKUP(ProjLoc,EmCost,4)+PARAMETERS!$CT$36*VLOOKUP(ProjLoc,EmCost,5)+PARAMETERS!$CU$36*VLOOKUP(ProjLoc,EmCost,6)+PARAMETERS!$CV$36*VLOOKUP(ProjLoc,EmCost,7)),0)</f>
        <v>0</v>
      </c>
      <c r="Z120" s="844">
        <f>IF(INDEX(HwyTransitModelGroup,A114,1)=PARAMETERS!$J$11,D120*0.00000110231131*(PARAMETERS!$CQ$36*VLOOKUP(ProjLoc,EmCost,2)+PARAMETERS!$CR$36*VLOOKUP(ProjLoc,EmCost,3)*(1+CO2Uprater)^($B120-YearCurrent)+PARAMETERS!$CS$36*VLOOKUP(ProjLoc,EmCost,4)+PARAMETERS!$CT$36*VLOOKUP(ProjLoc,EmCost,5)+PARAMETERS!$CU$36*VLOOKUP(ProjLoc,EmCost,6)+PARAMETERS!$CV$36*VLOOKUP(ProjLoc,EmCost,7)),0)</f>
        <v>0</v>
      </c>
      <c r="AA120" s="369">
        <f>(Q120+S120+U120+W120+Y120)-(R120+T120+V120+X120+Z120)</f>
        <v>-1622.8887752601295</v>
      </c>
      <c r="AB120" s="370">
        <f>AA120/(1+DiscRate)^(B120-YearCurrent)</f>
        <v>-1387.2521266674573</v>
      </c>
      <c r="AC120" s="371"/>
      <c r="AD120" s="853">
        <f>IF(INDEX(HwyTransitModelGroup,A114,1)=Hwy,0.00000110231131*(C120*(1-M120)*VLOOKUP(K120,EmAuto1,2)-D120*(1-N120)*VLOOKUP(L120,EmAuto1,2)+(O120*(1-M120)-P120*(1-N120))*VLOOKUP(0,EmAuto1,2))+0.00000110231131*(C120*M120*VLOOKUP(K120,EmTruck1,2)-D120*N120*VLOOKUP(L120,EmTruck1,2)+(O120*M120-P120*N120)*VLOOKUP(0,EmTruck1,2)),0)</f>
        <v>0.30446341602745353</v>
      </c>
      <c r="AE120" s="854">
        <f>IF(INDEX(HwyTransitModelGroup,A114,1)=Hwy,0.00000110231131*(C120*(1-M120)*VLOOKUP(K120,EmAuto1,3)-D120*(1-N120)*VLOOKUP(L120,EmAuto1,3)+(O120*(1-M120)-P120*(1-N120))*VLOOKUP(0,EmAuto1,3))+0.00000110231131*(C120*M120*VLOOKUP(K120,EmTruck1,3)-D120*N120*VLOOKUP(L120,EmTruck1,3)+(O120*M120-P120*N120)*VLOOKUP(0,EmTruck1,3)),0)</f>
        <v>-20.287035496856451</v>
      </c>
      <c r="AF120" s="854">
        <f>IF(INDEX(HwyTransitModelGroup,A114,1)=Hwy,0.00000110231131*(C120*(1-M120)*VLOOKUP(K120,EmAuto1,4)-D120*(1-N120)*VLOOKUP(L120,EmAuto1,4)+(O120*(1-M120)-P120*(1-N120))*VLOOKUP(0,EmAuto1,4))+0.00000110231131*(C120*M120*VLOOKUP(K120,EmTruck1,4)-D120*N120*VLOOKUP(L120,EmTruck1,4)+(O120*M120-P120*N120)*VLOOKUP(0,EmTruck1,4)),0)</f>
        <v>-1.4896858129102927E-2</v>
      </c>
      <c r="AG120" s="854">
        <f>IF(INDEX(HwyTransitModelGroup,A114,1)=Hwy,0.00000110231131*(C120*(1-M120)*VLOOKUP(K120,EmAuto1,5)-D120*(1-N120)*VLOOKUP(L120,EmAuto1,5)+(O120*(1-M120)-P120*(1-N120))*VLOOKUP(0,EmAuto1,5))+0.00000110231131*(C120*M120*VLOOKUP(K120,EmTruck1,5)-D120*N120*VLOOKUP(L120,EmTruck1,5)+(O120*M120-P120*N120)*VLOOKUP(0,EmTruck1,5)),0)</f>
        <v>-3.0704113669991454E-3</v>
      </c>
      <c r="AH120" s="854">
        <f>IF(INDEX(HwyTransitModelGroup,A114,1)=Hwy,0.00000110231131*(C120*(1-M120)*VLOOKUP(K120,EmAuto1,6)-D120*(1-N120)*VLOOKUP(L120,EmAuto1,6)+(O120*(1-M120)-P120*(1-N120))*VLOOKUP(0,EmAuto1,6))+0.00000110231131*(C120*M120*VLOOKUP(K120,EmTruck1,6)-D120*N120*VLOOKUP(L120,EmTruck1,6)+(O120*M120-P120*N120)*VLOOKUP(0,EmTruck1,6)),0)</f>
        <v>-2.3529377249114532E-4</v>
      </c>
      <c r="AI120" s="854">
        <f>IF(INDEX(HwyTransitModelGroup,A114,1)=Hwy,0.00000110231131*(C120*(1-M120)*VLOOKUP(K120,EmAuto1,7)-D120*(1-N120)*VLOOKUP(L120,EmAuto1,7)+(O120*(1-M120)-P120*(1-N120))*VLOOKUP(0,EmAuto1,7))+0.00000110231131*(C120*M120*VLOOKUP(K120,EmTruck1,7)-D120*N120*VLOOKUP(L120,EmTruck1,7)+(O120*M120-P120*N120)*VLOOKUP(0,EmTruck1,7)),0)</f>
        <v>3.5534699550795732E-3</v>
      </c>
      <c r="AJ120" s="855">
        <f>IF(INDEX(HwyTransitModelGroup,A114,1)=Hwy,0.00000110231131*(C120*(1-M120)*VLOOKUP(K120,EmAuto1,8)-D120*(1-N120)*VLOOKUP(L120,EmAuto1,8)+(O120*(1-M120)-P120*(1-N120))*VLOOKUP(0,EmAuto1,8))+0.00000110231131*(C120*M120*VLOOKUP(K120,EmTruck1,8)-D120*N120*VLOOKUP(L120,EmTruck1,8)+(O120*M120-P120*N120)*VLOOKUP(0,EmTruck1,8)),0)</f>
        <v>-2.9451263893167739E-3</v>
      </c>
      <c r="AK120" s="853">
        <f>IF(INDEX(HwyTransitModelGroup,A114,1)=PARAMETERS!$J$9,0.00000110231131*(C120*VLOOKUP(K120,EmBus1,2)-D120*VLOOKUP(L120,EmBus1,2)+(O120-P120)*VLOOKUP(0,EmBus1,2)),0)</f>
        <v>0</v>
      </c>
      <c r="AL120" s="854">
        <f>IF(INDEX(HwyTransitModelGroup,A114,1)=PARAMETERS!$J$9,0.00000110231131*(C120*VLOOKUP(K120,EmBus1,3)-D120*VLOOKUP(L120,EmBus1,3)+(O120-P120)*VLOOKUP(0,EmBus1,3)),0)</f>
        <v>0</v>
      </c>
      <c r="AM120" s="854">
        <f>IF(INDEX(HwyTransitModelGroup,A114,1)=PARAMETERS!$J$9,0.00000110231131*(C120*VLOOKUP(K120,EmBus1,4)-D120*VLOOKUP(L120,EmBus1,4)+(O120-P120)*VLOOKUP(0,EmBus1,4)),0)</f>
        <v>0</v>
      </c>
      <c r="AN120" s="854">
        <f>IF(INDEX(HwyTransitModelGroup,A114,1)=PARAMETERS!$J$9,0.00000110231131*(C120*VLOOKUP(K120,EmBus1,5)-D120*VLOOKUP(L120,EmBus1,5)+(O120-P120)*VLOOKUP(0,EmBus1,5)),0)</f>
        <v>0</v>
      </c>
      <c r="AO120" s="854">
        <f>IF(INDEX(HwyTransitModelGroup,A114,1)=PARAMETERS!$J$9,0.00000110231131*(C120*VLOOKUP(K120,EmBus1,6)-D120*VLOOKUP(L120,EmBus1,6)+(O120-P120)*VLOOKUP(0,EmBus1,6)),0)</f>
        <v>0</v>
      </c>
      <c r="AP120" s="854">
        <f>IF(INDEX(HwyTransitModelGroup,A114,1)=PARAMETERS!$J$9,0.00000110231131*(C120*VLOOKUP(K120,EmBus1,7)-D120*VLOOKUP(L120,EmBus1,7)+(O120-P120)*VLOOKUP(0,EmBus1,7)),0)</f>
        <v>0</v>
      </c>
      <c r="AQ120" s="855">
        <f>IF(INDEX(HwyTransitModelGroup,A114,1)=PARAMETERS!$J$9,0.00000110231131*(C120*VLOOKUP(K120,EmBus1,8)-D120*VLOOKUP(L120,EmBus1,8)+(O120-P120)*VLOOKUP(0,EmBus1,8)),0)</f>
        <v>0</v>
      </c>
      <c r="AR120" s="853">
        <f>IF(INDEX(HwyTransitModelGroup,A114,1)=PARAMETERS!$J$10,0.00000110231131*((C120-D120)*PARAMETERS!$CQ$28),0)</f>
        <v>0</v>
      </c>
      <c r="AS120" s="854">
        <f>IF(INDEX(HwyTransitModelGroup,A114,1)=PARAMETERS!$J$10,0.00000110231131*((C120-D120)*PARAMETERS!$CR$28),0)</f>
        <v>0</v>
      </c>
      <c r="AT120" s="854">
        <f>IF(INDEX(HwyTransitModelGroup,A114,1)=PARAMETERS!$J$10,0.00000110231131*((C120-D120)*PARAMETERS!$CS$28),0)</f>
        <v>0</v>
      </c>
      <c r="AU120" s="854">
        <f>IF(INDEX(HwyTransitModelGroup,A114,1)=PARAMETERS!$J$10,0.00000110231131*((C120-D120)*PARAMETERS!$CT$28),0)</f>
        <v>0</v>
      </c>
      <c r="AV120" s="854">
        <f>IF(INDEX(HwyTransitModelGroup,A114,1)=PARAMETERS!$J$10,0.00000110231131*((C120-D120)*PARAMETERS!$CU$28),0)</f>
        <v>0</v>
      </c>
      <c r="AW120" s="854">
        <f>IF(INDEX(HwyTransitModelGroup,A114,1)=PARAMETERS!$J$10,0.00000110231131*((C120-D120)*PARAMETERS!$CV$28),0)</f>
        <v>0</v>
      </c>
      <c r="AX120" s="855">
        <f>IF(INDEX(HwyTransitModelGroup,A114,1)=PARAMETERS!$J$10,0.00000110231131*((C120-D120)*PARAMETERS!$CW$28),0)</f>
        <v>0</v>
      </c>
      <c r="AY120" s="853">
        <f>IF(INDEX(HwyTransitModelGroup,A114,1)=PARAMETERS!$J$11,0.00000110231131*((C120-D120)*PARAMETERS!$CQ$36),0)</f>
        <v>0</v>
      </c>
      <c r="AZ120" s="854">
        <f>IF(INDEX(HwyTransitModelGroup,A114,1)=PARAMETERS!$J$11,0.00000110231131*((C120-D120)*PARAMETERS!$CR$36),0)</f>
        <v>0</v>
      </c>
      <c r="BA120" s="854">
        <f>IF(INDEX(HwyTransitModelGroup,A114,1)=PARAMETERS!$J$11,0.00000110231131*((C120-D120)*PARAMETERS!$CS$36),0)</f>
        <v>0</v>
      </c>
      <c r="BB120" s="854">
        <f>IF(INDEX(HwyTransitModelGroup,A114,1)=PARAMETERS!$J$11,0.00000110231131*((C120-D120)*PARAMETERS!$CT$36),0)</f>
        <v>0</v>
      </c>
      <c r="BC120" s="854">
        <f>IF(INDEX(HwyTransitModelGroup,A114,1)=PARAMETERS!$J$11,0.00000110231131*((C120-D120)*PARAMETERS!$CU$36),0)</f>
        <v>0</v>
      </c>
      <c r="BD120" s="854">
        <f>IF(INDEX(HwyTransitModelGroup,A114,1)=PARAMETERS!$J$11,0.00000110231131*((C120-D120)*PARAMETERS!$CV$36),0)</f>
        <v>0</v>
      </c>
      <c r="BE120" s="855">
        <f>IF(INDEX(HwyTransitModelGroup,A114,1)=PARAMETERS!$J$11,0.00000110231131*((C120-D120)*PARAMETERS!$CW$36),0)</f>
        <v>0</v>
      </c>
      <c r="BF120" s="832">
        <f>(AD120+AK120+AR120+AY120)*VLOOKUP(ProjLoc,EmCost,2)/(1+DiscRate)^($B120-YearCurrent)</f>
        <v>20.820528322839539</v>
      </c>
      <c r="BG120" s="701">
        <f>(AE120+AL120+AS120+AZ120)*VLOOKUP(ProjLoc,EmCost,3)*(1+CO2Uprater)^($B120-YearCurrent)/(1+DiscRate)^($B120-YearCurrent)</f>
        <v>-901.00490724043755</v>
      </c>
      <c r="BH120" s="701">
        <f>(AF120+AM120+AT120+BA120)*VLOOKUP(ProjLoc,EmCost,4)/(1+DiscRate)^($B120-YearCurrent)</f>
        <v>-192.28184110517955</v>
      </c>
      <c r="BI120" s="701">
        <f>(AG120+AN120+AU120+BB120)*VLOOKUP(ProjLoc,EmCost,5)/(1+DiscRate)^($B120-YearCurrent)</f>
        <v>-306.29087889804407</v>
      </c>
      <c r="BJ120" s="701">
        <f>(AH120+AO120+AV120+BC120)*VLOOKUP(ProjLoc,EmCost,6)/(1+DiscRate)^($B120-YearCurrent)</f>
        <v>-11.866676068068921</v>
      </c>
      <c r="BK120" s="368">
        <f>(AI120+AP120+AW120+BD120)*VLOOKUP(ProjLoc,EmCost,7)/(1+DiscRate)^($B120-YearCurrent)</f>
        <v>3.3716483214332555</v>
      </c>
      <c r="BL120" s="392"/>
    </row>
    <row r="121" spans="1:72" x14ac:dyDescent="0.25">
      <c r="B121" s="379">
        <f>YearLast</f>
        <v>2046</v>
      </c>
      <c r="C121" s="380">
        <f>INDEX(ModelData20NB,A114,2)*AnnualFactor</f>
        <v>1153400</v>
      </c>
      <c r="D121" s="381">
        <f>INDEX(ModelData20B,A114,2)*AnnualFactor</f>
        <v>950460</v>
      </c>
      <c r="E121" s="380">
        <f>IF(INDEX(HwyTransitModelGroup,A114,1)=Hwy,INDEX(ModelData20NB,A114,3),0)*AnnualFactor</f>
        <v>27010</v>
      </c>
      <c r="F121" s="381">
        <f>IF(INDEX(HwyTransitModelGroup,A114,1)=Hwy,INDEX(ModelData20B,A114,3),0)*AnnualFactor</f>
        <v>12775</v>
      </c>
      <c r="G121" s="380">
        <f>IF(INDEX(HwyTransitModelGroup,A114,1)&lt;&gt;Hwy,INDEX(ModelData20NB,A114,4),0)*AnnualFactor</f>
        <v>0</v>
      </c>
      <c r="H121" s="381">
        <f>IF(INDEX(HwyTransitModelGroup,A114,1)&lt;&gt;Hwy,INDEX(ModelData20B,A114,4),0)*AnnualFactor</f>
        <v>0</v>
      </c>
      <c r="I121" s="380">
        <f>IF(INDEX(HwyTransitModelGroup,A114,1)&lt;&gt;Hwy,INDEX(ModelData20NB,A114,5),0)*AnnualFactor</f>
        <v>0</v>
      </c>
      <c r="J121" s="381">
        <f>IF(INDEX(HwyTransitModelGroup,A114,1)&lt;&gt;Hwy,INDEX(ModelData20B,A114,5),0)*AnnualFactor</f>
        <v>0</v>
      </c>
      <c r="K121" s="432">
        <f>IFERROR(IF(INDEX(HwyTransitModelGroup,A114,1)=Hwy,MAX(5,ROUND(C121/E121,1)),MAX(5,ROUND(G121/I121,1))),55)</f>
        <v>42.7</v>
      </c>
      <c r="L121" s="433">
        <f>IFERROR(IF(INDEX(HwyTransitModelGroup,A114,1)=Hwy,MAX(5,ROUND(D121/F121,1)),MAX(5,ROUND(H121/J121,1))),55)</f>
        <v>74.400000000000006</v>
      </c>
      <c r="M121" s="805">
        <f>IF(INDEX(HwyTransitModelGroup,A114,1)=Hwy,INDEX(ModelData20NB,A114,9),0)</f>
        <v>0.24</v>
      </c>
      <c r="N121" s="806">
        <f>IF(INDEX(HwyTransitModelGroup,A114,1)=Hwy,INDEX(ModelData20B,A114,9),0)</f>
        <v>0.24</v>
      </c>
      <c r="O121" s="380">
        <f>IF(OR(INDEX(ModelData20NB,A114,8)=0,INDEX(HwyTransitModelGroup,A114,1)&lt;&gt;Hwy),0,INDEX(ModelData20NB,A114,1)*AnnualFactor/INDEX(ModelData20NB,A114,8))</f>
        <v>0</v>
      </c>
      <c r="P121" s="381">
        <f>IF(OR(INDEX(ModelData20B,A114,8)=0,INDEX(HwyTransitModelGroup,A114,1)&lt;&gt;Hwy),0,INDEX(ModelData20B,A114,1)*AnnualFactor/INDEX(ModelData20B,A114,8))</f>
        <v>0</v>
      </c>
      <c r="Q121" s="845">
        <f>IF(INDEX(HwyTransitModelGroup,A114,1)=Hwy,C121*(1-M121)*0.00000110231131*(VLOOKUP(K121,EmAuto20,2)*VLOOKUP(ProjLoc,EmCost,2)+VLOOKUP(K121,EmAuto20,3)*VLOOKUP(ProjLoc,EmCost,3)*(1+CO2Uprater)^($B121-YearCurrent)+VLOOKUP(K121,EmAuto20,4)*VLOOKUP(ProjLoc,EmCost,4)+VLOOKUP(K121,EmAuto20,5)*VLOOKUP(ProjLoc,EmCost,5)+VLOOKUP(K121,EmAuto20,6)*VLOOKUP(ProjLoc,EmCost,6)+VLOOKUP(K121,EmAuto20,7)*VLOOKUP(ProjLoc,EmCost,7))+C121*M121*0.00000110231131*(VLOOKUP(K121,EmTruck20,2)*VLOOKUP(ProjLoc,EmCost,2)+VLOOKUP(K121,EmTruck20,3)*VLOOKUP(ProjLoc,EmCost,3)*(1+CO2Uprater)^($B121-YearCurrent)+VLOOKUP(K121,EmTruck20,4)*VLOOKUP(ProjLoc,EmCost,4)+VLOOKUP(K121,EmTruck20,5)*VLOOKUP(ProjLoc,EmCost,5)+VLOOKUP(K121,EmTruck20,6)*VLOOKUP(ProjLoc,EmCost,6)+VLOOKUP(K121,EmTruck20,7)*VLOOKUP(ProjLoc,EmCost,7)),0)</f>
        <v>33625.674264534289</v>
      </c>
      <c r="R121" s="846">
        <f>IF(INDEX(HwyTransitModelGroup,A114,1)=Hwy,D121*(1-N121)*0.00000110231131*(VLOOKUP(L121,EmAuto20,2)*VLOOKUP(ProjLoc,EmCost,2)+VLOOKUP(L121,EmAuto20,3)*VLOOKUP(ProjLoc,EmCost,3)*(1+CO2Uprater)^($B121-YearCurrent)+VLOOKUP(L121,EmAuto20,4)*VLOOKUP(ProjLoc,EmCost,4)+VLOOKUP(L121,EmAuto20,5)*VLOOKUP(ProjLoc,EmCost,5)+VLOOKUP(L121,EmAuto20,6)*VLOOKUP(ProjLoc,EmCost,6)+VLOOKUP(L121,EmAuto20,7)*VLOOKUP(ProjLoc,EmCost,7))+D121*N121*0.00000110231131*(VLOOKUP(L121,EmTruck20,2)*VLOOKUP(ProjLoc,EmCost,2)+VLOOKUP(L121,EmTruck20,3)*VLOOKUP(ProjLoc,EmCost,3)*(1+CO2Uprater)^($B121-YearCurrent)+VLOOKUP(L121,EmTruck20,4)*VLOOKUP(ProjLoc,EmCost,4)+VLOOKUP(L121,EmTruck20,5)*VLOOKUP(ProjLoc,EmCost,5)+VLOOKUP(L121,EmTruck20,6)*VLOOKUP(ProjLoc,EmCost,6)+VLOOKUP(L121,EmTruck20,7)*VLOOKUP(ProjLoc,EmCost,7)),0)</f>
        <v>40230.004079436563</v>
      </c>
      <c r="S121" s="845">
        <f>IF(INDEX(HwyTransitModelGroup,A114,1)=Hwy,O121*(1-M121)*0.00000110231131*(VLOOKUP(0,EmAuto20,2)*VLOOKUP(ProjLoc,EmCost,2)+VLOOKUP(0,EmAuto20,3)*VLOOKUP(ProjLoc,EmCost,3)*(1+CO2Uprater)^($B121-YearCurrent)+VLOOKUP(0,EmAuto20,4)*VLOOKUP(ProjLoc,EmCost,4)+VLOOKUP(0,EmAuto20,5)*VLOOKUP(ProjLoc,EmCost,5)+VLOOKUP(0,EmAuto20,6)*VLOOKUP(ProjLoc,EmCost,6)+VLOOKUP(0,EmAuto20,7)*VLOOKUP(ProjLoc,EmCost,7))+O121*M121*0.00000110231131*(VLOOKUP(0,EmTruck20,2)*VLOOKUP(ProjLoc,EmCost,2)+VLOOKUP(0,EmTruck20,3)*VLOOKUP(ProjLoc,EmCost,3)*(1+CO2Uprater)^($B121-YearCurrent)+VLOOKUP(0,EmTruck20,4)*VLOOKUP(ProjLoc,EmCost,4)+VLOOKUP(0,EmTruck20,5)*VLOOKUP(ProjLoc,EmCost,5)+VLOOKUP(0,EmTruck20,6)*VLOOKUP(ProjLoc,EmCost,6)+VLOOKUP(0,EmTruck20,7)*VLOOKUP(ProjLoc,EmCost,7)),0)</f>
        <v>0</v>
      </c>
      <c r="T121" s="846">
        <f>IF(INDEX(HwyTransitModelGroup,A114,1)=Hwy,P121*(1-N121)*0.00000110231131*(VLOOKUP(0,EmAuto20,2)*VLOOKUP(ProjLoc,EmCost,2)+VLOOKUP(0,EmAuto20,3)*VLOOKUP(ProjLoc,EmCost,3)*(1+CO2Uprater)^($B121-YearCurrent)+VLOOKUP(0,EmAuto20,4)*VLOOKUP(ProjLoc,EmCost,4)+VLOOKUP(0,EmAuto20,5)*VLOOKUP(ProjLoc,EmCost,5)+VLOOKUP(0,EmAuto20,6)*VLOOKUP(ProjLoc,EmCost,6)+VLOOKUP(0,EmAuto20,7)*VLOOKUP(ProjLoc,EmCost,7))+P121*N121*0.00000110231131*(VLOOKUP(0,EmTruck20,2)*VLOOKUP(ProjLoc,EmCost,2)+VLOOKUP(0,EmTruck20,3)*VLOOKUP(ProjLoc,EmCost,3)*(1+CO2Uprater)^($B121-YearCurrent)+VLOOKUP(0,EmTruck20,4)*VLOOKUP(ProjLoc,EmCost,4)+VLOOKUP(0,EmTruck20,5)*VLOOKUP(ProjLoc,EmCost,5)+VLOOKUP(0,EmTruck20,6)*VLOOKUP(ProjLoc,EmCost,6)+VLOOKUP(0,EmTruck20,7)*VLOOKUP(ProjLoc,EmCost,7)),0)</f>
        <v>0</v>
      </c>
      <c r="U121" s="845">
        <f>IF(INDEX(HwyTransitModelGroup,A114,1)=PARAMETERS!$J$9,C121*0.00000110231131*(VLOOKUP(K121,EmBus20,2)*VLOOKUP(ProjLoc,EmCost,2)+VLOOKUP(K121,EmBus20,3)*VLOOKUP(ProjLoc,EmCost,3)*(1+CO2Uprater)^($B121-YearCurrent)+VLOOKUP(K121,EmBus20,4)*VLOOKUP(ProjLoc,EmCost,4)+VLOOKUP(K121,EmBus20,5)*VLOOKUP(ProjLoc,EmCost,5)+VLOOKUP(K121,EmBus20,6)*VLOOKUP(ProjLoc,EmCost,6)+VLOOKUP(K121,EmBus20,7)*VLOOKUP(ProjLoc,EmCost,7)),0)</f>
        <v>0</v>
      </c>
      <c r="V121" s="846">
        <f>IF(INDEX(HwyTransitModelGroup,A114,1)=PARAMETERS!$J$9,D121*0.00000110231131*(VLOOKUP(L121,EmBus20,2)*VLOOKUP(ProjLoc,EmCost,2)+VLOOKUP(L121,EmBus20,3)*VLOOKUP(ProjLoc,EmCost,3)*(1+CO2Uprater)^($B121-YearCurrent)+VLOOKUP(L121,EmBus20,4)*VLOOKUP(ProjLoc,EmCost,4)+VLOOKUP(L121,EmBus20,5)*VLOOKUP(ProjLoc,EmCost,5)+VLOOKUP(L121,EmBus20,6)*VLOOKUP(ProjLoc,EmCost,6)+VLOOKUP(L121,EmBus20,7)*VLOOKUP(ProjLoc,EmCost,7)),0)</f>
        <v>0</v>
      </c>
      <c r="W121" s="845">
        <f>IF(INDEX(HwyTransitModelGroup,A114,1)=PARAMETERS!$J$10,C121*0.00000110231131*(PARAMETERS!$CQ$29*VLOOKUP(ProjLoc,EmCost,2)+PARAMETERS!$CR$29*VLOOKUP(ProjLoc,EmCost,3)*(1+CO2Uprater)^($B121-YearCurrent)+PARAMETERS!$CS$29*VLOOKUP(ProjLoc,EmCost,4)+PARAMETERS!$CT$29*VLOOKUP(ProjLoc,EmCost,5)+PARAMETERS!$CU$29*VLOOKUP(ProjLoc,EmCost,6)+PARAMETERS!$CV$29*VLOOKUP(ProjLoc,EmCost,7)),0)</f>
        <v>0</v>
      </c>
      <c r="X121" s="846">
        <f>IF(INDEX(HwyTransitModelGroup,A114,1)=PARAMETERS!$J$10,D121*0.00000110231131*(PARAMETERS!$CQ$29*VLOOKUP(ProjLoc,EmCost,2)+PARAMETERS!$CR$29*VLOOKUP(ProjLoc,EmCost,3)*(1+CO2Uprater)^($B121-YearCurrent)+PARAMETERS!$CS$29*VLOOKUP(ProjLoc,EmCost,4)+PARAMETERS!$CT$29*VLOOKUP(ProjLoc,EmCost,5)+PARAMETERS!$CU$29*VLOOKUP(ProjLoc,EmCost,6)+PARAMETERS!$CV$29*VLOOKUP(ProjLoc,EmCost,7)),0)</f>
        <v>0</v>
      </c>
      <c r="Y121" s="845">
        <f>IF(INDEX(HwyTransitModelGroup,A114,1)=PARAMETERS!$J$11,C121*0.00000110231131*(PARAMETERS!$CQ$37*VLOOKUP(ProjLoc,EmCost,2)+PARAMETERS!$CR$37*VLOOKUP(ProjLoc,EmCost,3)*(1+CO2Uprater)^($B121-YearCurrent)+PARAMETERS!$CS$37*VLOOKUP(ProjLoc,EmCost,4)+PARAMETERS!$CT$37*VLOOKUP(ProjLoc,EmCost,5)+PARAMETERS!$CU$37*VLOOKUP(ProjLoc,EmCost,6)+PARAMETERS!$CV$37*VLOOKUP(ProjLoc,EmCost,7)),0)</f>
        <v>0</v>
      </c>
      <c r="Z121" s="846">
        <f>IF(INDEX(HwyTransitModelGroup,A114,1)=PARAMETERS!$J$11,D121*0.00000110231131*(PARAMETERS!$CQ$37*VLOOKUP(ProjLoc,EmCost,2)+PARAMETERS!$CR$37*VLOOKUP(ProjLoc,EmCost,3)*(1+CO2Uprater)^($B121-YearCurrent)+PARAMETERS!$CS$37*VLOOKUP(ProjLoc,EmCost,4)+PARAMETERS!$CT$37*VLOOKUP(ProjLoc,EmCost,5)+PARAMETERS!$CU$37*VLOOKUP(ProjLoc,EmCost,6)+PARAMETERS!$CV$37*VLOOKUP(ProjLoc,EmCost,7)),0)</f>
        <v>0</v>
      </c>
      <c r="AA121" s="369">
        <f>(Q121+S121+U121+W121+Y121)-(R121+T121+V121+X121+Z121)</f>
        <v>-6604.3298149022739</v>
      </c>
      <c r="AB121" s="370">
        <f>AA121/(1+DiscRate)^(B121-YearCurrent)</f>
        <v>-2576.4908844445199</v>
      </c>
      <c r="AC121" s="371"/>
      <c r="AD121" s="856">
        <f>IF(INDEX(HwyTransitModelGroup,A114,1)=Hwy,0.00000110231131*(C121*(1-M121)*VLOOKUP(K121,EmAuto20,2)-D121*(1-N121)*VLOOKUP(L121,EmAuto20,2)+(O121*(1-M121)-P121*(1-N121))*VLOOKUP(0,EmAuto20,2))+0.00000110231131*(C121*M121*VLOOKUP(K121,EmTruck20,2)-D121*N121*VLOOKUP(L121,EmTruck20,2)+(O121*M121-P121*N121)*VLOOKUP(0,EmTruck20,2)),0)</f>
        <v>0.20572642119563458</v>
      </c>
      <c r="AE121" s="857">
        <f>IF(INDEX(HwyTransitModelGroup,A114,1)=Hwy,0.00000110231131*(C121*(1-M121)*VLOOKUP(K121,EmAuto20,3)-D121*(1-N121)*VLOOKUP(L121,EmAuto20,3)+(O121*(1-M121)-P121*(1-N121))*VLOOKUP(0,EmAuto20,3))+0.00000110231131*(C121*M121*VLOOKUP(K121,EmTruck20,3)-D121*N121*VLOOKUP(L121,EmTruck20,3)+(O121*M121-P121*N121)*VLOOKUP(0,EmTruck20,3)),0)</f>
        <v>-57.808862098740242</v>
      </c>
      <c r="AF121" s="857">
        <f>IF(INDEX(HwyTransitModelGroup,A114,1)=Hwy,0.00000110231131*(C121*(1-M121)*VLOOKUP(K121,EmAuto20,4)-D121*(1-N121)*VLOOKUP(L121,EmAuto20,4)+(O121*(1-M121)-P121*(1-N121))*VLOOKUP(0,EmAuto20,4))+0.00000110231131*(C121*M121*VLOOKUP(K121,EmTruck20,4)-D121*N121*VLOOKUP(L121,EmTruck20,4)+(O121*M121-P121*N121)*VLOOKUP(0,EmTruck20,4)),0)</f>
        <v>-0.10610206392942866</v>
      </c>
      <c r="AG121" s="857">
        <f>IF(INDEX(HwyTransitModelGroup,A114,1)=Hwy,0.00000110231131*(C121*(1-M121)*VLOOKUP(K121,EmAuto20,5)-D121*(1-N121)*VLOOKUP(L121,EmAuto20,5)+(O121*(1-M121)-P121*(1-N121))*VLOOKUP(0,EmAuto20,5))+0.00000110231131*(C121*M121*VLOOKUP(K121,EmTruck20,5)-D121*N121*VLOOKUP(L121,EmTruck20,5)+(O121*M121-P121*N121)*VLOOKUP(0,EmTruck20,5)),0)</f>
        <v>-4.4667417097446951E-3</v>
      </c>
      <c r="AH121" s="857">
        <f>IF(INDEX(HwyTransitModelGroup,A114,1)=Hwy,0.00000110231131*(C121*(1-M121)*VLOOKUP(K121,EmAuto20,6)-D121*(1-N121)*VLOOKUP(L121,EmAuto20,6)+(O121*(1-M121)-P121*(1-N121))*VLOOKUP(0,EmAuto20,6))+0.00000110231131*(C121*M121*VLOOKUP(K121,EmTruck20,6)-D121*N121*VLOOKUP(L121,EmTruck20,6)+(O121*M121-P121*N121)*VLOOKUP(0,EmTruck20,6)),0)</f>
        <v>-5.7718607519886389E-4</v>
      </c>
      <c r="AI121" s="857">
        <f>IF(INDEX(HwyTransitModelGroup,A114,1)=Hwy,0.00000110231131*(C121*(1-M121)*VLOOKUP(K121,EmAuto20,7)-D121*(1-N121)*VLOOKUP(L121,EmAuto20,7)+(O121*(1-M121)-P121*(1-N121))*VLOOKUP(0,EmAuto20,7))+0.00000110231131*(C121*M121*VLOOKUP(K121,EmTruck20,7)-D121*N121*VLOOKUP(L121,EmTruck20,7)+(O121*M121-P121*N121)*VLOOKUP(0,EmTruck20,7)),0)</f>
        <v>-1.7254426024487118E-4</v>
      </c>
      <c r="AJ121" s="858">
        <f>IF(INDEX(HwyTransitModelGroup,A114,1)=Hwy,0.00000110231131*(C121*(1-M121)*VLOOKUP(K121,EmAuto20,8)-D121*(1-N121)*VLOOKUP(L121,EmAuto20,8)+(O121*(1-M121)-P121*(1-N121))*VLOOKUP(0,EmAuto20,8))+0.00000110231131*(C121*M121*VLOOKUP(K121,EmTruck20,8)-D121*N121*VLOOKUP(L121,EmTruck20,8)+(O121*M121-P121*N121)*VLOOKUP(0,EmTruck20,8)),0)</f>
        <v>-4.2763205174138627E-3</v>
      </c>
      <c r="AK121" s="856">
        <f>IF(INDEX(HwyTransitModelGroup,A114,1)=PARAMETERS!$J$9,0.00000110231131*(C121*VLOOKUP(K121,EmBus20,2)-D121*VLOOKUP(L121,EmBus20,2)+(O121-P121)*VLOOKUP(0,EmBus20,2)),0)</f>
        <v>0</v>
      </c>
      <c r="AL121" s="857">
        <f>IF(INDEX(HwyTransitModelGroup,A114,1)=PARAMETERS!$J$9,0.00000110231131*(C121*VLOOKUP(K121,EmBus20,3)-D121*VLOOKUP(L121,EmBus20,3)+(O121-P121)*VLOOKUP(0,EmBus20,3)),0)</f>
        <v>0</v>
      </c>
      <c r="AM121" s="857">
        <f>IF(INDEX(HwyTransitModelGroup,A114,1)=PARAMETERS!$J$9,0.00000110231131*(C121*VLOOKUP(K121,EmBus20,4)-D121*VLOOKUP(L121,EmBus20,4)+(O121-P121)*VLOOKUP(0,EmBus20,4)),0)</f>
        <v>0</v>
      </c>
      <c r="AN121" s="857">
        <f>IF(INDEX(HwyTransitModelGroup,A114,1)=PARAMETERS!$J$9,0.00000110231131*(C121*VLOOKUP(K121,EmBus20,5)-D121*VLOOKUP(L121,EmBus20,5)+(O121-P121)*VLOOKUP(0,EmBus20,5)),0)</f>
        <v>0</v>
      </c>
      <c r="AO121" s="857">
        <f>IF(INDEX(HwyTransitModelGroup,A114,1)=PARAMETERS!$J$9,0.00000110231131*(C121*VLOOKUP(K121,EmBus20,6)-D121*VLOOKUP(L121,EmBus20,6)+(O121-P121)*VLOOKUP(0,EmBus20,6)),0)</f>
        <v>0</v>
      </c>
      <c r="AP121" s="857">
        <f>IF(INDEX(HwyTransitModelGroup,A114,1)=PARAMETERS!$J$9,0.00000110231131*(C121*VLOOKUP(K121,EmBus20,7)-D121*VLOOKUP(L121,EmBus20,7)+(O121-P121)*VLOOKUP(0,EmBus20,7)),0)</f>
        <v>0</v>
      </c>
      <c r="AQ121" s="858">
        <f>IF(INDEX(HwyTransitModelGroup,A114,1)=PARAMETERS!$J$9,0.00000110231131*(C121*VLOOKUP(K121,EmBus20,8)-D121*VLOOKUP(L121,EmBus20,8)+(O121-P121)*VLOOKUP(0,EmBus20,8)),0)</f>
        <v>0</v>
      </c>
      <c r="AR121" s="856">
        <f>IF(INDEX(HwyTransitModelGroup,A114,1)=PARAMETERS!$J$10,0.00000110231131*((C121-D121)*PARAMETERS!$CQ$29),0)</f>
        <v>0</v>
      </c>
      <c r="AS121" s="857">
        <f>IF(INDEX(HwyTransitModelGroup,A114,1)=PARAMETERS!$J$10,0.00000110231131*((C121-D121)*PARAMETERS!$CR$29),0)</f>
        <v>0</v>
      </c>
      <c r="AT121" s="857">
        <f>IF(INDEX(HwyTransitModelGroup,A114,1)=PARAMETERS!$J$10,0.00000110231131*((C121-D121)*PARAMETERS!$CS$29),0)</f>
        <v>0</v>
      </c>
      <c r="AU121" s="857">
        <f>IF(INDEX(HwyTransitModelGroup,A114,1)=PARAMETERS!$J$10,0.00000110231131*((C121-D121)*PARAMETERS!$CT$29),0)</f>
        <v>0</v>
      </c>
      <c r="AV121" s="857">
        <f>IF(INDEX(HwyTransitModelGroup,A114,1)=PARAMETERS!$J$10,0.00000110231131*((C121-D121)*PARAMETERS!$CU$29),0)</f>
        <v>0</v>
      </c>
      <c r="AW121" s="857">
        <f>IF(INDEX(HwyTransitModelGroup,A114,1)=PARAMETERS!$J$10,0.00000110231131*((C121-D121)*PARAMETERS!$CV$29),0)</f>
        <v>0</v>
      </c>
      <c r="AX121" s="858">
        <f>IF(INDEX(HwyTransitModelGroup,A114,1)=PARAMETERS!$J$10,0.00000110231131*((C121-D121)*PARAMETERS!$CW$29),0)</f>
        <v>0</v>
      </c>
      <c r="AY121" s="856">
        <f>IF(INDEX(HwyTransitModelGroup,A114,1)=PARAMETERS!$J$11,0.00000110231131*((C121-D121)*PARAMETERS!$CQ$37),0)</f>
        <v>0</v>
      </c>
      <c r="AZ121" s="857">
        <f>IF(INDEX(HwyTransitModelGroup,A114,1)=PARAMETERS!$J$11,0.00000110231131*((C121-D121)*PARAMETERS!$CR$37),0)</f>
        <v>0</v>
      </c>
      <c r="BA121" s="857">
        <f>IF(INDEX(HwyTransitModelGroup,A114,1)=PARAMETERS!$J$11,0.00000110231131*((C121-D121)*PARAMETERS!$CS$37),0)</f>
        <v>0</v>
      </c>
      <c r="BB121" s="857">
        <f>IF(INDEX(HwyTransitModelGroup,A114,1)=PARAMETERS!$J$11,0.00000110231131*((C121-D121)*PARAMETERS!$CT$37),0)</f>
        <v>0</v>
      </c>
      <c r="BC121" s="857">
        <f>IF(INDEX(HwyTransitModelGroup,A114,1)=PARAMETERS!$J$11,0.00000110231131*((C121-D121)*PARAMETERS!$CU$37),0)</f>
        <v>0</v>
      </c>
      <c r="BD121" s="857">
        <f>IF(INDEX(HwyTransitModelGroup,A114,1)=PARAMETERS!$J$11,0.00000110231131*((C121-D121)*PARAMETERS!$CV$37),0)</f>
        <v>0</v>
      </c>
      <c r="BE121" s="858">
        <f>IF(INDEX(HwyTransitModelGroup,A114,1)=PARAMETERS!$J$11,0.00000110231131*((C121-D121)*PARAMETERS!$CW$37),0)</f>
        <v>0</v>
      </c>
      <c r="BF121" s="859">
        <f>(AD121+AK121+AR121+AY121)*VLOOKUP(ProjLoc,EmCost,2)/(1+DiscRate)^($B121-YearCurrent)</f>
        <v>6.4206635798704701</v>
      </c>
      <c r="BG121" s="702">
        <f>(AE121+AL121+AS121+AZ121)*VLOOKUP(ProjLoc,EmCost,3)*(1+CO2Uprater)^($B121-YearCurrent)/(1+DiscRate)^($B121-YearCurrent)</f>
        <v>-1741.1638323301413</v>
      </c>
      <c r="BH121" s="702">
        <f>(AF121+AM121+AT121+BA121)*VLOOKUP(ProjLoc,EmCost,4)/(1+DiscRate)^($B121-YearCurrent)</f>
        <v>-625.02967352765586</v>
      </c>
      <c r="BI121" s="702">
        <f>(AG121+AN121+AU121+BB121)*VLOOKUP(ProjLoc,EmCost,5)/(1+DiscRate)^($B121-YearCurrent)</f>
        <v>-203.35813621604242</v>
      </c>
      <c r="BJ121" s="702">
        <f>(AH121+AO121+AV121+BC121)*VLOOKUP(ProjLoc,EmCost,6)/(1+DiscRate)^($B121-YearCurrent)</f>
        <v>-13.285188275021218</v>
      </c>
      <c r="BK121" s="384">
        <f>(AI121+AP121+AW121+BD121)*VLOOKUP(ProjLoc,EmCost,7)/(1+DiscRate)^($B121-YearCurrent)</f>
        <v>-7.4717675527943048E-2</v>
      </c>
      <c r="BL121" s="392"/>
    </row>
    <row r="122" spans="1:72" x14ac:dyDescent="0.25">
      <c r="B122" s="385"/>
      <c r="C122" s="388"/>
      <c r="D122" s="388"/>
      <c r="E122" s="388"/>
      <c r="F122" s="388"/>
      <c r="G122" s="388"/>
      <c r="H122" s="388"/>
      <c r="I122" s="388"/>
      <c r="J122" s="388"/>
      <c r="K122" s="434"/>
      <c r="L122" s="434"/>
      <c r="M122" s="434"/>
      <c r="N122" s="434"/>
      <c r="O122" s="386"/>
      <c r="P122" s="386"/>
      <c r="Q122" s="386"/>
      <c r="R122" s="386"/>
      <c r="S122" s="386"/>
      <c r="T122" s="386"/>
      <c r="U122" s="386"/>
      <c r="V122" s="386"/>
      <c r="W122" s="842"/>
      <c r="X122" s="843"/>
      <c r="Y122" s="388"/>
      <c r="Z122" s="388"/>
      <c r="AA122" s="388"/>
      <c r="AB122" s="389"/>
      <c r="AC122" s="390"/>
      <c r="AD122" s="847"/>
      <c r="AE122" s="389"/>
      <c r="AF122" s="389"/>
      <c r="AG122" s="389"/>
      <c r="AH122" s="389"/>
      <c r="AI122" s="389"/>
      <c r="AJ122" s="848"/>
      <c r="AK122" s="847"/>
      <c r="AL122" s="389"/>
      <c r="AM122" s="389"/>
      <c r="AN122" s="389"/>
      <c r="AO122" s="389"/>
      <c r="AP122" s="389"/>
      <c r="AQ122" s="848"/>
      <c r="AR122" s="847"/>
      <c r="AS122" s="389"/>
      <c r="AT122" s="389"/>
      <c r="AU122" s="389"/>
      <c r="AV122" s="389"/>
      <c r="AW122" s="389"/>
      <c r="AX122" s="848"/>
      <c r="AY122" s="847"/>
      <c r="AZ122" s="389"/>
      <c r="BA122" s="389"/>
      <c r="BB122" s="389"/>
      <c r="BC122" s="389"/>
      <c r="BD122" s="389"/>
      <c r="BE122" s="848"/>
      <c r="BF122" s="388"/>
      <c r="BG122" s="388"/>
      <c r="BH122" s="388"/>
      <c r="BI122" s="388"/>
      <c r="BJ122" s="388"/>
      <c r="BK122" s="388"/>
      <c r="BL122" s="392"/>
      <c r="BN122" s="322"/>
      <c r="BO122" s="52">
        <v>1</v>
      </c>
      <c r="BP122" s="52">
        <v>2</v>
      </c>
      <c r="BQ122" s="52">
        <v>3</v>
      </c>
      <c r="BR122" s="52">
        <v>4</v>
      </c>
      <c r="BS122" s="52">
        <v>5</v>
      </c>
      <c r="BT122" s="52">
        <v>6</v>
      </c>
    </row>
    <row r="123" spans="1:72" x14ac:dyDescent="0.25">
      <c r="B123" s="375">
        <f>YearOpen</f>
        <v>2026</v>
      </c>
      <c r="C123" s="393">
        <f>MAX(TREND(C120:C121,B120:B121,B123),0)</f>
        <v>917245</v>
      </c>
      <c r="D123" s="394">
        <f>MAX(TREND(D120:D121,B120:B121,B123),0)</f>
        <v>756280</v>
      </c>
      <c r="E123" s="393">
        <f>MAX(TREND(E120:E121,B120:B121,B123),0)</f>
        <v>21170</v>
      </c>
      <c r="F123" s="394">
        <f>MAX(TREND(F120:F121,B120:B121,B123),0)</f>
        <v>9855</v>
      </c>
      <c r="G123" s="393">
        <f>MAX(TREND(G120:G121,B120:B121,B123),0)</f>
        <v>0</v>
      </c>
      <c r="H123" s="394">
        <f>MAX(TREND(H120:H121,B120:B121,B123),0)</f>
        <v>0</v>
      </c>
      <c r="I123" s="393">
        <f>MAX(TREND(I120:I121,B120:B121,B123),0)</f>
        <v>0</v>
      </c>
      <c r="J123" s="394">
        <f>MAX(TREND(J120:J121,B120:B121,B123),0)</f>
        <v>0</v>
      </c>
      <c r="K123" s="435">
        <f>IFERROR(IF(INDEX(HwyTransitModelGroup,A114,1)=Hwy,MAX(5,ROUND(C123/E123,1)),MAX(5,ROUND(G123/I123,1))),55)</f>
        <v>43.3</v>
      </c>
      <c r="L123" s="436">
        <f>IFERROR(IF(INDEX(HwyTransitModelGroup,A114,1)=Hwy,MAX(5,ROUND(D123/F123,1)),MAX(5,ROUND(H123/J123,1))),55)</f>
        <v>76.7</v>
      </c>
      <c r="M123" s="397">
        <f>MIN(MAX(TREND(M120:M121,B120:B121,B123),0),1)</f>
        <v>0.24</v>
      </c>
      <c r="N123" s="398">
        <f>MIN(MAX(TREND(N120:N121,B120:B121,B123),0),1)</f>
        <v>0.24</v>
      </c>
      <c r="O123" s="393">
        <f>MAX(TREND(O120:O121,B120:B121,B123),0)</f>
        <v>0</v>
      </c>
      <c r="P123" s="394">
        <f>MAX(TREND(P120:P121,B120:B121,B123),0)</f>
        <v>0</v>
      </c>
      <c r="Q123" s="727">
        <f>IF(INDEX(HwyTransitModelGroup,A114,1)=Hwy,C123*(1-M123)*0.00000110231131*(VLOOKUP(K123,EmAuto1,2)*VLOOKUP(ProjLoc,EmCost,2)+VLOOKUP(K123,EmAuto1,3)*VLOOKUP(ProjLoc,EmCost,3)*(1+CO2Uprater)^($B123-YearCurrent)+VLOOKUP(K123,EmAuto1,4)*VLOOKUP(ProjLoc,EmCost,4)+VLOOKUP(K123,EmAuto1,5)*VLOOKUP(ProjLoc,EmCost,5)+VLOOKUP(K123,EmAuto1,6)*VLOOKUP(ProjLoc,EmCost,6)+VLOOKUP(K123,EmAuto1,7)*VLOOKUP(ProjLoc,EmCost,7))+C123*M123*0.00000110231131*(VLOOKUP(K123,EmTruck1,2)*VLOOKUP(ProjLoc,EmCost,2)+VLOOKUP(K123,EmTruck1,3)*VLOOKUP(ProjLoc,EmCost,3)*(1+CO2Uprater)^($B123-YearCurrent)+VLOOKUP(K123,EmTruck1,4)*VLOOKUP(ProjLoc,EmCost,4)+VLOOKUP(K123,EmTruck1,5)*VLOOKUP(ProjLoc,EmCost,5)+VLOOKUP(K123,EmTruck1,6)*VLOOKUP(ProjLoc,EmCost,6)+VLOOKUP(K123,EmTruck1,7)*VLOOKUP(ProjLoc,EmCost,7)),0)</f>
        <v>29033.02284751246</v>
      </c>
      <c r="R123" s="801">
        <f>IF(INDEX(HwyTransitModelGroup,A114,1)=Hwy,D123*(1-N123)*0.00000110231131*(VLOOKUP(L123,EmAuto1,2)*VLOOKUP(ProjLoc,EmCost,2)+VLOOKUP(L123,EmAuto1,3)*VLOOKUP(ProjLoc,EmCost,3)*(1+CO2Uprater)^($B123-YearCurrent)+VLOOKUP(L123,EmAuto1,4)*VLOOKUP(ProjLoc,EmCost,4)+VLOOKUP(L123,EmAuto1,5)*VLOOKUP(ProjLoc,EmCost,5)+VLOOKUP(L123,EmAuto1,6)*VLOOKUP(ProjLoc,EmCost,6)+VLOOKUP(L123,EmAuto1,7)*VLOOKUP(ProjLoc,EmCost,7))+D123*N123*0.00000110231131*(VLOOKUP(L123,EmTruck1,2)*VLOOKUP(ProjLoc,EmCost,2)+VLOOKUP(L123,EmTruck1,3)*VLOOKUP(ProjLoc,EmCost,3)*(1+CO2Uprater)^($B123-YearCurrent)+VLOOKUP(L123,EmTruck1,4)*VLOOKUP(ProjLoc,EmCost,4)+VLOOKUP(L123,EmTruck1,5)*VLOOKUP(ProjLoc,EmCost,5)+VLOOKUP(L123,EmTruck1,6)*VLOOKUP(ProjLoc,EmCost,6)+VLOOKUP(L123,EmTruck1,7)*VLOOKUP(ProjLoc,EmCost,7)),0)</f>
        <v>30655.91162277259</v>
      </c>
      <c r="S123" s="727">
        <f>IF(INDEX(HwyTransitModelGroup,A114,1)=Hwy,O123*(1-M123)*0.00000110231131*(VLOOKUP(0,EmAuto1,2)*VLOOKUP(ProjLoc,EmCost,2)+VLOOKUP(0,EmAuto1,3)*VLOOKUP(ProjLoc,EmCost,3)*(1+CO2Uprater)^($B123-YearCurrent)+VLOOKUP(0,EmAuto1,4)*VLOOKUP(ProjLoc,EmCost,4)+VLOOKUP(0,EmAuto1,5)*VLOOKUP(ProjLoc,EmCost,5)+VLOOKUP(0,EmAuto1,6)*VLOOKUP(ProjLoc,EmCost,6)+VLOOKUP(0,EmAuto1,7)*VLOOKUP(ProjLoc,EmCost,7))+O123*M123*0.00000110231131*(VLOOKUP(0,EmTruck1,2)*VLOOKUP(ProjLoc,EmCost,2)+VLOOKUP(0,EmTruck1,3)*VLOOKUP(ProjLoc,EmCost,3)*(1+CO2Uprater)^($B123-YearCurrent)+VLOOKUP(0,EmTruck1,4)*VLOOKUP(ProjLoc,EmCost,4)+VLOOKUP(0,EmTruck1,5)*VLOOKUP(ProjLoc,EmCost,5)+VLOOKUP(0,EmTruck1,6)*VLOOKUP(ProjLoc,EmCost,6)+VLOOKUP(0,EmTruck1,7)*VLOOKUP(ProjLoc,EmCost,7)),0)</f>
        <v>0</v>
      </c>
      <c r="T123" s="801">
        <f>IF(INDEX(HwyTransitModelGroup,A114,1)=Hwy,P123*(1-N123)*0.00000110231131*(VLOOKUP(0,EmAuto1,2)*VLOOKUP(ProjLoc,EmCost,2)+VLOOKUP(0,EmAuto1,3)*VLOOKUP(ProjLoc,EmCost,3)*(1+CO2Uprater)^($B123-YearCurrent)+VLOOKUP(0,EmAuto1,4)*VLOOKUP(ProjLoc,EmCost,4)+VLOOKUP(0,EmAuto1,5)*VLOOKUP(ProjLoc,EmCost,5)+VLOOKUP(0,EmAuto1,6)*VLOOKUP(ProjLoc,EmCost,6)+VLOOKUP(0,EmAuto1,7)*VLOOKUP(ProjLoc,EmCost,7))+P123*N123*0.00000110231131*(VLOOKUP(0,EmTruck1,2)*VLOOKUP(ProjLoc,EmCost,2)+VLOOKUP(0,EmTruck1,3)*VLOOKUP(ProjLoc,EmCost,3)*(1+CO2Uprater)^($B123-YearCurrent)+VLOOKUP(0,EmTruck1,4)*VLOOKUP(ProjLoc,EmCost,4)+VLOOKUP(0,EmTruck1,5)*VLOOKUP(ProjLoc,EmCost,5)+VLOOKUP(0,EmTruck1,6)*VLOOKUP(ProjLoc,EmCost,6)+VLOOKUP(0,EmTruck1,7)*VLOOKUP(ProjLoc,EmCost,7)),0)</f>
        <v>0</v>
      </c>
      <c r="U123" s="727">
        <f>IF(INDEX(HwyTransitModelGroup,A114,1)=PARAMETERS!$J$9,C123*0.00000110231131*(VLOOKUP(K123,EmBus1,2)*VLOOKUP(ProjLoc,EmCost,2)+VLOOKUP(K123,EmBus1,3)*VLOOKUP(ProjLoc,EmCost,3)*(1+CO2Uprater)^($B123-YearCurrent)+VLOOKUP(K123,EmBus1,4)*VLOOKUP(ProjLoc,EmCost,4)+VLOOKUP(K123,EmBus1,5)*VLOOKUP(ProjLoc,EmCost,5)+VLOOKUP(K123,EmBus1,6)*VLOOKUP(ProjLoc,EmCost,6)+VLOOKUP(K123,EmBus1,7)*VLOOKUP(ProjLoc,EmCost,7)),0)</f>
        <v>0</v>
      </c>
      <c r="V123" s="801">
        <f>IF(INDEX(HwyTransitModelGroup,A114,1)=PARAMETERS!$J$9,D123*0.00000110231131*(VLOOKUP(L123,EmBus1,2)*VLOOKUP(ProjLoc,EmCost,2)+VLOOKUP(L123,EmBus1,3)*VLOOKUP(ProjLoc,EmCost,3)*(1+CO2Uprater)^($B123-YearCurrent)+VLOOKUP(L123,EmBus1,4)*VLOOKUP(ProjLoc,EmCost,4)+VLOOKUP(L123,EmBus1,5)*VLOOKUP(ProjLoc,EmCost,5)+VLOOKUP(L123,EmBus1,6)*VLOOKUP(ProjLoc,EmCost,6)+VLOOKUP(L123,EmBus1,7)*VLOOKUP(ProjLoc,EmCost,7)),0)</f>
        <v>0</v>
      </c>
      <c r="W123" s="808">
        <f>IF(INDEX(HwyTransitModelGroup,A114,1)=PARAMETERS!$J$10,C123*0.00000110231131*(PARAMETERS!$CQ$28*VLOOKUP(ProjLoc,EmCost,2)+PARAMETERS!$CR$28*VLOOKUP(ProjLoc,EmCost,3)*(1+CO2Uprater)^($B123-YearCurrent)+PARAMETERS!$CS$28*VLOOKUP(ProjLoc,EmCost,4)+PARAMETERS!$CT$28*VLOOKUP(ProjLoc,EmCost,5)+PARAMETERS!$CU$28*VLOOKUP(ProjLoc,EmCost,6)+PARAMETERS!$CV$28*VLOOKUP(ProjLoc,EmCost,7)),0)</f>
        <v>0</v>
      </c>
      <c r="X123" s="844">
        <f>IF(INDEX(HwyTransitModelGroup,A114,1)=PARAMETERS!$J$10,D123*0.00000110231131*(PARAMETERS!$CQ$28*VLOOKUP(ProjLoc,EmCost,2)+PARAMETERS!$CR$28*VLOOKUP(ProjLoc,EmCost,3)*(1+CO2Uprater)^($B123-YearCurrent)+PARAMETERS!$CS$28*VLOOKUP(ProjLoc,EmCost,4)+PARAMETERS!$CT$28*VLOOKUP(ProjLoc,EmCost,5)+PARAMETERS!$CU$28*VLOOKUP(ProjLoc,EmCost,6)+PARAMETERS!$CV$28*VLOOKUP(ProjLoc,EmCost,7)),0)</f>
        <v>0</v>
      </c>
      <c r="Y123" s="808">
        <f>IF(INDEX(HwyTransitModelGroup,A114,1)=PARAMETERS!$J$11,C123*0.00000110231131*(PARAMETERS!$CQ$36*VLOOKUP(ProjLoc,EmCost,2)+PARAMETERS!$CR$36*VLOOKUP(ProjLoc,EmCost,3)*(1+CO2Uprater)^($B123-YearCurrent)+PARAMETERS!$CS$36*VLOOKUP(ProjLoc,EmCost,4)+PARAMETERS!$CT$36*VLOOKUP(ProjLoc,EmCost,5)+PARAMETERS!$CU$36*VLOOKUP(ProjLoc,EmCost,6)+PARAMETERS!$CV$36*VLOOKUP(ProjLoc,EmCost,7)),0)</f>
        <v>0</v>
      </c>
      <c r="Z123" s="844">
        <f>IF(INDEX(HwyTransitModelGroup,A114,1)=PARAMETERS!$J$11,D123*0.00000110231131*(PARAMETERS!$CQ$36*VLOOKUP(ProjLoc,EmCost,2)+PARAMETERS!$CR$36*VLOOKUP(ProjLoc,EmCost,3)*(1+CO2Uprater)^($B123-YearCurrent)+PARAMETERS!$CS$36*VLOOKUP(ProjLoc,EmCost,4)+PARAMETERS!$CT$36*VLOOKUP(ProjLoc,EmCost,5)+PARAMETERS!$CU$36*VLOOKUP(ProjLoc,EmCost,6)+PARAMETERS!$CV$36*VLOOKUP(ProjLoc,EmCost,7)),0)</f>
        <v>0</v>
      </c>
      <c r="AA123" s="369">
        <f t="shared" ref="AA123:AA142" si="48">(Q123+S123+U123+W123+Y123)-(R123+T123+V123+X123+Z123)</f>
        <v>-1622.8887752601295</v>
      </c>
      <c r="AB123" s="370">
        <f t="shared" ref="AB123:AB142" si="49">AA123/(1+DiscRate)^(B123-YearCurrent)</f>
        <v>-1387.2521266674573</v>
      </c>
      <c r="AC123" s="371"/>
      <c r="AD123" s="393">
        <f>IF(INDEX(HwyTransitModelGroup,A114,1)=Hwy,0.00000110231131*(C123*(1-M123)*VLOOKUP(K123,EmAuto1,2)-D123*(1-N123)*VLOOKUP(L123,EmAuto1,2)+(O123*(1-M123)-P123*(1-N123))*VLOOKUP(0,EmAuto1,2))+0.00000110231131*(C123*M123*VLOOKUP(K123,EmTruck1,2)-D123*N123*VLOOKUP(L123,EmTruck1,2)+(O123*M123-P123*N123)*VLOOKUP(0,EmTruck1,2)),0)</f>
        <v>0.30446341602745353</v>
      </c>
      <c r="AE123" s="862">
        <f>IF(INDEX(HwyTransitModelGroup,A114,1)=Hwy,0.00000110231131*(C123*(1-M123)*VLOOKUP(K123,EmAuto1,3)-D123*(1-N123)*VLOOKUP(L123,EmAuto1,3)+(O123*(1-M123)-P123*(1-N123))*VLOOKUP(0,EmAuto1,3))+0.00000110231131*(C123*M123*VLOOKUP(K123,EmTruck1,3)-D123*N123*VLOOKUP(L123,EmTruck1,3)+(O123*M123-P123*N123)*VLOOKUP(0,EmTruck1,3)),0)</f>
        <v>-20.287035496856451</v>
      </c>
      <c r="AF123" s="860">
        <f>IF(INDEX(HwyTransitModelGroup,A114,1)=Hwy,0.00000110231131*(C123*(1-M123)*VLOOKUP(K123,EmAuto1,4)-D123*(1-N123)*VLOOKUP(L123,EmAuto1,4)+(O123*(1-M123)-P123*(1-N123))*VLOOKUP(0,EmAuto1,4))+0.00000110231131*(C123*M123*VLOOKUP(K123,EmTruck1,4)-D123*N123*VLOOKUP(L123,EmTruck1,4)+(O123*M123-P123*N123)*VLOOKUP(0,EmTruck1,4)),0)</f>
        <v>-1.4896858129102927E-2</v>
      </c>
      <c r="AG123" s="862">
        <f>IF(INDEX(HwyTransitModelGroup,A114,1)=Hwy,0.00000110231131*(C123*(1-M123)*VLOOKUP(K123,EmAuto1,5)-D123*(1-N123)*VLOOKUP(L123,EmAuto1,5)+(O123*(1-M123)-P123*(1-N123))*VLOOKUP(0,EmAuto1,5))+0.00000110231131*(C123*M123*VLOOKUP(K123,EmTruck1,5)-D123*N123*VLOOKUP(L123,EmTruck1,5)+(O123*M123-P123*N123)*VLOOKUP(0,EmTruck1,5)),0)</f>
        <v>-3.0704113669991454E-3</v>
      </c>
      <c r="AH123" s="860">
        <f>IF(INDEX(HwyTransitModelGroup,A114,1)=Hwy,0.00000110231131*(C123*(1-M123)*VLOOKUP(K123,EmAuto1,6)-D123*(1-N123)*VLOOKUP(L123,EmAuto1,6)+(O123*(1-M123)-P123*(1-N123))*VLOOKUP(0,EmAuto1,6))+0.00000110231131*(C123*M123*VLOOKUP(K123,EmTruck1,6)-D123*N123*VLOOKUP(L123,EmTruck1,6)+(O123*M123-P123*N123)*VLOOKUP(0,EmTruck1,6)),0)</f>
        <v>-2.3529377249114532E-4</v>
      </c>
      <c r="AI123" s="862">
        <f>IF(INDEX(HwyTransitModelGroup,A114,1)=Hwy,0.00000110231131*(C123*(1-M123)*VLOOKUP(K123,EmAuto1,7)-D123*(1-N123)*VLOOKUP(L123,EmAuto1,7)+(O123*(1-M123)-P123*(1-N123))*VLOOKUP(0,EmAuto1,7))+0.00000110231131*(C123*M123*VLOOKUP(K123,EmTruck1,7)-D123*N123*VLOOKUP(L123,EmTruck1,7)+(O123*M123-P123*N123)*VLOOKUP(0,EmTruck1,7)),0)</f>
        <v>3.5534699550795732E-3</v>
      </c>
      <c r="AJ123" s="860">
        <f>IF(INDEX(HwyTransitModelGroup,A114,1)=Hwy,0.00000110231131*(C123*(1-M123)*VLOOKUP(K123,EmAuto1,8)-D123*(1-N123)*VLOOKUP(L123,EmAuto1,8)+(O123*(1-M123)-P123*(1-N123))*VLOOKUP(0,EmAuto1,8))+0.00000110231131*(C123*M123*VLOOKUP(K123,EmTruck1,8)-D123*N123*VLOOKUP(L123,EmTruck1,8)+(O123*M123-P123*N123)*VLOOKUP(0,EmTruck1,8)),0)</f>
        <v>-2.9451263893167739E-3</v>
      </c>
      <c r="AK123" s="393">
        <f>IF(INDEX(HwyTransitModelGroup,A114,1)=PARAMETERS!$J$9,0.00000110231131*(C123*VLOOKUP(K123,EmBus1,2)-D123*VLOOKUP(L123,EmBus1,2)+(O123-P123)*VLOOKUP(0,EmBus1,2)),0)</f>
        <v>0</v>
      </c>
      <c r="AL123" s="862">
        <f>IF(INDEX(HwyTransitModelGroup,A114,1)=PARAMETERS!$J$9,0.00000110231131*(C123*VLOOKUP(K123,EmBus1,3)-D123*VLOOKUP(L123,EmBus1,3)+(O123-P123)*VLOOKUP(0,EmBus1,3)),0)</f>
        <v>0</v>
      </c>
      <c r="AM123" s="860">
        <f>IF(INDEX(HwyTransitModelGroup,A114,1)=PARAMETERS!$J$9,0.00000110231131*(C123*VLOOKUP(K123,EmBus1,4)-D123*VLOOKUP(L123,EmBus1,4)+(O123-P123)*VLOOKUP(0,EmBus1,4)),0)</f>
        <v>0</v>
      </c>
      <c r="AN123" s="862">
        <f>IF(INDEX(HwyTransitModelGroup,A114,1)=PARAMETERS!$J$9,0.00000110231131*(C123*VLOOKUP(K123,EmBus1,5)-D123*VLOOKUP(L123,EmBus1,5)+(O123-P123)*VLOOKUP(0,EmBus1,5)),0)</f>
        <v>0</v>
      </c>
      <c r="AO123" s="860">
        <f>IF(INDEX(HwyTransitModelGroup,A114,1)=PARAMETERS!$J$9,0.00000110231131*(C123*VLOOKUP(K123,EmBus1,6)-D123*VLOOKUP(L123,EmBus1,6)+(O123-P123)*VLOOKUP(0,EmBus1,6)),0)</f>
        <v>0</v>
      </c>
      <c r="AP123" s="862">
        <f>IF(INDEX(HwyTransitModelGroup,A114,1)=PARAMETERS!$J$9,0.00000110231131*(C123*VLOOKUP(K123,EmBus1,7)-D123*VLOOKUP(L123,EmBus1,7)+(O123-P123)*VLOOKUP(0,EmBus1,7)),0)</f>
        <v>0</v>
      </c>
      <c r="AQ123" s="860">
        <f>IF(INDEX(HwyTransitModelGroup,A114,1)=PARAMETERS!$J$9,0.00000110231131*(C123*VLOOKUP(K123,EmBus1,8)-D123*VLOOKUP(L123,EmBus1,8)+(O123-P123)*VLOOKUP(0,EmBus1,8)),0)</f>
        <v>0</v>
      </c>
      <c r="AR123" s="393">
        <f>IF(INDEX(HwyTransitModelGroup,A114,1)=PARAMETERS!$J$10,0.00000110231131*((C123-D123)*PARAMETERS!$CQ$28),0)</f>
        <v>0</v>
      </c>
      <c r="AS123" s="862">
        <f>IF(INDEX(HwyTransitModelGroup,A114,1)=PARAMETERS!$J$10,0.00000110231131*((C123-D123)*PARAMETERS!$CR$28),0)</f>
        <v>0</v>
      </c>
      <c r="AT123" s="860">
        <f>IF(INDEX(HwyTransitModelGroup,A114,1)=PARAMETERS!$J$10,0.00000110231131*((C123-D123)*PARAMETERS!$CS$28),0)</f>
        <v>0</v>
      </c>
      <c r="AU123" s="862">
        <f>IF(INDEX(HwyTransitModelGroup,A114,1)=PARAMETERS!$J$10,0.00000110231131*((C123-D123)*PARAMETERS!$CT$28),0)</f>
        <v>0</v>
      </c>
      <c r="AV123" s="860">
        <f>IF(INDEX(HwyTransitModelGroup,A114,1)=PARAMETERS!$J$10,0.00000110231131*((C123-D123)*PARAMETERS!$CU$28),0)</f>
        <v>0</v>
      </c>
      <c r="AW123" s="862">
        <f>IF(INDEX(HwyTransitModelGroup,A114,1)=PARAMETERS!$J$10,0.00000110231131*((C123-D123)*PARAMETERS!$CV$28),0)</f>
        <v>0</v>
      </c>
      <c r="AX123" s="860">
        <f>IF(INDEX(HwyTransitModelGroup,A114,1)=PARAMETERS!$J$10,0.00000110231131*((C123-D123)*PARAMETERS!$CW$28),0)</f>
        <v>0</v>
      </c>
      <c r="AY123" s="393">
        <f>IF(INDEX(HwyTransitModelGroup,A114,1)=PARAMETERS!$J$11,0.00000110231131*((C123-D123)*PARAMETERS!$CQ$36),0)</f>
        <v>0</v>
      </c>
      <c r="AZ123" s="862">
        <f>IF(INDEX(HwyTransitModelGroup,A114,1)=PARAMETERS!$J$11,0.00000110231131*((C123-D123)*PARAMETERS!$CR$36),0)</f>
        <v>0</v>
      </c>
      <c r="BA123" s="860">
        <f>IF(INDEX(HwyTransitModelGroup,A114,1)=PARAMETERS!$J$11,0.00000110231131*((C123-D123)*PARAMETERS!$CS$36),0)</f>
        <v>0</v>
      </c>
      <c r="BB123" s="862">
        <f>IF(INDEX(HwyTransitModelGroup,A114,1)=PARAMETERS!$J$11,0.00000110231131*((C123-D123)*PARAMETERS!$CT$36),0)</f>
        <v>0</v>
      </c>
      <c r="BC123" s="860">
        <f>IF(INDEX(HwyTransitModelGroup,A114,1)=PARAMETERS!$J$11,0.00000110231131*((C123-D123)*PARAMETERS!$CU$36),0)</f>
        <v>0</v>
      </c>
      <c r="BD123" s="862">
        <f>IF(INDEX(HwyTransitModelGroup,A114,1)=PARAMETERS!$J$11,0.00000110231131*((C123-D123)*PARAMETERS!$CV$36),0)</f>
        <v>0</v>
      </c>
      <c r="BE123" s="864">
        <f>IF(INDEX(HwyTransitModelGroup,A114,1)=PARAMETERS!$J$11,0.00000110231131*((C123-D123)*PARAMETERS!$CW$36),0)</f>
        <v>0</v>
      </c>
      <c r="BF123" s="727">
        <f t="shared" ref="BF123:BF142" si="50">(AD123+AK123+AR123+AY123)*VLOOKUP(ProjLoc,EmCost,2)/(1+DiscRate)^($B123-YearCurrent)</f>
        <v>20.820528322839539</v>
      </c>
      <c r="BG123" s="866">
        <f t="shared" ref="BG123:BG142" si="51">(AE123+AL123+AS123+AZ123)*VLOOKUP(ProjLoc,EmCost,3)*(1+CO2Uprater)^($B123-YearCurrent)/(1+DiscRate)^($B123-YearCurrent)</f>
        <v>-901.00490724043755</v>
      </c>
      <c r="BH123" s="866">
        <f t="shared" ref="BH123:BH142" si="52">(AF123+AM123+AT123+BA123)*VLOOKUP(ProjLoc,EmCost,4)/(1+DiscRate)^($B123-YearCurrent)</f>
        <v>-192.28184110517955</v>
      </c>
      <c r="BI123" s="866">
        <f t="shared" ref="BI123:BI142" si="53">(AG123+AN123+AU123+BB123)*VLOOKUP(ProjLoc,EmCost,5)/(1+DiscRate)^($B123-YearCurrent)</f>
        <v>-306.29087889804407</v>
      </c>
      <c r="BJ123" s="866">
        <f t="shared" ref="BJ123:BJ142" si="54">(AH123+AO123+AV123+BC123)*VLOOKUP(ProjLoc,EmCost,6)/(1+DiscRate)^($B123-YearCurrent)</f>
        <v>-11.866676068068921</v>
      </c>
      <c r="BK123" s="868">
        <f t="shared" ref="BK123:BK142" si="55">(AI123+AP123+AW123+BD123)*VLOOKUP(ProjLoc,EmCost,7)/(1+DiscRate)^($B123-YearCurrent)</f>
        <v>3.3716483214332555</v>
      </c>
      <c r="BL123" s="392"/>
      <c r="BN123" s="335"/>
      <c r="BO123" s="1777" t="str">
        <f t="shared" ref="BO123:BT123" si="56">IF(ISBLANK(INDEX(ModelGroup,BO122,1)),"Not Used",INDEX(ModelGroup,BO122,1))</f>
        <v>SB Off-ramp to Ave 280</v>
      </c>
      <c r="BP123" s="1777" t="str">
        <f t="shared" si="56"/>
        <v>SB On-ramp from Ave 280</v>
      </c>
      <c r="BQ123" s="1777" t="str">
        <f t="shared" si="56"/>
        <v>NB Off-ramp to Ave 280</v>
      </c>
      <c r="BR123" s="1777" t="str">
        <f t="shared" si="56"/>
        <v>NB On-ramp from Ave 280</v>
      </c>
      <c r="BS123" s="1777" t="str">
        <f t="shared" si="56"/>
        <v>NB Mainline</v>
      </c>
      <c r="BT123" s="1777" t="str">
        <f t="shared" si="56"/>
        <v>SB Mainline</v>
      </c>
    </row>
    <row r="124" spans="1:72" x14ac:dyDescent="0.25">
      <c r="B124" s="375">
        <f>B123+1</f>
        <v>2027</v>
      </c>
      <c r="C124" s="401">
        <f>MAX(TREND(C120:C121,B120:B121,B124),0)</f>
        <v>929052.75</v>
      </c>
      <c r="D124" s="402">
        <f>MAX(TREND(D120:D121,B120:B121,B124),0)</f>
        <v>765989</v>
      </c>
      <c r="E124" s="401">
        <f>MAX(TREND(E120:E121,B120:B121,B124),0)</f>
        <v>21462</v>
      </c>
      <c r="F124" s="402">
        <f>MAX(TREND(F120:F121,B120:B121,B124),0)</f>
        <v>10001</v>
      </c>
      <c r="G124" s="401">
        <f>MAX(TREND(G120:G121,B120:B121,B124),0)</f>
        <v>0</v>
      </c>
      <c r="H124" s="402">
        <f>MAX(TREND(H120:H121,B120:B121,B124),0)</f>
        <v>0</v>
      </c>
      <c r="I124" s="401">
        <f>MAX(TREND(I120:I121,B120:B121,B124),0)</f>
        <v>0</v>
      </c>
      <c r="J124" s="402">
        <f>MAX(TREND(J120:J121,B120:B121,B124),0)</f>
        <v>0</v>
      </c>
      <c r="K124" s="435">
        <f>IFERROR(IF(INDEX(HwyTransitModelGroup,A114,1)=Hwy,MAX(5,ROUND(C124/E124,1)),MAX(5,ROUND(G124/I124,1))),55)</f>
        <v>43.3</v>
      </c>
      <c r="L124" s="436">
        <f>IFERROR(IF(INDEX(HwyTransitModelGroup,A114,1)=Hwy,MAX(5,ROUND(D124/F124,1)),MAX(5,ROUND(H124/J124,1))),55)</f>
        <v>76.599999999999994</v>
      </c>
      <c r="M124" s="405">
        <f>MIN(MAX(TREND(M120:M121,B120:B121,B124),0),1)</f>
        <v>0.24</v>
      </c>
      <c r="N124" s="406">
        <f>MIN(MAX(TREND(N120:N121,B120:B121,B124),0),1)</f>
        <v>0.24</v>
      </c>
      <c r="O124" s="401">
        <f>MAX(TREND(O120:O121,B120:B121,B124),0)</f>
        <v>0</v>
      </c>
      <c r="P124" s="402">
        <f>MAX(TREND(P120:P121,B120:B121,B124),0)</f>
        <v>0</v>
      </c>
      <c r="Q124" s="729">
        <f>IF(INDEX(HwyTransitModelGroup,A114,1)=Hwy,C124*(1-M124)*0.00000110231131*(VLOOKUP(K124,EmAuto1,2)*VLOOKUP(ProjLoc,EmCost,2)+VLOOKUP(K124,EmAuto1,3)*VLOOKUP(ProjLoc,EmCost,3)*(1+CO2Uprater)^($B124-YearCurrent)+VLOOKUP(K124,EmAuto1,4)*VLOOKUP(ProjLoc,EmCost,4)+VLOOKUP(K124,EmAuto1,5)*VLOOKUP(ProjLoc,EmCost,5)+VLOOKUP(K124,EmAuto1,6)*VLOOKUP(ProjLoc,EmCost,6)+VLOOKUP(K124,EmAuto1,7)*VLOOKUP(ProjLoc,EmCost,7))+C124*M124*0.00000110231131*(VLOOKUP(K124,EmTruck1,2)*VLOOKUP(ProjLoc,EmCost,2)+VLOOKUP(K124,EmTruck1,3)*VLOOKUP(ProjLoc,EmCost,3)*(1+CO2Uprater)^($B124-YearCurrent)+VLOOKUP(K124,EmTruck1,4)*VLOOKUP(ProjLoc,EmCost,4)+VLOOKUP(K124,EmTruck1,5)*VLOOKUP(ProjLoc,EmCost,5)+VLOOKUP(K124,EmTruck1,6)*VLOOKUP(ProjLoc,EmCost,6)+VLOOKUP(K124,EmTruck1,7)*VLOOKUP(ProjLoc,EmCost,7)),0)</f>
        <v>29884.84125789714</v>
      </c>
      <c r="R124" s="802">
        <f>IF(INDEX(HwyTransitModelGroup,A114,1)=Hwy,D124*(1-N124)*0.00000110231131*(VLOOKUP(L124,EmAuto1,2)*VLOOKUP(ProjLoc,EmCost,2)+VLOOKUP(L124,EmAuto1,3)*VLOOKUP(ProjLoc,EmCost,3)*(1+CO2Uprater)^($B124-YearCurrent)+VLOOKUP(L124,EmAuto1,4)*VLOOKUP(ProjLoc,EmCost,4)+VLOOKUP(L124,EmAuto1,5)*VLOOKUP(ProjLoc,EmCost,5)+VLOOKUP(L124,EmAuto1,6)*VLOOKUP(ProjLoc,EmCost,6)+VLOOKUP(L124,EmAuto1,7)*VLOOKUP(ProjLoc,EmCost,7))+D124*N124*0.00000110231131*(VLOOKUP(L124,EmTruck1,2)*VLOOKUP(ProjLoc,EmCost,2)+VLOOKUP(L124,EmTruck1,3)*VLOOKUP(ProjLoc,EmCost,3)*(1+CO2Uprater)^($B124-YearCurrent)+VLOOKUP(L124,EmTruck1,4)*VLOOKUP(ProjLoc,EmCost,4)+VLOOKUP(L124,EmTruck1,5)*VLOOKUP(ProjLoc,EmCost,5)+VLOOKUP(L124,EmTruck1,6)*VLOOKUP(ProjLoc,EmCost,6)+VLOOKUP(L124,EmTruck1,7)*VLOOKUP(ProjLoc,EmCost,7)),0)</f>
        <v>31548.876782944055</v>
      </c>
      <c r="S124" s="729">
        <f>IF(INDEX(HwyTransitModelGroup,A114,1)=Hwy,O124*(1-M124)*0.00000110231131*(VLOOKUP(0,EmAuto1,2)*VLOOKUP(ProjLoc,EmCost,2)+VLOOKUP(0,EmAuto1,3)*VLOOKUP(ProjLoc,EmCost,3)*(1+CO2Uprater)^($B124-YearCurrent)+VLOOKUP(0,EmAuto1,4)*VLOOKUP(ProjLoc,EmCost,4)+VLOOKUP(0,EmAuto1,5)*VLOOKUP(ProjLoc,EmCost,5)+VLOOKUP(0,EmAuto1,6)*VLOOKUP(ProjLoc,EmCost,6)+VLOOKUP(0,EmAuto1,7)*VLOOKUP(ProjLoc,EmCost,7))+O124*M124*0.00000110231131*(VLOOKUP(0,EmTruck1,2)*VLOOKUP(ProjLoc,EmCost,2)+VLOOKUP(0,EmTruck1,3)*VLOOKUP(ProjLoc,EmCost,3)*(1+CO2Uprater)^($B124-YearCurrent)+VLOOKUP(0,EmTruck1,4)*VLOOKUP(ProjLoc,EmCost,4)+VLOOKUP(0,EmTruck1,5)*VLOOKUP(ProjLoc,EmCost,5)+VLOOKUP(0,EmTruck1,6)*VLOOKUP(ProjLoc,EmCost,6)+VLOOKUP(0,EmTruck1,7)*VLOOKUP(ProjLoc,EmCost,7)),0)</f>
        <v>0</v>
      </c>
      <c r="T124" s="802">
        <f>IF(INDEX(HwyTransitModelGroup,A114,1)=Hwy,P124*(1-N124)*0.00000110231131*(VLOOKUP(0,EmAuto1,2)*VLOOKUP(ProjLoc,EmCost,2)+VLOOKUP(0,EmAuto1,3)*VLOOKUP(ProjLoc,EmCost,3)*(1+CO2Uprater)^($B124-YearCurrent)+VLOOKUP(0,EmAuto1,4)*VLOOKUP(ProjLoc,EmCost,4)+VLOOKUP(0,EmAuto1,5)*VLOOKUP(ProjLoc,EmCost,5)+VLOOKUP(0,EmAuto1,6)*VLOOKUP(ProjLoc,EmCost,6)+VLOOKUP(0,EmAuto1,7)*VLOOKUP(ProjLoc,EmCost,7))+P124*N124*0.00000110231131*(VLOOKUP(0,EmTruck1,2)*VLOOKUP(ProjLoc,EmCost,2)+VLOOKUP(0,EmTruck1,3)*VLOOKUP(ProjLoc,EmCost,3)*(1+CO2Uprater)^($B124-YearCurrent)+VLOOKUP(0,EmTruck1,4)*VLOOKUP(ProjLoc,EmCost,4)+VLOOKUP(0,EmTruck1,5)*VLOOKUP(ProjLoc,EmCost,5)+VLOOKUP(0,EmTruck1,6)*VLOOKUP(ProjLoc,EmCost,6)+VLOOKUP(0,EmTruck1,7)*VLOOKUP(ProjLoc,EmCost,7)),0)</f>
        <v>0</v>
      </c>
      <c r="U124" s="729">
        <f>IF(INDEX(HwyTransitModelGroup,A114,1)=PARAMETERS!$J$9,C124*0.00000110231131*(VLOOKUP(K124,EmBus1,2)*VLOOKUP(ProjLoc,EmCost,2)+VLOOKUP(K124,EmBus1,3)*VLOOKUP(ProjLoc,EmCost,3)*(1+CO2Uprater)^($B124-YearCurrent)+VLOOKUP(K124,EmBus1,4)*VLOOKUP(ProjLoc,EmCost,4)+VLOOKUP(K124,EmBus1,5)*VLOOKUP(ProjLoc,EmCost,5)+VLOOKUP(K124,EmBus1,6)*VLOOKUP(ProjLoc,EmCost,6)+VLOOKUP(K124,EmBus1,7)*VLOOKUP(ProjLoc,EmCost,7)),0)</f>
        <v>0</v>
      </c>
      <c r="V124" s="802">
        <f>IF(INDEX(HwyTransitModelGroup,A114,1)=PARAMETERS!$J$9,D124*0.00000110231131*(VLOOKUP(L124,EmBus1,2)*VLOOKUP(ProjLoc,EmCost,2)+VLOOKUP(L124,EmBus1,3)*VLOOKUP(ProjLoc,EmCost,3)*(1+CO2Uprater)^($B124-YearCurrent)+VLOOKUP(L124,EmBus1,4)*VLOOKUP(ProjLoc,EmCost,4)+VLOOKUP(L124,EmBus1,5)*VLOOKUP(ProjLoc,EmCost,5)+VLOOKUP(L124,EmBus1,6)*VLOOKUP(ProjLoc,EmCost,6)+VLOOKUP(L124,EmBus1,7)*VLOOKUP(ProjLoc,EmCost,7)),0)</f>
        <v>0</v>
      </c>
      <c r="W124" s="808">
        <f>IF(INDEX(HwyTransitModelGroup,A114,1)=PARAMETERS!$J$10,C124*0.00000110231131*(PARAMETERS!$CQ$28*VLOOKUP(ProjLoc,EmCost,2)+PARAMETERS!$CR$28*VLOOKUP(ProjLoc,EmCost,3)*(1+CO2Uprater)^($B124-YearCurrent)+PARAMETERS!$CS$28*VLOOKUP(ProjLoc,EmCost,4)+PARAMETERS!$CT$28*VLOOKUP(ProjLoc,EmCost,5)+PARAMETERS!$CU$28*VLOOKUP(ProjLoc,EmCost,6)+PARAMETERS!$CV$28*VLOOKUP(ProjLoc,EmCost,7)),0)</f>
        <v>0</v>
      </c>
      <c r="X124" s="844">
        <f>IF(INDEX(HwyTransitModelGroup,A114,1)=PARAMETERS!$J$10,D124*0.00000110231131*(PARAMETERS!$CQ$28*VLOOKUP(ProjLoc,EmCost,2)+PARAMETERS!$CR$28*VLOOKUP(ProjLoc,EmCost,3)*(1+CO2Uprater)^($B124-YearCurrent)+PARAMETERS!$CS$28*VLOOKUP(ProjLoc,EmCost,4)+PARAMETERS!$CT$28*VLOOKUP(ProjLoc,EmCost,5)+PARAMETERS!$CU$28*VLOOKUP(ProjLoc,EmCost,6)+PARAMETERS!$CV$28*VLOOKUP(ProjLoc,EmCost,7)),0)</f>
        <v>0</v>
      </c>
      <c r="Y124" s="808">
        <f>IF(INDEX(HwyTransitModelGroup,A114,1)=PARAMETERS!$J$11,C124*0.00000110231131*(PARAMETERS!$CQ$36*VLOOKUP(ProjLoc,EmCost,2)+PARAMETERS!$CR$36*VLOOKUP(ProjLoc,EmCost,3)*(1+CO2Uprater)^($B124-YearCurrent)+PARAMETERS!$CS$36*VLOOKUP(ProjLoc,EmCost,4)+PARAMETERS!$CT$36*VLOOKUP(ProjLoc,EmCost,5)+PARAMETERS!$CU$36*VLOOKUP(ProjLoc,EmCost,6)+PARAMETERS!$CV$36*VLOOKUP(ProjLoc,EmCost,7)),0)</f>
        <v>0</v>
      </c>
      <c r="Z124" s="844">
        <f>IF(INDEX(HwyTransitModelGroup,A114,1)=PARAMETERS!$J$11,D124*0.00000110231131*(PARAMETERS!$CQ$36*VLOOKUP(ProjLoc,EmCost,2)+PARAMETERS!$CR$36*VLOOKUP(ProjLoc,EmCost,3)*(1+CO2Uprater)^($B124-YearCurrent)+PARAMETERS!$CS$36*VLOOKUP(ProjLoc,EmCost,4)+PARAMETERS!$CT$36*VLOOKUP(ProjLoc,EmCost,5)+PARAMETERS!$CU$36*VLOOKUP(ProjLoc,EmCost,6)+PARAMETERS!$CV$36*VLOOKUP(ProjLoc,EmCost,7)),0)</f>
        <v>0</v>
      </c>
      <c r="AA124" s="369">
        <f t="shared" si="48"/>
        <v>-1664.0355250469147</v>
      </c>
      <c r="AB124" s="370">
        <f t="shared" si="49"/>
        <v>-1367.715904646589</v>
      </c>
      <c r="AC124" s="371"/>
      <c r="AD124" s="401">
        <f>IF(INDEX(HwyTransitModelGroup,A114,1)=Hwy,0.00000110231131*(C124*(1-M124)*VLOOKUP(K124,EmAuto1,2)-D124*(1-N124)*VLOOKUP(L124,EmAuto1,2)+(O124*(1-M124)-P124*(1-N124))*VLOOKUP(0,EmAuto1,2))+0.00000110231131*(C124*M124*VLOOKUP(K124,EmTruck1,2)-D124*N124*VLOOKUP(L124,EmTruck1,2)+(O124*M124-P124*N124)*VLOOKUP(0,EmTruck1,2)),0)</f>
        <v>0.30840127180752808</v>
      </c>
      <c r="AE124" s="863">
        <f>IF(INDEX(HwyTransitModelGroup,A114,1)=Hwy,0.00000110231131*(C124*(1-M124)*VLOOKUP(K124,EmAuto1,3)-D124*(1-N124)*VLOOKUP(L124,EmAuto1,3)+(O124*(1-M124)-P124*(1-N124))*VLOOKUP(0,EmAuto1,3))+0.00000110231131*(C124*M124*VLOOKUP(K124,EmTruck1,3)-D124*N124*VLOOKUP(L124,EmTruck1,3)+(O124*M124-P124*N124)*VLOOKUP(0,EmTruck1,3)),0)</f>
        <v>-20.531478428505654</v>
      </c>
      <c r="AF124" s="861">
        <f>IF(INDEX(HwyTransitModelGroup,A114,1)=Hwy,0.00000110231131*(C124*(1-M124)*VLOOKUP(K124,EmAuto1,4)-D124*(1-N124)*VLOOKUP(L124,EmAuto1,4)+(O124*(1-M124)-P124*(1-N124))*VLOOKUP(0,EmAuto1,4))+0.00000110231131*(C124*M124*VLOOKUP(K124,EmTruck1,4)-D124*N124*VLOOKUP(L124,EmTruck1,4)+(O124*M124-P124*N124)*VLOOKUP(0,EmTruck1,4)),0)</f>
        <v>-1.5077197636205728E-2</v>
      </c>
      <c r="AG124" s="863">
        <f>IF(INDEX(HwyTransitModelGroup,A114,1)=Hwy,0.00000110231131*(C124*(1-M124)*VLOOKUP(K124,EmAuto1,5)-D124*(1-N124)*VLOOKUP(L124,EmAuto1,5)+(O124*(1-M124)-P124*(1-N124))*VLOOKUP(0,EmAuto1,5))+0.00000110231131*(C124*M124*VLOOKUP(K124,EmTruck1,5)-D124*N124*VLOOKUP(L124,EmTruck1,5)+(O124*M124-P124*N124)*VLOOKUP(0,EmTruck1,5)),0)</f>
        <v>-3.1097041652555476E-3</v>
      </c>
      <c r="AH124" s="861">
        <f>IF(INDEX(HwyTransitModelGroup,A114,1)=Hwy,0.00000110231131*(C124*(1-M124)*VLOOKUP(K124,EmAuto1,6)-D124*(1-N124)*VLOOKUP(L124,EmAuto1,6)+(O124*(1-M124)-P124*(1-N124))*VLOOKUP(0,EmAuto1,6))+0.00000110231131*(C124*M124*VLOOKUP(K124,EmTruck1,6)-D124*N124*VLOOKUP(L124,EmTruck1,6)+(O124*M124-P124*N124)*VLOOKUP(0,EmTruck1,6)),0)</f>
        <v>-2.3816087318534189E-4</v>
      </c>
      <c r="AI124" s="863">
        <f>IF(INDEX(HwyTransitModelGroup,A114,1)=Hwy,0.00000110231131*(C124*(1-M124)*VLOOKUP(K124,EmAuto1,7)-D124*(1-N124)*VLOOKUP(L124,EmAuto1,7)+(O124*(1-M124)-P124*(1-N124))*VLOOKUP(0,EmAuto1,7))+0.00000110231131*(C124*M124*VLOOKUP(K124,EmTruck1,7)-D124*N124*VLOOKUP(L124,EmTruck1,7)+(O124*M124-P124*N124)*VLOOKUP(0,EmTruck1,7)),0)</f>
        <v>3.5997859832402387E-3</v>
      </c>
      <c r="AJ124" s="861">
        <f>IF(INDEX(HwyTransitModelGroup,A114,1)=Hwy,0.00000110231131*(C124*(1-M124)*VLOOKUP(K124,EmAuto1,8)-D124*(1-N124)*VLOOKUP(L124,EmAuto1,8)+(O124*(1-M124)-P124*(1-N124))*VLOOKUP(0,EmAuto1,8))+0.00000110231131*(C124*M124*VLOOKUP(K124,EmTruck1,8)-D124*N124*VLOOKUP(L124,EmTruck1,8)+(O124*M124-P124*N124)*VLOOKUP(0,EmTruck1,8)),0)</f>
        <v>-2.9828177794644132E-3</v>
      </c>
      <c r="AK124" s="401">
        <f>IF(INDEX(HwyTransitModelGroup,A114,1)=PARAMETERS!$J$9,0.00000110231131*(C124*VLOOKUP(K124,EmBus1,2)-D124*VLOOKUP(L124,EmBus1,2)+(O124-P124)*VLOOKUP(0,EmBus1,2)),0)</f>
        <v>0</v>
      </c>
      <c r="AL124" s="863">
        <f>IF(INDEX(HwyTransitModelGroup,A114,1)=PARAMETERS!$J$9,0.00000110231131*(C124*VLOOKUP(K124,EmBus1,3)-D124*VLOOKUP(L124,EmBus1,3)+(O124-P124)*VLOOKUP(0,EmBus1,3)),0)</f>
        <v>0</v>
      </c>
      <c r="AM124" s="861">
        <f>IF(INDEX(HwyTransitModelGroup,A114,1)=PARAMETERS!$J$9,0.00000110231131*(C124*VLOOKUP(K124,EmBus1,4)-D124*VLOOKUP(L124,EmBus1,4)+(O124-P124)*VLOOKUP(0,EmBus1,4)),0)</f>
        <v>0</v>
      </c>
      <c r="AN124" s="863">
        <f>IF(INDEX(HwyTransitModelGroup,A114,1)=PARAMETERS!$J$9,0.00000110231131*(C124*VLOOKUP(K124,EmBus1,5)-D124*VLOOKUP(L124,EmBus1,5)+(O124-P124)*VLOOKUP(0,EmBus1,5)),0)</f>
        <v>0</v>
      </c>
      <c r="AO124" s="861">
        <f>IF(INDEX(HwyTransitModelGroup,A114,1)=PARAMETERS!$J$9,0.00000110231131*(C124*VLOOKUP(K124,EmBus1,6)-D124*VLOOKUP(L124,EmBus1,6)+(O124-P124)*VLOOKUP(0,EmBus1,6)),0)</f>
        <v>0</v>
      </c>
      <c r="AP124" s="863">
        <f>IF(INDEX(HwyTransitModelGroup,A114,1)=PARAMETERS!$J$9,0.00000110231131*(C124*VLOOKUP(K124,EmBus1,7)-D124*VLOOKUP(L124,EmBus1,7)+(O124-P124)*VLOOKUP(0,EmBus1,7)),0)</f>
        <v>0</v>
      </c>
      <c r="AQ124" s="861">
        <f>IF(INDEX(HwyTransitModelGroup,A114,1)=PARAMETERS!$J$9,0.00000110231131*(C124*VLOOKUP(K124,EmBus1,8)-D124*VLOOKUP(L124,EmBus1,8)+(O124-P124)*VLOOKUP(0,EmBus1,8)),0)</f>
        <v>0</v>
      </c>
      <c r="AR124" s="401">
        <f>IF(INDEX(HwyTransitModelGroup,A114,1)=PARAMETERS!$J$10,0.00000110231131*((C124-D124)*PARAMETERS!$CQ$28),0)</f>
        <v>0</v>
      </c>
      <c r="AS124" s="863">
        <f>IF(INDEX(HwyTransitModelGroup,A114,1)=PARAMETERS!$J$10,0.00000110231131*((C124-D124)*PARAMETERS!$CR$28),0)</f>
        <v>0</v>
      </c>
      <c r="AT124" s="861">
        <f>IF(INDEX(HwyTransitModelGroup,A114,1)=PARAMETERS!$J$10,0.00000110231131*((C124-D124)*PARAMETERS!$CS$28),0)</f>
        <v>0</v>
      </c>
      <c r="AU124" s="863">
        <f>IF(INDEX(HwyTransitModelGroup,A114,1)=PARAMETERS!$J$10,0.00000110231131*((C124-D124)*PARAMETERS!$CT$28),0)</f>
        <v>0</v>
      </c>
      <c r="AV124" s="861">
        <f>IF(INDEX(HwyTransitModelGroup,A114,1)=PARAMETERS!$J$10,0.00000110231131*((C124-D124)*PARAMETERS!$CU$28),0)</f>
        <v>0</v>
      </c>
      <c r="AW124" s="863">
        <f>IF(INDEX(HwyTransitModelGroup,A114,1)=PARAMETERS!$J$10,0.00000110231131*((C124-D124)*PARAMETERS!$CV$28),0)</f>
        <v>0</v>
      </c>
      <c r="AX124" s="861">
        <f>IF(INDEX(HwyTransitModelGroup,A114,1)=PARAMETERS!$J$10,0.00000110231131*((C124-D124)*PARAMETERS!$CW$28),0)</f>
        <v>0</v>
      </c>
      <c r="AY124" s="401">
        <f>IF(INDEX(HwyTransitModelGroup,A114,1)=PARAMETERS!$J$11,0.00000110231131*((C124-D124)*PARAMETERS!$CQ$36),0)</f>
        <v>0</v>
      </c>
      <c r="AZ124" s="863">
        <f>IF(INDEX(HwyTransitModelGroup,A114,1)=PARAMETERS!$J$11,0.00000110231131*((C124-D124)*PARAMETERS!$CR$36),0)</f>
        <v>0</v>
      </c>
      <c r="BA124" s="861">
        <f>IF(INDEX(HwyTransitModelGroup,A114,1)=PARAMETERS!$J$11,0.00000110231131*((C124-D124)*PARAMETERS!$CS$36),0)</f>
        <v>0</v>
      </c>
      <c r="BB124" s="863">
        <f>IF(INDEX(HwyTransitModelGroup,A114,1)=PARAMETERS!$J$11,0.00000110231131*((C124-D124)*PARAMETERS!$CT$36),0)</f>
        <v>0</v>
      </c>
      <c r="BC124" s="861">
        <f>IF(INDEX(HwyTransitModelGroup,A114,1)=PARAMETERS!$J$11,0.00000110231131*((C124-D124)*PARAMETERS!$CU$36),0)</f>
        <v>0</v>
      </c>
      <c r="BD124" s="863">
        <f>IF(INDEX(HwyTransitModelGroup,A114,1)=PARAMETERS!$J$11,0.00000110231131*((C124-D124)*PARAMETERS!$CV$36),0)</f>
        <v>0</v>
      </c>
      <c r="BE124" s="865">
        <f>IF(INDEX(HwyTransitModelGroup,A114,1)=PARAMETERS!$J$11,0.00000110231131*((C124-D124)*PARAMETERS!$CW$36),0)</f>
        <v>0</v>
      </c>
      <c r="BF124" s="729">
        <f t="shared" si="50"/>
        <v>20.278669204613273</v>
      </c>
      <c r="BG124" s="867">
        <f t="shared" si="51"/>
        <v>-894.32551812974964</v>
      </c>
      <c r="BH124" s="867">
        <f t="shared" si="52"/>
        <v>-187.12459721059918</v>
      </c>
      <c r="BI124" s="867">
        <f t="shared" si="53"/>
        <v>-298.2793822046138</v>
      </c>
      <c r="BJ124" s="867">
        <f t="shared" si="54"/>
        <v>-11.549301768990023</v>
      </c>
      <c r="BK124" s="869">
        <f t="shared" si="55"/>
        <v>3.2842254627548439</v>
      </c>
      <c r="BL124" s="392"/>
      <c r="BN124" s="77" t="s">
        <v>34</v>
      </c>
      <c r="BO124" s="1778"/>
      <c r="BP124" s="1778"/>
      <c r="BQ124" s="1778"/>
      <c r="BR124" s="1778"/>
      <c r="BS124" s="1778"/>
      <c r="BT124" s="1778"/>
    </row>
    <row r="125" spans="1:72" x14ac:dyDescent="0.25">
      <c r="B125" s="375">
        <f t="shared" ref="B125:B142" si="57">B124+1</f>
        <v>2028</v>
      </c>
      <c r="C125" s="401">
        <f>MAX(TREND(C120:C121,B120:B121,B125),0)</f>
        <v>940860.5</v>
      </c>
      <c r="D125" s="402">
        <f>MAX(TREND(D120:D121,B120:B121,B125),0)</f>
        <v>775698</v>
      </c>
      <c r="E125" s="401">
        <f>MAX(TREND(E120:E121,B120:B121,B125),0)</f>
        <v>21754</v>
      </c>
      <c r="F125" s="402">
        <f>MAX(TREND(F120:F121,B120:B121,B125),0)</f>
        <v>10147</v>
      </c>
      <c r="G125" s="401">
        <f>MAX(TREND(G120:G121,B120:B121,B125),0)</f>
        <v>0</v>
      </c>
      <c r="H125" s="402">
        <f>MAX(TREND(H120:H121,B120:B121,B125),0)</f>
        <v>0</v>
      </c>
      <c r="I125" s="401">
        <f>MAX(TREND(I120:I121,B120:B121,B125),0)</f>
        <v>0</v>
      </c>
      <c r="J125" s="402">
        <f>MAX(TREND(J120:J121,B120:B121,B125),0)</f>
        <v>0</v>
      </c>
      <c r="K125" s="435">
        <f>IFERROR(IF(INDEX(HwyTransitModelGroup,A114,1)=Hwy,MAX(5,ROUND(C125/E125,1)),MAX(5,ROUND(G125/I125,1))),55)</f>
        <v>43.3</v>
      </c>
      <c r="L125" s="436">
        <f>IFERROR(IF(INDEX(HwyTransitModelGroup,A114,1)=Hwy,MAX(5,ROUND(D125/F125,1)),MAX(5,ROUND(H125/J125,1))),55)</f>
        <v>76.400000000000006</v>
      </c>
      <c r="M125" s="405">
        <f>MIN(MAX(TREND(M120:M121,B120:B121,B125),0),1)</f>
        <v>0.24</v>
      </c>
      <c r="N125" s="406">
        <f>MIN(MAX(TREND(N120:N121,B120:B121,B125),0),1)</f>
        <v>0.24</v>
      </c>
      <c r="O125" s="401">
        <f>MAX(TREND(O120:O121,B120:B121,B125),0)</f>
        <v>0</v>
      </c>
      <c r="P125" s="402">
        <f>MAX(TREND(P120:P121,B120:B121,B125),0)</f>
        <v>0</v>
      </c>
      <c r="Q125" s="729">
        <f>IF(INDEX(HwyTransitModelGroup,A114,1)=Hwy,C125*(1-M125)*0.00000110231131*(VLOOKUP(K125,EmAuto1,2)*VLOOKUP(ProjLoc,EmCost,2)+VLOOKUP(K125,EmAuto1,3)*VLOOKUP(ProjLoc,EmCost,3)*(1+CO2Uprater)^($B125-YearCurrent)+VLOOKUP(K125,EmAuto1,4)*VLOOKUP(ProjLoc,EmCost,4)+VLOOKUP(K125,EmAuto1,5)*VLOOKUP(ProjLoc,EmCost,5)+VLOOKUP(K125,EmAuto1,6)*VLOOKUP(ProjLoc,EmCost,6)+VLOOKUP(K125,EmAuto1,7)*VLOOKUP(ProjLoc,EmCost,7))+C125*M125*0.00000110231131*(VLOOKUP(K125,EmTruck1,2)*VLOOKUP(ProjLoc,EmCost,2)+VLOOKUP(K125,EmTruck1,3)*VLOOKUP(ProjLoc,EmCost,3)*(1+CO2Uprater)^($B125-YearCurrent)+VLOOKUP(K125,EmTruck1,4)*VLOOKUP(ProjLoc,EmCost,4)+VLOOKUP(K125,EmTruck1,5)*VLOOKUP(ProjLoc,EmCost,5)+VLOOKUP(K125,EmTruck1,6)*VLOOKUP(ProjLoc,EmCost,6)+VLOOKUP(K125,EmTruck1,7)*VLOOKUP(ProjLoc,EmCost,7)),0)</f>
        <v>30758.494810882021</v>
      </c>
      <c r="R125" s="802">
        <f>IF(INDEX(HwyTransitModelGroup,A114,1)=Hwy,D125*(1-N125)*0.00000110231131*(VLOOKUP(L125,EmAuto1,2)*VLOOKUP(ProjLoc,EmCost,2)+VLOOKUP(L125,EmAuto1,3)*VLOOKUP(ProjLoc,EmCost,3)*(1+CO2Uprater)^($B125-YearCurrent)+VLOOKUP(L125,EmAuto1,4)*VLOOKUP(ProjLoc,EmCost,4)+VLOOKUP(L125,EmAuto1,5)*VLOOKUP(ProjLoc,EmCost,5)+VLOOKUP(L125,EmAuto1,6)*VLOOKUP(ProjLoc,EmCost,6)+VLOOKUP(L125,EmAuto1,7)*VLOOKUP(ProjLoc,EmCost,7))+D125*N125*0.00000110231131*(VLOOKUP(L125,EmTruck1,2)*VLOOKUP(ProjLoc,EmCost,2)+VLOOKUP(L125,EmTruck1,3)*VLOOKUP(ProjLoc,EmCost,3)*(1+CO2Uprater)^($B125-YearCurrent)+VLOOKUP(L125,EmTruck1,4)*VLOOKUP(ProjLoc,EmCost,4)+VLOOKUP(L125,EmTruck1,5)*VLOOKUP(ProjLoc,EmCost,5)+VLOOKUP(L125,EmTruck1,6)*VLOOKUP(ProjLoc,EmCost,6)+VLOOKUP(L125,EmTruck1,7)*VLOOKUP(ProjLoc,EmCost,7)),0)</f>
        <v>32464.616883753806</v>
      </c>
      <c r="S125" s="729">
        <f>IF(INDEX(HwyTransitModelGroup,A114,1)=Hwy,O125*(1-M125)*0.00000110231131*(VLOOKUP(0,EmAuto1,2)*VLOOKUP(ProjLoc,EmCost,2)+VLOOKUP(0,EmAuto1,3)*VLOOKUP(ProjLoc,EmCost,3)*(1+CO2Uprater)^($B125-YearCurrent)+VLOOKUP(0,EmAuto1,4)*VLOOKUP(ProjLoc,EmCost,4)+VLOOKUP(0,EmAuto1,5)*VLOOKUP(ProjLoc,EmCost,5)+VLOOKUP(0,EmAuto1,6)*VLOOKUP(ProjLoc,EmCost,6)+VLOOKUP(0,EmAuto1,7)*VLOOKUP(ProjLoc,EmCost,7))+O125*M125*0.00000110231131*(VLOOKUP(0,EmTruck1,2)*VLOOKUP(ProjLoc,EmCost,2)+VLOOKUP(0,EmTruck1,3)*VLOOKUP(ProjLoc,EmCost,3)*(1+CO2Uprater)^($B125-YearCurrent)+VLOOKUP(0,EmTruck1,4)*VLOOKUP(ProjLoc,EmCost,4)+VLOOKUP(0,EmTruck1,5)*VLOOKUP(ProjLoc,EmCost,5)+VLOOKUP(0,EmTruck1,6)*VLOOKUP(ProjLoc,EmCost,6)+VLOOKUP(0,EmTruck1,7)*VLOOKUP(ProjLoc,EmCost,7)),0)</f>
        <v>0</v>
      </c>
      <c r="T125" s="802">
        <f>IF(INDEX(HwyTransitModelGroup,A114,1)=Hwy,P125*(1-N125)*0.00000110231131*(VLOOKUP(0,EmAuto1,2)*VLOOKUP(ProjLoc,EmCost,2)+VLOOKUP(0,EmAuto1,3)*VLOOKUP(ProjLoc,EmCost,3)*(1+CO2Uprater)^($B125-YearCurrent)+VLOOKUP(0,EmAuto1,4)*VLOOKUP(ProjLoc,EmCost,4)+VLOOKUP(0,EmAuto1,5)*VLOOKUP(ProjLoc,EmCost,5)+VLOOKUP(0,EmAuto1,6)*VLOOKUP(ProjLoc,EmCost,6)+VLOOKUP(0,EmAuto1,7)*VLOOKUP(ProjLoc,EmCost,7))+P125*N125*0.00000110231131*(VLOOKUP(0,EmTruck1,2)*VLOOKUP(ProjLoc,EmCost,2)+VLOOKUP(0,EmTruck1,3)*VLOOKUP(ProjLoc,EmCost,3)*(1+CO2Uprater)^($B125-YearCurrent)+VLOOKUP(0,EmTruck1,4)*VLOOKUP(ProjLoc,EmCost,4)+VLOOKUP(0,EmTruck1,5)*VLOOKUP(ProjLoc,EmCost,5)+VLOOKUP(0,EmTruck1,6)*VLOOKUP(ProjLoc,EmCost,6)+VLOOKUP(0,EmTruck1,7)*VLOOKUP(ProjLoc,EmCost,7)),0)</f>
        <v>0</v>
      </c>
      <c r="U125" s="729">
        <f>IF(INDEX(HwyTransitModelGroup,A114,1)=PARAMETERS!$J$9,C125*0.00000110231131*(VLOOKUP(K125,EmBus1,2)*VLOOKUP(ProjLoc,EmCost,2)+VLOOKUP(K125,EmBus1,3)*VLOOKUP(ProjLoc,EmCost,3)*(1+CO2Uprater)^($B125-YearCurrent)+VLOOKUP(K125,EmBus1,4)*VLOOKUP(ProjLoc,EmCost,4)+VLOOKUP(K125,EmBus1,5)*VLOOKUP(ProjLoc,EmCost,5)+VLOOKUP(K125,EmBus1,6)*VLOOKUP(ProjLoc,EmCost,6)+VLOOKUP(K125,EmBus1,7)*VLOOKUP(ProjLoc,EmCost,7)),0)</f>
        <v>0</v>
      </c>
      <c r="V125" s="802">
        <f>IF(INDEX(HwyTransitModelGroup,A114,1)=PARAMETERS!$J$9,D125*0.00000110231131*(VLOOKUP(L125,EmBus1,2)*VLOOKUP(ProjLoc,EmCost,2)+VLOOKUP(L125,EmBus1,3)*VLOOKUP(ProjLoc,EmCost,3)*(1+CO2Uprater)^($B125-YearCurrent)+VLOOKUP(L125,EmBus1,4)*VLOOKUP(ProjLoc,EmCost,4)+VLOOKUP(L125,EmBus1,5)*VLOOKUP(ProjLoc,EmCost,5)+VLOOKUP(L125,EmBus1,6)*VLOOKUP(ProjLoc,EmCost,6)+VLOOKUP(L125,EmBus1,7)*VLOOKUP(ProjLoc,EmCost,7)),0)</f>
        <v>0</v>
      </c>
      <c r="W125" s="808">
        <f>IF(INDEX(HwyTransitModelGroup,A114,1)=PARAMETERS!$J$10,C125*0.00000110231131*(PARAMETERS!$CQ$28*VLOOKUP(ProjLoc,EmCost,2)+PARAMETERS!$CR$28*VLOOKUP(ProjLoc,EmCost,3)*(1+CO2Uprater)^($B125-YearCurrent)+PARAMETERS!$CS$28*VLOOKUP(ProjLoc,EmCost,4)+PARAMETERS!$CT$28*VLOOKUP(ProjLoc,EmCost,5)+PARAMETERS!$CU$28*VLOOKUP(ProjLoc,EmCost,6)+PARAMETERS!$CV$28*VLOOKUP(ProjLoc,EmCost,7)),0)</f>
        <v>0</v>
      </c>
      <c r="X125" s="844">
        <f>IF(INDEX(HwyTransitModelGroup,A114,1)=PARAMETERS!$J$10,D125*0.00000110231131*(PARAMETERS!$CQ$28*VLOOKUP(ProjLoc,EmCost,2)+PARAMETERS!$CR$28*VLOOKUP(ProjLoc,EmCost,3)*(1+CO2Uprater)^($B125-YearCurrent)+PARAMETERS!$CS$28*VLOOKUP(ProjLoc,EmCost,4)+PARAMETERS!$CT$28*VLOOKUP(ProjLoc,EmCost,5)+PARAMETERS!$CU$28*VLOOKUP(ProjLoc,EmCost,6)+PARAMETERS!$CV$28*VLOOKUP(ProjLoc,EmCost,7)),0)</f>
        <v>0</v>
      </c>
      <c r="Y125" s="808">
        <f>IF(INDEX(HwyTransitModelGroup,A114,1)=PARAMETERS!$J$11,C125*0.00000110231131*(PARAMETERS!$CQ$36*VLOOKUP(ProjLoc,EmCost,2)+PARAMETERS!$CR$36*VLOOKUP(ProjLoc,EmCost,3)*(1+CO2Uprater)^($B125-YearCurrent)+PARAMETERS!$CS$36*VLOOKUP(ProjLoc,EmCost,4)+PARAMETERS!$CT$36*VLOOKUP(ProjLoc,EmCost,5)+PARAMETERS!$CU$36*VLOOKUP(ProjLoc,EmCost,6)+PARAMETERS!$CV$36*VLOOKUP(ProjLoc,EmCost,7)),0)</f>
        <v>0</v>
      </c>
      <c r="Z125" s="844">
        <f>IF(INDEX(HwyTransitModelGroup,A114,1)=PARAMETERS!$J$11,D125*0.00000110231131*(PARAMETERS!$CQ$36*VLOOKUP(ProjLoc,EmCost,2)+PARAMETERS!$CR$36*VLOOKUP(ProjLoc,EmCost,3)*(1+CO2Uprater)^($B125-YearCurrent)+PARAMETERS!$CS$36*VLOOKUP(ProjLoc,EmCost,4)+PARAMETERS!$CT$36*VLOOKUP(ProjLoc,EmCost,5)+PARAMETERS!$CU$36*VLOOKUP(ProjLoc,EmCost,6)+PARAMETERS!$CV$36*VLOOKUP(ProjLoc,EmCost,7)),0)</f>
        <v>0</v>
      </c>
      <c r="AA125" s="369">
        <f t="shared" si="48"/>
        <v>-1706.1220728717853</v>
      </c>
      <c r="AB125" s="370">
        <f t="shared" si="49"/>
        <v>-1348.373056859398</v>
      </c>
      <c r="AC125" s="371"/>
      <c r="AD125" s="401">
        <f>IF(INDEX(HwyTransitModelGroup,A114,1)=Hwy,0.00000110231131*(C125*(1-M125)*VLOOKUP(K125,EmAuto1,2)-D125*(1-N125)*VLOOKUP(L125,EmAuto1,2)+(O125*(1-M125)-P125*(1-N125))*VLOOKUP(0,EmAuto1,2))+0.00000110231131*(C125*M125*VLOOKUP(K125,EmTruck1,2)-D125*N125*VLOOKUP(L125,EmTruck1,2)+(O125*M125-P125*N125)*VLOOKUP(0,EmTruck1,2)),0)</f>
        <v>0.31233912758760241</v>
      </c>
      <c r="AE125" s="863">
        <f>IF(INDEX(HwyTransitModelGroup,A114,1)=Hwy,0.00000110231131*(C125*(1-M125)*VLOOKUP(K125,EmAuto1,3)-D125*(1-N125)*VLOOKUP(L125,EmAuto1,3)+(O125*(1-M125)-P125*(1-N125))*VLOOKUP(0,EmAuto1,3))+0.00000110231131*(C125*M125*VLOOKUP(K125,EmTruck1,3)-D125*N125*VLOOKUP(L125,EmTruck1,3)+(O125*M125-P125*N125)*VLOOKUP(0,EmTruck1,3)),0)</f>
        <v>-20.775921360154861</v>
      </c>
      <c r="AF125" s="861">
        <f>IF(INDEX(HwyTransitModelGroup,A114,1)=Hwy,0.00000110231131*(C125*(1-M125)*VLOOKUP(K125,EmAuto1,4)-D125*(1-N125)*VLOOKUP(L125,EmAuto1,4)+(O125*(1-M125)-P125*(1-N125))*VLOOKUP(0,EmAuto1,4))+0.00000110231131*(C125*M125*VLOOKUP(K125,EmTruck1,4)-D125*N125*VLOOKUP(L125,EmTruck1,4)+(O125*M125-P125*N125)*VLOOKUP(0,EmTruck1,4)),0)</f>
        <v>-1.5257537143308578E-2</v>
      </c>
      <c r="AG125" s="863">
        <f>IF(INDEX(HwyTransitModelGroup,A114,1)=Hwy,0.00000110231131*(C125*(1-M125)*VLOOKUP(K125,EmAuto1,5)-D125*(1-N125)*VLOOKUP(L125,EmAuto1,5)+(O125*(1-M125)-P125*(1-N125))*VLOOKUP(0,EmAuto1,5))+0.00000110231131*(C125*M125*VLOOKUP(K125,EmTruck1,5)-D125*N125*VLOOKUP(L125,EmTruck1,5)+(O125*M125-P125*N125)*VLOOKUP(0,EmTruck1,5)),0)</f>
        <v>-3.1489969635119515E-3</v>
      </c>
      <c r="AH125" s="861">
        <f>IF(INDEX(HwyTransitModelGroup,A114,1)=Hwy,0.00000110231131*(C125*(1-M125)*VLOOKUP(K125,EmAuto1,6)-D125*(1-N125)*VLOOKUP(L125,EmAuto1,6)+(O125*(1-M125)-P125*(1-N125))*VLOOKUP(0,EmAuto1,6))+0.00000110231131*(C125*M125*VLOOKUP(K125,EmTruck1,6)-D125*N125*VLOOKUP(L125,EmTruck1,6)+(O125*M125-P125*N125)*VLOOKUP(0,EmTruck1,6)),0)</f>
        <v>-2.4102797387953869E-4</v>
      </c>
      <c r="AI125" s="863">
        <f>IF(INDEX(HwyTransitModelGroup,A114,1)=Hwy,0.00000110231131*(C125*(1-M125)*VLOOKUP(K125,EmAuto1,7)-D125*(1-N125)*VLOOKUP(L125,EmAuto1,7)+(O125*(1-M125)-P125*(1-N125))*VLOOKUP(0,EmAuto1,7))+0.00000110231131*(C125*M125*VLOOKUP(K125,EmTruck1,7)-D125*N125*VLOOKUP(L125,EmTruck1,7)+(O125*M125-P125*N125)*VLOOKUP(0,EmTruck1,7)),0)</f>
        <v>3.6461020114009002E-3</v>
      </c>
      <c r="AJ125" s="861">
        <f>IF(INDEX(HwyTransitModelGroup,A114,1)=Hwy,0.00000110231131*(C125*(1-M125)*VLOOKUP(K125,EmAuto1,8)-D125*(1-N125)*VLOOKUP(L125,EmAuto1,8)+(O125*(1-M125)-P125*(1-N125))*VLOOKUP(0,EmAuto1,8))+0.00000110231131*(C125*M125*VLOOKUP(K125,EmTruck1,8)-D125*N125*VLOOKUP(L125,EmTruck1,8)+(O125*M125-P125*N125)*VLOOKUP(0,EmTruck1,8)),0)</f>
        <v>-3.0205091696120542E-3</v>
      </c>
      <c r="AK125" s="401">
        <f>IF(INDEX(HwyTransitModelGroup,A114,1)=PARAMETERS!$J$9,0.00000110231131*(C125*VLOOKUP(K125,EmBus1,2)-D125*VLOOKUP(L125,EmBus1,2)+(O125-P125)*VLOOKUP(0,EmBus1,2)),0)</f>
        <v>0</v>
      </c>
      <c r="AL125" s="863">
        <f>IF(INDEX(HwyTransitModelGroup,A114,1)=PARAMETERS!$J$9,0.00000110231131*(C125*VLOOKUP(K125,EmBus1,3)-D125*VLOOKUP(L125,EmBus1,3)+(O125-P125)*VLOOKUP(0,EmBus1,3)),0)</f>
        <v>0</v>
      </c>
      <c r="AM125" s="861">
        <f>IF(INDEX(HwyTransitModelGroup,A114,1)=PARAMETERS!$J$9,0.00000110231131*(C125*VLOOKUP(K125,EmBus1,4)-D125*VLOOKUP(L125,EmBus1,4)+(O125-P125)*VLOOKUP(0,EmBus1,4)),0)</f>
        <v>0</v>
      </c>
      <c r="AN125" s="863">
        <f>IF(INDEX(HwyTransitModelGroup,A114,1)=PARAMETERS!$J$9,0.00000110231131*(C125*VLOOKUP(K125,EmBus1,5)-D125*VLOOKUP(L125,EmBus1,5)+(O125-P125)*VLOOKUP(0,EmBus1,5)),0)</f>
        <v>0</v>
      </c>
      <c r="AO125" s="861">
        <f>IF(INDEX(HwyTransitModelGroup,A114,1)=PARAMETERS!$J$9,0.00000110231131*(C125*VLOOKUP(K125,EmBus1,6)-D125*VLOOKUP(L125,EmBus1,6)+(O125-P125)*VLOOKUP(0,EmBus1,6)),0)</f>
        <v>0</v>
      </c>
      <c r="AP125" s="863">
        <f>IF(INDEX(HwyTransitModelGroup,A114,1)=PARAMETERS!$J$9,0.00000110231131*(C125*VLOOKUP(K125,EmBus1,7)-D125*VLOOKUP(L125,EmBus1,7)+(O125-P125)*VLOOKUP(0,EmBus1,7)),0)</f>
        <v>0</v>
      </c>
      <c r="AQ125" s="861">
        <f>IF(INDEX(HwyTransitModelGroup,A114,1)=PARAMETERS!$J$9,0.00000110231131*(C125*VLOOKUP(K125,EmBus1,8)-D125*VLOOKUP(L125,EmBus1,8)+(O125-P125)*VLOOKUP(0,EmBus1,8)),0)</f>
        <v>0</v>
      </c>
      <c r="AR125" s="401">
        <f>IF(INDEX(HwyTransitModelGroup,A114,1)=PARAMETERS!$J$10,0.00000110231131*((C125-D125)*PARAMETERS!$CQ$28),0)</f>
        <v>0</v>
      </c>
      <c r="AS125" s="863">
        <f>IF(INDEX(HwyTransitModelGroup,A114,1)=PARAMETERS!$J$10,0.00000110231131*((C125-D125)*PARAMETERS!$CR$28),0)</f>
        <v>0</v>
      </c>
      <c r="AT125" s="861">
        <f>IF(INDEX(HwyTransitModelGroup,A114,1)=PARAMETERS!$J$10,0.00000110231131*((C125-D125)*PARAMETERS!$CS$28),0)</f>
        <v>0</v>
      </c>
      <c r="AU125" s="863">
        <f>IF(INDEX(HwyTransitModelGroup,A114,1)=PARAMETERS!$J$10,0.00000110231131*((C125-D125)*PARAMETERS!$CT$28),0)</f>
        <v>0</v>
      </c>
      <c r="AV125" s="861">
        <f>IF(INDEX(HwyTransitModelGroup,A114,1)=PARAMETERS!$J$10,0.00000110231131*((C125-D125)*PARAMETERS!$CU$28),0)</f>
        <v>0</v>
      </c>
      <c r="AW125" s="863">
        <f>IF(INDEX(HwyTransitModelGroup,A114,1)=PARAMETERS!$J$10,0.00000110231131*((C125-D125)*PARAMETERS!$CV$28),0)</f>
        <v>0</v>
      </c>
      <c r="AX125" s="861">
        <f>IF(INDEX(HwyTransitModelGroup,A114,1)=PARAMETERS!$J$10,0.00000110231131*((C125-D125)*PARAMETERS!$CW$28),0)</f>
        <v>0</v>
      </c>
      <c r="AY125" s="401">
        <f>IF(INDEX(HwyTransitModelGroup,A114,1)=PARAMETERS!$J$11,0.00000110231131*((C125-D125)*PARAMETERS!$CQ$36),0)</f>
        <v>0</v>
      </c>
      <c r="AZ125" s="863">
        <f>IF(INDEX(HwyTransitModelGroup,A114,1)=PARAMETERS!$J$11,0.00000110231131*((C125-D125)*PARAMETERS!$CR$36),0)</f>
        <v>0</v>
      </c>
      <c r="BA125" s="861">
        <f>IF(INDEX(HwyTransitModelGroup,A114,1)=PARAMETERS!$J$11,0.00000110231131*((C125-D125)*PARAMETERS!$CS$36),0)</f>
        <v>0</v>
      </c>
      <c r="BB125" s="863">
        <f>IF(INDEX(HwyTransitModelGroup,A114,1)=PARAMETERS!$J$11,0.00000110231131*((C125-D125)*PARAMETERS!$CT$36),0)</f>
        <v>0</v>
      </c>
      <c r="BC125" s="861">
        <f>IF(INDEX(HwyTransitModelGroup,A114,1)=PARAMETERS!$J$11,0.00000110231131*((C125-D125)*PARAMETERS!$CU$36),0)</f>
        <v>0</v>
      </c>
      <c r="BD125" s="863">
        <f>IF(INDEX(HwyTransitModelGroup,A114,1)=PARAMETERS!$J$11,0.00000110231131*((C125-D125)*PARAMETERS!$CV$36),0)</f>
        <v>0</v>
      </c>
      <c r="BE125" s="865">
        <f>IF(INDEX(HwyTransitModelGroup,A114,1)=PARAMETERS!$J$11,0.00000110231131*((C125-D125)*PARAMETERS!$CW$36),0)</f>
        <v>0</v>
      </c>
      <c r="BF125" s="729">
        <f t="shared" si="50"/>
        <v>19.747691958909076</v>
      </c>
      <c r="BG125" s="867">
        <f t="shared" si="51"/>
        <v>-887.5698167262625</v>
      </c>
      <c r="BH125" s="867">
        <f t="shared" si="52"/>
        <v>-182.07962379148242</v>
      </c>
      <c r="BI125" s="867">
        <f t="shared" si="53"/>
        <v>-290.43106147148012</v>
      </c>
      <c r="BJ125" s="867">
        <f t="shared" si="54"/>
        <v>-11.238786622994029</v>
      </c>
      <c r="BK125" s="869">
        <f t="shared" si="55"/>
        <v>3.1985397939134765</v>
      </c>
      <c r="BL125" s="392"/>
      <c r="BN125" s="355"/>
      <c r="BO125" s="1779"/>
      <c r="BP125" s="1779"/>
      <c r="BQ125" s="1779"/>
      <c r="BR125" s="1779"/>
      <c r="BS125" s="1779"/>
      <c r="BT125" s="1779"/>
    </row>
    <row r="126" spans="1:72" x14ac:dyDescent="0.25">
      <c r="B126" s="375">
        <f t="shared" si="57"/>
        <v>2029</v>
      </c>
      <c r="C126" s="401">
        <f>MAX(TREND(C120:C121,B120:B121,B126),0)</f>
        <v>952668.25</v>
      </c>
      <c r="D126" s="402">
        <f>MAX(TREND(D120:D121,B120:B121,B126),0)</f>
        <v>785407</v>
      </c>
      <c r="E126" s="401">
        <f>MAX(TREND(E120:E121,B120:B121,B126),0)</f>
        <v>22046</v>
      </c>
      <c r="F126" s="402">
        <f>MAX(TREND(F120:F121,B120:B121,B126),0)</f>
        <v>10293</v>
      </c>
      <c r="G126" s="401">
        <f>MAX(TREND(G120:G121,B120:B121,B126),0)</f>
        <v>0</v>
      </c>
      <c r="H126" s="402">
        <f>MAX(TREND(H120:H121,B120:B121,B126),0)</f>
        <v>0</v>
      </c>
      <c r="I126" s="401">
        <f>MAX(TREND(I120:I121,B120:B121,B126),0)</f>
        <v>0</v>
      </c>
      <c r="J126" s="402">
        <f>MAX(TREND(J120:J121,B120:B121,B126),0)</f>
        <v>0</v>
      </c>
      <c r="K126" s="435">
        <f>IFERROR(IF(INDEX(HwyTransitModelGroup,A114,1)=Hwy,MAX(5,ROUND(C126/E126,1)),MAX(5,ROUND(G126/I126,1))),55)</f>
        <v>43.2</v>
      </c>
      <c r="L126" s="436">
        <f>IFERROR(IF(INDEX(HwyTransitModelGroup,A114,1)=Hwy,MAX(5,ROUND(D126/F126,1)),MAX(5,ROUND(H126/J126,1))),55)</f>
        <v>76.3</v>
      </c>
      <c r="M126" s="405">
        <f>MIN(MAX(TREND(M120:M121,B120:B121,B126),0),1)</f>
        <v>0.24</v>
      </c>
      <c r="N126" s="406">
        <f>MIN(MAX(TREND(N120:N121,B120:B121,B126),0),1)</f>
        <v>0.24</v>
      </c>
      <c r="O126" s="401">
        <f>MAX(TREND(O120:O121,B120:B121,B126),0)</f>
        <v>0</v>
      </c>
      <c r="P126" s="402">
        <f>MAX(TREND(P120:P121,B120:B121,B126),0)</f>
        <v>0</v>
      </c>
      <c r="Q126" s="729">
        <f>IF(INDEX(HwyTransitModelGroup,A114,1)=Hwy,C126*(1-M126)*0.00000110231131*(VLOOKUP(K126,EmAuto1,2)*VLOOKUP(ProjLoc,EmCost,2)+VLOOKUP(K126,EmAuto1,3)*VLOOKUP(ProjLoc,EmCost,3)*(1+CO2Uprater)^($B126-YearCurrent)+VLOOKUP(K126,EmAuto1,4)*VLOOKUP(ProjLoc,EmCost,4)+VLOOKUP(K126,EmAuto1,5)*VLOOKUP(ProjLoc,EmCost,5)+VLOOKUP(K126,EmAuto1,6)*VLOOKUP(ProjLoc,EmCost,6)+VLOOKUP(K126,EmAuto1,7)*VLOOKUP(ProjLoc,EmCost,7))+C126*M126*0.00000110231131*(VLOOKUP(K126,EmTruck1,2)*VLOOKUP(ProjLoc,EmCost,2)+VLOOKUP(K126,EmTruck1,3)*VLOOKUP(ProjLoc,EmCost,3)*(1+CO2Uprater)^($B126-YearCurrent)+VLOOKUP(K126,EmTruck1,4)*VLOOKUP(ProjLoc,EmCost,4)+VLOOKUP(K126,EmTruck1,5)*VLOOKUP(ProjLoc,EmCost,5)+VLOOKUP(K126,EmTruck1,6)*VLOOKUP(ProjLoc,EmCost,6)+VLOOKUP(K126,EmTruck1,7)*VLOOKUP(ProjLoc,EmCost,7)),0)</f>
        <v>31654.544161045553</v>
      </c>
      <c r="R126" s="802">
        <f>IF(INDEX(HwyTransitModelGroup,A114,1)=Hwy,D126*(1-N126)*0.00000110231131*(VLOOKUP(L126,EmAuto1,2)*VLOOKUP(ProjLoc,EmCost,2)+VLOOKUP(L126,EmAuto1,3)*VLOOKUP(ProjLoc,EmCost,3)*(1+CO2Uprater)^($B126-YearCurrent)+VLOOKUP(L126,EmAuto1,4)*VLOOKUP(ProjLoc,EmCost,4)+VLOOKUP(L126,EmAuto1,5)*VLOOKUP(ProjLoc,EmCost,5)+VLOOKUP(L126,EmAuto1,6)*VLOOKUP(ProjLoc,EmCost,6)+VLOOKUP(L126,EmAuto1,7)*VLOOKUP(ProjLoc,EmCost,7))+D126*N126*0.00000110231131*(VLOOKUP(L126,EmTruck1,2)*VLOOKUP(ProjLoc,EmCost,2)+VLOOKUP(L126,EmTruck1,3)*VLOOKUP(ProjLoc,EmCost,3)*(1+CO2Uprater)^($B126-YearCurrent)+VLOOKUP(L126,EmTruck1,4)*VLOOKUP(ProjLoc,EmCost,4)+VLOOKUP(L126,EmTruck1,5)*VLOOKUP(ProjLoc,EmCost,5)+VLOOKUP(L126,EmTruck1,6)*VLOOKUP(ProjLoc,EmCost,6)+VLOOKUP(L126,EmTruck1,7)*VLOOKUP(ProjLoc,EmCost,7)),0)</f>
        <v>33403.716557528242</v>
      </c>
      <c r="S126" s="729">
        <f>IF(INDEX(HwyTransitModelGroup,A114,1)=Hwy,O126*(1-M126)*0.00000110231131*(VLOOKUP(0,EmAuto1,2)*VLOOKUP(ProjLoc,EmCost,2)+VLOOKUP(0,EmAuto1,3)*VLOOKUP(ProjLoc,EmCost,3)*(1+CO2Uprater)^($B126-YearCurrent)+VLOOKUP(0,EmAuto1,4)*VLOOKUP(ProjLoc,EmCost,4)+VLOOKUP(0,EmAuto1,5)*VLOOKUP(ProjLoc,EmCost,5)+VLOOKUP(0,EmAuto1,6)*VLOOKUP(ProjLoc,EmCost,6)+VLOOKUP(0,EmAuto1,7)*VLOOKUP(ProjLoc,EmCost,7))+O126*M126*0.00000110231131*(VLOOKUP(0,EmTruck1,2)*VLOOKUP(ProjLoc,EmCost,2)+VLOOKUP(0,EmTruck1,3)*VLOOKUP(ProjLoc,EmCost,3)*(1+CO2Uprater)^($B126-YearCurrent)+VLOOKUP(0,EmTruck1,4)*VLOOKUP(ProjLoc,EmCost,4)+VLOOKUP(0,EmTruck1,5)*VLOOKUP(ProjLoc,EmCost,5)+VLOOKUP(0,EmTruck1,6)*VLOOKUP(ProjLoc,EmCost,6)+VLOOKUP(0,EmTruck1,7)*VLOOKUP(ProjLoc,EmCost,7)),0)</f>
        <v>0</v>
      </c>
      <c r="T126" s="802">
        <f>IF(INDEX(HwyTransitModelGroup,A114,1)=Hwy,P126*(1-N126)*0.00000110231131*(VLOOKUP(0,EmAuto1,2)*VLOOKUP(ProjLoc,EmCost,2)+VLOOKUP(0,EmAuto1,3)*VLOOKUP(ProjLoc,EmCost,3)*(1+CO2Uprater)^($B126-YearCurrent)+VLOOKUP(0,EmAuto1,4)*VLOOKUP(ProjLoc,EmCost,4)+VLOOKUP(0,EmAuto1,5)*VLOOKUP(ProjLoc,EmCost,5)+VLOOKUP(0,EmAuto1,6)*VLOOKUP(ProjLoc,EmCost,6)+VLOOKUP(0,EmAuto1,7)*VLOOKUP(ProjLoc,EmCost,7))+P126*N126*0.00000110231131*(VLOOKUP(0,EmTruck1,2)*VLOOKUP(ProjLoc,EmCost,2)+VLOOKUP(0,EmTruck1,3)*VLOOKUP(ProjLoc,EmCost,3)*(1+CO2Uprater)^($B126-YearCurrent)+VLOOKUP(0,EmTruck1,4)*VLOOKUP(ProjLoc,EmCost,4)+VLOOKUP(0,EmTruck1,5)*VLOOKUP(ProjLoc,EmCost,5)+VLOOKUP(0,EmTruck1,6)*VLOOKUP(ProjLoc,EmCost,6)+VLOOKUP(0,EmTruck1,7)*VLOOKUP(ProjLoc,EmCost,7)),0)</f>
        <v>0</v>
      </c>
      <c r="U126" s="729">
        <f>IF(INDEX(HwyTransitModelGroup,A114,1)=PARAMETERS!$J$9,C126*0.00000110231131*(VLOOKUP(K126,EmBus1,2)*VLOOKUP(ProjLoc,EmCost,2)+VLOOKUP(K126,EmBus1,3)*VLOOKUP(ProjLoc,EmCost,3)*(1+CO2Uprater)^($B126-YearCurrent)+VLOOKUP(K126,EmBus1,4)*VLOOKUP(ProjLoc,EmCost,4)+VLOOKUP(K126,EmBus1,5)*VLOOKUP(ProjLoc,EmCost,5)+VLOOKUP(K126,EmBus1,6)*VLOOKUP(ProjLoc,EmCost,6)+VLOOKUP(K126,EmBus1,7)*VLOOKUP(ProjLoc,EmCost,7)),0)</f>
        <v>0</v>
      </c>
      <c r="V126" s="802">
        <f>IF(INDEX(HwyTransitModelGroup,A114,1)=PARAMETERS!$J$9,D126*0.00000110231131*(VLOOKUP(L126,EmBus1,2)*VLOOKUP(ProjLoc,EmCost,2)+VLOOKUP(L126,EmBus1,3)*VLOOKUP(ProjLoc,EmCost,3)*(1+CO2Uprater)^($B126-YearCurrent)+VLOOKUP(L126,EmBus1,4)*VLOOKUP(ProjLoc,EmCost,4)+VLOOKUP(L126,EmBus1,5)*VLOOKUP(ProjLoc,EmCost,5)+VLOOKUP(L126,EmBus1,6)*VLOOKUP(ProjLoc,EmCost,6)+VLOOKUP(L126,EmBus1,7)*VLOOKUP(ProjLoc,EmCost,7)),0)</f>
        <v>0</v>
      </c>
      <c r="W126" s="808">
        <f>IF(INDEX(HwyTransitModelGroup,A114,1)=PARAMETERS!$J$10,C126*0.00000110231131*(PARAMETERS!$CQ$28*VLOOKUP(ProjLoc,EmCost,2)+PARAMETERS!$CR$28*VLOOKUP(ProjLoc,EmCost,3)*(1+CO2Uprater)^($B126-YearCurrent)+PARAMETERS!$CS$28*VLOOKUP(ProjLoc,EmCost,4)+PARAMETERS!$CT$28*VLOOKUP(ProjLoc,EmCost,5)+PARAMETERS!$CU$28*VLOOKUP(ProjLoc,EmCost,6)+PARAMETERS!$CV$28*VLOOKUP(ProjLoc,EmCost,7)),0)</f>
        <v>0</v>
      </c>
      <c r="X126" s="844">
        <f>IF(INDEX(HwyTransitModelGroup,A114,1)=PARAMETERS!$J$10,D126*0.00000110231131*(PARAMETERS!$CQ$28*VLOOKUP(ProjLoc,EmCost,2)+PARAMETERS!$CR$28*VLOOKUP(ProjLoc,EmCost,3)*(1+CO2Uprater)^($B126-YearCurrent)+PARAMETERS!$CS$28*VLOOKUP(ProjLoc,EmCost,4)+PARAMETERS!$CT$28*VLOOKUP(ProjLoc,EmCost,5)+PARAMETERS!$CU$28*VLOOKUP(ProjLoc,EmCost,6)+PARAMETERS!$CV$28*VLOOKUP(ProjLoc,EmCost,7)),0)</f>
        <v>0</v>
      </c>
      <c r="Y126" s="808">
        <f>IF(INDEX(HwyTransitModelGroup,A114,1)=PARAMETERS!$J$11,C126*0.00000110231131*(PARAMETERS!$CQ$36*VLOOKUP(ProjLoc,EmCost,2)+PARAMETERS!$CR$36*VLOOKUP(ProjLoc,EmCost,3)*(1+CO2Uprater)^($B126-YearCurrent)+PARAMETERS!$CS$36*VLOOKUP(ProjLoc,EmCost,4)+PARAMETERS!$CT$36*VLOOKUP(ProjLoc,EmCost,5)+PARAMETERS!$CU$36*VLOOKUP(ProjLoc,EmCost,6)+PARAMETERS!$CV$36*VLOOKUP(ProjLoc,EmCost,7)),0)</f>
        <v>0</v>
      </c>
      <c r="Z126" s="844">
        <f>IF(INDEX(HwyTransitModelGroup,A114,1)=PARAMETERS!$J$11,D126*0.00000110231131*(PARAMETERS!$CQ$36*VLOOKUP(ProjLoc,EmCost,2)+PARAMETERS!$CR$36*VLOOKUP(ProjLoc,EmCost,3)*(1+CO2Uprater)^($B126-YearCurrent)+PARAMETERS!$CS$36*VLOOKUP(ProjLoc,EmCost,4)+PARAMETERS!$CT$36*VLOOKUP(ProjLoc,EmCost,5)+PARAMETERS!$CU$36*VLOOKUP(ProjLoc,EmCost,6)+PARAMETERS!$CV$36*VLOOKUP(ProjLoc,EmCost,7)),0)</f>
        <v>0</v>
      </c>
      <c r="AA126" s="369">
        <f t="shared" si="48"/>
        <v>-1749.1723964826888</v>
      </c>
      <c r="AB126" s="370">
        <f t="shared" si="49"/>
        <v>-1329.2272624485372</v>
      </c>
      <c r="AC126" s="371"/>
      <c r="AD126" s="401">
        <f>IF(INDEX(HwyTransitModelGroup,A114,1)=Hwy,0.00000110231131*(C126*(1-M126)*VLOOKUP(K126,EmAuto1,2)-D126*(1-N126)*VLOOKUP(L126,EmAuto1,2)+(O126*(1-M126)-P126*(1-N126))*VLOOKUP(0,EmAuto1,2))+0.00000110231131*(C126*M126*VLOOKUP(K126,EmTruck1,2)-D126*N126*VLOOKUP(L126,EmTruck1,2)+(O126*M126-P126*N126)*VLOOKUP(0,EmTruck1,2)),0)</f>
        <v>0.31627698336767673</v>
      </c>
      <c r="AE126" s="863">
        <f>IF(INDEX(HwyTransitModelGroup,A114,1)=Hwy,0.00000110231131*(C126*(1-M126)*VLOOKUP(K126,EmAuto1,3)-D126*(1-N126)*VLOOKUP(L126,EmAuto1,3)+(O126*(1-M126)-P126*(1-N126))*VLOOKUP(0,EmAuto1,3))+0.00000110231131*(C126*M126*VLOOKUP(K126,EmTruck1,3)-D126*N126*VLOOKUP(L126,EmTruck1,3)+(O126*M126-P126*N126)*VLOOKUP(0,EmTruck1,3)),0)</f>
        <v>-21.020364291804132</v>
      </c>
      <c r="AF126" s="861">
        <f>IF(INDEX(HwyTransitModelGroup,A114,1)=Hwy,0.00000110231131*(C126*(1-M126)*VLOOKUP(K126,EmAuto1,4)-D126*(1-N126)*VLOOKUP(L126,EmAuto1,4)+(O126*(1-M126)-P126*(1-N126))*VLOOKUP(0,EmAuto1,4))+0.00000110231131*(C126*M126*VLOOKUP(K126,EmTruck1,4)-D126*N126*VLOOKUP(L126,EmTruck1,4)+(O126*M126-P126*N126)*VLOOKUP(0,EmTruck1,4)),0)</f>
        <v>-1.5437876650411414E-2</v>
      </c>
      <c r="AG126" s="863">
        <f>IF(INDEX(HwyTransitModelGroup,A114,1)=Hwy,0.00000110231131*(C126*(1-M126)*VLOOKUP(K126,EmAuto1,5)-D126*(1-N126)*VLOOKUP(L126,EmAuto1,5)+(O126*(1-M126)-P126*(1-N126))*VLOOKUP(0,EmAuto1,5))+0.00000110231131*(C126*M126*VLOOKUP(K126,EmTruck1,5)-D126*N126*VLOOKUP(L126,EmTruck1,5)+(O126*M126-P126*N126)*VLOOKUP(0,EmTruck1,5)),0)</f>
        <v>-3.188289761768355E-3</v>
      </c>
      <c r="AH126" s="861">
        <f>IF(INDEX(HwyTransitModelGroup,A114,1)=Hwy,0.00000110231131*(C126*(1-M126)*VLOOKUP(K126,EmAuto1,6)-D126*(1-N126)*VLOOKUP(L126,EmAuto1,6)+(O126*(1-M126)-P126*(1-N126))*VLOOKUP(0,EmAuto1,6))+0.00000110231131*(C126*M126*VLOOKUP(K126,EmTruck1,6)-D126*N126*VLOOKUP(L126,EmTruck1,6)+(O126*M126-P126*N126)*VLOOKUP(0,EmTruck1,6)),0)</f>
        <v>-2.4389507457373599E-4</v>
      </c>
      <c r="AI126" s="863">
        <f>IF(INDEX(HwyTransitModelGroup,A114,1)=Hwy,0.00000110231131*(C126*(1-M126)*VLOOKUP(K126,EmAuto1,7)-D126*(1-N126)*VLOOKUP(L126,EmAuto1,7)+(O126*(1-M126)-P126*(1-N126))*VLOOKUP(0,EmAuto1,7))+0.00000110231131*(C126*M126*VLOOKUP(K126,EmTruck1,7)-D126*N126*VLOOKUP(L126,EmTruck1,7)+(O126*M126-P126*N126)*VLOOKUP(0,EmTruck1,7)),0)</f>
        <v>3.6924180395615648E-3</v>
      </c>
      <c r="AJ126" s="861">
        <f>IF(INDEX(HwyTransitModelGroup,A114,1)=Hwy,0.00000110231131*(C126*(1-M126)*VLOOKUP(K126,EmAuto1,8)-D126*(1-N126)*VLOOKUP(L126,EmAuto1,8)+(O126*(1-M126)-P126*(1-N126))*VLOOKUP(0,EmAuto1,8))+0.00000110231131*(C126*M126*VLOOKUP(K126,EmTruck1,8)-D126*N126*VLOOKUP(L126,EmTruck1,8)+(O126*M126-P126*N126)*VLOOKUP(0,EmTruck1,8)),0)</f>
        <v>-3.0582005597596953E-3</v>
      </c>
      <c r="AK126" s="401">
        <f>IF(INDEX(HwyTransitModelGroup,A114,1)=PARAMETERS!$J$9,0.00000110231131*(C126*VLOOKUP(K126,EmBus1,2)-D126*VLOOKUP(L126,EmBus1,2)+(O126-P126)*VLOOKUP(0,EmBus1,2)),0)</f>
        <v>0</v>
      </c>
      <c r="AL126" s="863">
        <f>IF(INDEX(HwyTransitModelGroup,A114,1)=PARAMETERS!$J$9,0.00000110231131*(C126*VLOOKUP(K126,EmBus1,3)-D126*VLOOKUP(L126,EmBus1,3)+(O126-P126)*VLOOKUP(0,EmBus1,3)),0)</f>
        <v>0</v>
      </c>
      <c r="AM126" s="861">
        <f>IF(INDEX(HwyTransitModelGroup,A114,1)=PARAMETERS!$J$9,0.00000110231131*(C126*VLOOKUP(K126,EmBus1,4)-D126*VLOOKUP(L126,EmBus1,4)+(O126-P126)*VLOOKUP(0,EmBus1,4)),0)</f>
        <v>0</v>
      </c>
      <c r="AN126" s="863">
        <f>IF(INDEX(HwyTransitModelGroup,A114,1)=PARAMETERS!$J$9,0.00000110231131*(C126*VLOOKUP(K126,EmBus1,5)-D126*VLOOKUP(L126,EmBus1,5)+(O126-P126)*VLOOKUP(0,EmBus1,5)),0)</f>
        <v>0</v>
      </c>
      <c r="AO126" s="861">
        <f>IF(INDEX(HwyTransitModelGroup,A114,1)=PARAMETERS!$J$9,0.00000110231131*(C126*VLOOKUP(K126,EmBus1,6)-D126*VLOOKUP(L126,EmBus1,6)+(O126-P126)*VLOOKUP(0,EmBus1,6)),0)</f>
        <v>0</v>
      </c>
      <c r="AP126" s="863">
        <f>IF(INDEX(HwyTransitModelGroup,A114,1)=PARAMETERS!$J$9,0.00000110231131*(C126*VLOOKUP(K126,EmBus1,7)-D126*VLOOKUP(L126,EmBus1,7)+(O126-P126)*VLOOKUP(0,EmBus1,7)),0)</f>
        <v>0</v>
      </c>
      <c r="AQ126" s="861">
        <f>IF(INDEX(HwyTransitModelGroup,A114,1)=PARAMETERS!$J$9,0.00000110231131*(C126*VLOOKUP(K126,EmBus1,8)-D126*VLOOKUP(L126,EmBus1,8)+(O126-P126)*VLOOKUP(0,EmBus1,8)),0)</f>
        <v>0</v>
      </c>
      <c r="AR126" s="401">
        <f>IF(INDEX(HwyTransitModelGroup,A114,1)=PARAMETERS!$J$10,0.00000110231131*((C126-D126)*PARAMETERS!$CQ$28),0)</f>
        <v>0</v>
      </c>
      <c r="AS126" s="863">
        <f>IF(INDEX(HwyTransitModelGroup,A114,1)=PARAMETERS!$J$10,0.00000110231131*((C126-D126)*PARAMETERS!$CR$28),0)</f>
        <v>0</v>
      </c>
      <c r="AT126" s="861">
        <f>IF(INDEX(HwyTransitModelGroup,A114,1)=PARAMETERS!$J$10,0.00000110231131*((C126-D126)*PARAMETERS!$CS$28),0)</f>
        <v>0</v>
      </c>
      <c r="AU126" s="863">
        <f>IF(INDEX(HwyTransitModelGroup,A114,1)=PARAMETERS!$J$10,0.00000110231131*((C126-D126)*PARAMETERS!$CT$28),0)</f>
        <v>0</v>
      </c>
      <c r="AV126" s="861">
        <f>IF(INDEX(HwyTransitModelGroup,A114,1)=PARAMETERS!$J$10,0.00000110231131*((C126-D126)*PARAMETERS!$CU$28),0)</f>
        <v>0</v>
      </c>
      <c r="AW126" s="863">
        <f>IF(INDEX(HwyTransitModelGroup,A114,1)=PARAMETERS!$J$10,0.00000110231131*((C126-D126)*PARAMETERS!$CV$28),0)</f>
        <v>0</v>
      </c>
      <c r="AX126" s="861">
        <f>IF(INDEX(HwyTransitModelGroup,A114,1)=PARAMETERS!$J$10,0.00000110231131*((C126-D126)*PARAMETERS!$CW$28),0)</f>
        <v>0</v>
      </c>
      <c r="AY126" s="401">
        <f>IF(INDEX(HwyTransitModelGroup,A114,1)=PARAMETERS!$J$11,0.00000110231131*((C126-D126)*PARAMETERS!$CQ$36),0)</f>
        <v>0</v>
      </c>
      <c r="AZ126" s="863">
        <f>IF(INDEX(HwyTransitModelGroup,A114,1)=PARAMETERS!$J$11,0.00000110231131*((C126-D126)*PARAMETERS!$CR$36),0)</f>
        <v>0</v>
      </c>
      <c r="BA126" s="861">
        <f>IF(INDEX(HwyTransitModelGroup,A114,1)=PARAMETERS!$J$11,0.00000110231131*((C126-D126)*PARAMETERS!$CS$36),0)</f>
        <v>0</v>
      </c>
      <c r="BB126" s="863">
        <f>IF(INDEX(HwyTransitModelGroup,A114,1)=PARAMETERS!$J$11,0.00000110231131*((C126-D126)*PARAMETERS!$CT$36),0)</f>
        <v>0</v>
      </c>
      <c r="BC126" s="861">
        <f>IF(INDEX(HwyTransitModelGroup,A114,1)=PARAMETERS!$J$11,0.00000110231131*((C126-D126)*PARAMETERS!$CU$36),0)</f>
        <v>0</v>
      </c>
      <c r="BD126" s="863">
        <f>IF(INDEX(HwyTransitModelGroup,A114,1)=PARAMETERS!$J$11,0.00000110231131*((C126-D126)*PARAMETERS!$CV$36),0)</f>
        <v>0</v>
      </c>
      <c r="BE126" s="865">
        <f>IF(INDEX(HwyTransitModelGroup,A114,1)=PARAMETERS!$J$11,0.00000110231131*((C126-D126)*PARAMETERS!$CW$36),0)</f>
        <v>0</v>
      </c>
      <c r="BF126" s="729">
        <f t="shared" si="50"/>
        <v>19.227561085352821</v>
      </c>
      <c r="BG126" s="867">
        <f t="shared" si="51"/>
        <v>-880.7432083064441</v>
      </c>
      <c r="BH126" s="867">
        <f t="shared" si="52"/>
        <v>-177.14591371642391</v>
      </c>
      <c r="BI126" s="867">
        <f t="shared" si="53"/>
        <v>-282.7452160281664</v>
      </c>
      <c r="BJ126" s="867">
        <f t="shared" si="54"/>
        <v>-10.935072491528828</v>
      </c>
      <c r="BK126" s="869">
        <f t="shared" si="55"/>
        <v>3.1145870086771357</v>
      </c>
      <c r="BL126" s="392"/>
      <c r="BN126" s="375">
        <f>YearOpen</f>
        <v>2026</v>
      </c>
      <c r="BO126" s="870">
        <f t="shared" ref="BO126:BO145" ca="1" si="58">OFFSET($AF9,MATCH(BO$122,$A:$A),0)+OFFSET($AM9,MATCH(BO$122,$A:$A),0)+OFFSET($AT9,MATCH(BO$122,$A:$A),0)+OFFSET($BA9,MATCH(BO$122,$A:$A),0)</f>
        <v>9.5936568914304823E-3</v>
      </c>
      <c r="BP126" s="870">
        <f t="shared" ref="BP126:BT135" ca="1" si="59">OFFSET($AF9,MATCH(BP$122,$A:$A),0)+OFFSET($AM9,MATCH(BP$122,$A:$A),0)+OFFSET($AT9,MATCH(BP$122,$A:$A),0)+OFFSET($BA9,MATCH(BP$122,$A:$A),0)</f>
        <v>-5.3301952763723272E-3</v>
      </c>
      <c r="BQ126" s="870">
        <f t="shared" ca="1" si="59"/>
        <v>2.0080809543515224E-2</v>
      </c>
      <c r="BR126" s="870">
        <f t="shared" ca="1" si="59"/>
        <v>-1.4896858129102927E-2</v>
      </c>
      <c r="BS126" s="870">
        <f t="shared" ca="1" si="59"/>
        <v>0.54680500161854018</v>
      </c>
      <c r="BT126" s="870">
        <f t="shared" ca="1" si="59"/>
        <v>0.81280561084135261</v>
      </c>
    </row>
    <row r="127" spans="1:72" x14ac:dyDescent="0.25">
      <c r="B127" s="375">
        <f t="shared" si="57"/>
        <v>2030</v>
      </c>
      <c r="C127" s="401">
        <f>MAX(TREND(C120:C121,B120:B121,B127),0)</f>
        <v>964476</v>
      </c>
      <c r="D127" s="402">
        <f>MAX(TREND(D120:D121,B120:B121,B127),0)</f>
        <v>795116</v>
      </c>
      <c r="E127" s="401">
        <f>MAX(TREND(E120:E121,B120:B121,B127),0)</f>
        <v>22338</v>
      </c>
      <c r="F127" s="402">
        <f>MAX(TREND(F120:F121,B120:B121,B127),0)</f>
        <v>10439</v>
      </c>
      <c r="G127" s="401">
        <f>MAX(TREND(G120:G121,B120:B121,B127),0)</f>
        <v>0</v>
      </c>
      <c r="H127" s="402">
        <f>MAX(TREND(H120:H121,B120:B121,B127),0)</f>
        <v>0</v>
      </c>
      <c r="I127" s="401">
        <f>MAX(TREND(I120:I121,B120:B121,B127),0)</f>
        <v>0</v>
      </c>
      <c r="J127" s="402">
        <f>MAX(TREND(J120:J121,B120:B121,B127),0)</f>
        <v>0</v>
      </c>
      <c r="K127" s="435">
        <f>IFERROR(IF(INDEX(HwyTransitModelGroup,A114,1)=Hwy,MAX(5,ROUND(C127/E127,1)),MAX(5,ROUND(G127/I127,1))),55)</f>
        <v>43.2</v>
      </c>
      <c r="L127" s="436">
        <f>IFERROR(IF(INDEX(HwyTransitModelGroup,A114,1)=Hwy,MAX(5,ROUND(D127/F127,1)),MAX(5,ROUND(H127/J127,1))),55)</f>
        <v>76.2</v>
      </c>
      <c r="M127" s="405">
        <f>MIN(MAX(TREND(M120:M121,B120:B121,B127),0),1)</f>
        <v>0.24</v>
      </c>
      <c r="N127" s="406">
        <f>MIN(MAX(TREND(N120:N121,B120:B121,B127),0),1)</f>
        <v>0.24</v>
      </c>
      <c r="O127" s="401">
        <f>MAX(TREND(O120:O121,B120:B121,B127),0)</f>
        <v>0</v>
      </c>
      <c r="P127" s="402">
        <f>MAX(TREND(P120:P121,B120:B121,B127),0)</f>
        <v>0</v>
      </c>
      <c r="Q127" s="729">
        <f>IF(INDEX(HwyTransitModelGroup,A114,1)=Hwy,C127*(1-M127)*0.00000110231131*(VLOOKUP(K127,EmAuto1,2)*VLOOKUP(ProjLoc,EmCost,2)+VLOOKUP(K127,EmAuto1,3)*VLOOKUP(ProjLoc,EmCost,3)*(1+CO2Uprater)^($B127-YearCurrent)+VLOOKUP(K127,EmAuto1,4)*VLOOKUP(ProjLoc,EmCost,4)+VLOOKUP(K127,EmAuto1,5)*VLOOKUP(ProjLoc,EmCost,5)+VLOOKUP(K127,EmAuto1,6)*VLOOKUP(ProjLoc,EmCost,6)+VLOOKUP(K127,EmAuto1,7)*VLOOKUP(ProjLoc,EmCost,7))+C127*M127*0.00000110231131*(VLOOKUP(K127,EmTruck1,2)*VLOOKUP(ProjLoc,EmCost,2)+VLOOKUP(K127,EmTruck1,3)*VLOOKUP(ProjLoc,EmCost,3)*(1+CO2Uprater)^($B127-YearCurrent)+VLOOKUP(K127,EmTruck1,4)*VLOOKUP(ProjLoc,EmCost,4)+VLOOKUP(K127,EmTruck1,5)*VLOOKUP(ProjLoc,EmCost,5)+VLOOKUP(K127,EmTruck1,6)*VLOOKUP(ProjLoc,EmCost,6)+VLOOKUP(K127,EmTruck1,7)*VLOOKUP(ProjLoc,EmCost,7)),0)</f>
        <v>32573.563655092323</v>
      </c>
      <c r="R127" s="802">
        <f>IF(INDEX(HwyTransitModelGroup,A114,1)=Hwy,D127*(1-N127)*0.00000110231131*(VLOOKUP(L127,EmAuto1,2)*VLOOKUP(ProjLoc,EmCost,2)+VLOOKUP(L127,EmAuto1,3)*VLOOKUP(ProjLoc,EmCost,3)*(1+CO2Uprater)^($B127-YearCurrent)+VLOOKUP(L127,EmAuto1,4)*VLOOKUP(ProjLoc,EmCost,4)+VLOOKUP(L127,EmAuto1,5)*VLOOKUP(ProjLoc,EmCost,5)+VLOOKUP(L127,EmAuto1,6)*VLOOKUP(ProjLoc,EmCost,6)+VLOOKUP(L127,EmAuto1,7)*VLOOKUP(ProjLoc,EmCost,7))+D127*N127*0.00000110231131*(VLOOKUP(L127,EmTruck1,2)*VLOOKUP(ProjLoc,EmCost,2)+VLOOKUP(L127,EmTruck1,3)*VLOOKUP(ProjLoc,EmCost,3)*(1+CO2Uprater)^($B127-YearCurrent)+VLOOKUP(L127,EmTruck1,4)*VLOOKUP(ProjLoc,EmCost,4)+VLOOKUP(L127,EmTruck1,5)*VLOOKUP(ProjLoc,EmCost,5)+VLOOKUP(L127,EmTruck1,6)*VLOOKUP(ProjLoc,EmCost,6)+VLOOKUP(L127,EmTruck1,7)*VLOOKUP(ProjLoc,EmCost,7)),0)</f>
        <v>34366.774711910562</v>
      </c>
      <c r="S127" s="729">
        <f>IF(INDEX(HwyTransitModelGroup,A114,1)=Hwy,O127*(1-M127)*0.00000110231131*(VLOOKUP(0,EmAuto1,2)*VLOOKUP(ProjLoc,EmCost,2)+VLOOKUP(0,EmAuto1,3)*VLOOKUP(ProjLoc,EmCost,3)*(1+CO2Uprater)^($B127-YearCurrent)+VLOOKUP(0,EmAuto1,4)*VLOOKUP(ProjLoc,EmCost,4)+VLOOKUP(0,EmAuto1,5)*VLOOKUP(ProjLoc,EmCost,5)+VLOOKUP(0,EmAuto1,6)*VLOOKUP(ProjLoc,EmCost,6)+VLOOKUP(0,EmAuto1,7)*VLOOKUP(ProjLoc,EmCost,7))+O127*M127*0.00000110231131*(VLOOKUP(0,EmTruck1,2)*VLOOKUP(ProjLoc,EmCost,2)+VLOOKUP(0,EmTruck1,3)*VLOOKUP(ProjLoc,EmCost,3)*(1+CO2Uprater)^($B127-YearCurrent)+VLOOKUP(0,EmTruck1,4)*VLOOKUP(ProjLoc,EmCost,4)+VLOOKUP(0,EmTruck1,5)*VLOOKUP(ProjLoc,EmCost,5)+VLOOKUP(0,EmTruck1,6)*VLOOKUP(ProjLoc,EmCost,6)+VLOOKUP(0,EmTruck1,7)*VLOOKUP(ProjLoc,EmCost,7)),0)</f>
        <v>0</v>
      </c>
      <c r="T127" s="802">
        <f>IF(INDEX(HwyTransitModelGroup,A114,1)=Hwy,P127*(1-N127)*0.00000110231131*(VLOOKUP(0,EmAuto1,2)*VLOOKUP(ProjLoc,EmCost,2)+VLOOKUP(0,EmAuto1,3)*VLOOKUP(ProjLoc,EmCost,3)*(1+CO2Uprater)^($B127-YearCurrent)+VLOOKUP(0,EmAuto1,4)*VLOOKUP(ProjLoc,EmCost,4)+VLOOKUP(0,EmAuto1,5)*VLOOKUP(ProjLoc,EmCost,5)+VLOOKUP(0,EmAuto1,6)*VLOOKUP(ProjLoc,EmCost,6)+VLOOKUP(0,EmAuto1,7)*VLOOKUP(ProjLoc,EmCost,7))+P127*N127*0.00000110231131*(VLOOKUP(0,EmTruck1,2)*VLOOKUP(ProjLoc,EmCost,2)+VLOOKUP(0,EmTruck1,3)*VLOOKUP(ProjLoc,EmCost,3)*(1+CO2Uprater)^($B127-YearCurrent)+VLOOKUP(0,EmTruck1,4)*VLOOKUP(ProjLoc,EmCost,4)+VLOOKUP(0,EmTruck1,5)*VLOOKUP(ProjLoc,EmCost,5)+VLOOKUP(0,EmTruck1,6)*VLOOKUP(ProjLoc,EmCost,6)+VLOOKUP(0,EmTruck1,7)*VLOOKUP(ProjLoc,EmCost,7)),0)</f>
        <v>0</v>
      </c>
      <c r="U127" s="729">
        <f>IF(INDEX(HwyTransitModelGroup,A114,1)=PARAMETERS!$J$9,C127*0.00000110231131*(VLOOKUP(K127,EmBus1,2)*VLOOKUP(ProjLoc,EmCost,2)+VLOOKUP(K127,EmBus1,3)*VLOOKUP(ProjLoc,EmCost,3)*(1+CO2Uprater)^($B127-YearCurrent)+VLOOKUP(K127,EmBus1,4)*VLOOKUP(ProjLoc,EmCost,4)+VLOOKUP(K127,EmBus1,5)*VLOOKUP(ProjLoc,EmCost,5)+VLOOKUP(K127,EmBus1,6)*VLOOKUP(ProjLoc,EmCost,6)+VLOOKUP(K127,EmBus1,7)*VLOOKUP(ProjLoc,EmCost,7)),0)</f>
        <v>0</v>
      </c>
      <c r="V127" s="802">
        <f>IF(INDEX(HwyTransitModelGroup,A114,1)=PARAMETERS!$J$9,D127*0.00000110231131*(VLOOKUP(L127,EmBus1,2)*VLOOKUP(ProjLoc,EmCost,2)+VLOOKUP(L127,EmBus1,3)*VLOOKUP(ProjLoc,EmCost,3)*(1+CO2Uprater)^($B127-YearCurrent)+VLOOKUP(L127,EmBus1,4)*VLOOKUP(ProjLoc,EmCost,4)+VLOOKUP(L127,EmBus1,5)*VLOOKUP(ProjLoc,EmCost,5)+VLOOKUP(L127,EmBus1,6)*VLOOKUP(ProjLoc,EmCost,6)+VLOOKUP(L127,EmBus1,7)*VLOOKUP(ProjLoc,EmCost,7)),0)</f>
        <v>0</v>
      </c>
      <c r="W127" s="808">
        <f>IF(INDEX(HwyTransitModelGroup,A114,1)=PARAMETERS!$J$10,C127*0.00000110231131*(PARAMETERS!$CQ$28*VLOOKUP(ProjLoc,EmCost,2)+PARAMETERS!$CR$28*VLOOKUP(ProjLoc,EmCost,3)*(1+CO2Uprater)^($B127-YearCurrent)+PARAMETERS!$CS$28*VLOOKUP(ProjLoc,EmCost,4)+PARAMETERS!$CT$28*VLOOKUP(ProjLoc,EmCost,5)+PARAMETERS!$CU$28*VLOOKUP(ProjLoc,EmCost,6)+PARAMETERS!$CV$28*VLOOKUP(ProjLoc,EmCost,7)),0)</f>
        <v>0</v>
      </c>
      <c r="X127" s="844">
        <f>IF(INDEX(HwyTransitModelGroup,A114,1)=PARAMETERS!$J$10,D127*0.00000110231131*(PARAMETERS!$CQ$28*VLOOKUP(ProjLoc,EmCost,2)+PARAMETERS!$CR$28*VLOOKUP(ProjLoc,EmCost,3)*(1+CO2Uprater)^($B127-YearCurrent)+PARAMETERS!$CS$28*VLOOKUP(ProjLoc,EmCost,4)+PARAMETERS!$CT$28*VLOOKUP(ProjLoc,EmCost,5)+PARAMETERS!$CU$28*VLOOKUP(ProjLoc,EmCost,6)+PARAMETERS!$CV$28*VLOOKUP(ProjLoc,EmCost,7)),0)</f>
        <v>0</v>
      </c>
      <c r="Y127" s="808">
        <f>IF(INDEX(HwyTransitModelGroup,A114,1)=PARAMETERS!$J$11,C127*0.00000110231131*(PARAMETERS!$CQ$36*VLOOKUP(ProjLoc,EmCost,2)+PARAMETERS!$CR$36*VLOOKUP(ProjLoc,EmCost,3)*(1+CO2Uprater)^($B127-YearCurrent)+PARAMETERS!$CS$36*VLOOKUP(ProjLoc,EmCost,4)+PARAMETERS!$CT$36*VLOOKUP(ProjLoc,EmCost,5)+PARAMETERS!$CU$36*VLOOKUP(ProjLoc,EmCost,6)+PARAMETERS!$CV$36*VLOOKUP(ProjLoc,EmCost,7)),0)</f>
        <v>0</v>
      </c>
      <c r="Z127" s="844">
        <f>IF(INDEX(HwyTransitModelGroup,A114,1)=PARAMETERS!$J$11,D127*0.00000110231131*(PARAMETERS!$CQ$36*VLOOKUP(ProjLoc,EmCost,2)+PARAMETERS!$CR$36*VLOOKUP(ProjLoc,EmCost,3)*(1+CO2Uprater)^($B127-YearCurrent)+PARAMETERS!$CS$36*VLOOKUP(ProjLoc,EmCost,4)+PARAMETERS!$CT$36*VLOOKUP(ProjLoc,EmCost,5)+PARAMETERS!$CU$36*VLOOKUP(ProjLoc,EmCost,6)+PARAMETERS!$CV$36*VLOOKUP(ProjLoc,EmCost,7)),0)</f>
        <v>0</v>
      </c>
      <c r="AA127" s="369">
        <f t="shared" si="48"/>
        <v>-1793.2110568182397</v>
      </c>
      <c r="AB127" s="370">
        <f t="shared" si="49"/>
        <v>-1310.2817547183436</v>
      </c>
      <c r="AC127" s="371"/>
      <c r="AD127" s="401">
        <f>IF(INDEX(HwyTransitModelGroup,A114,1)=Hwy,0.00000110231131*(C127*(1-M127)*VLOOKUP(K127,EmAuto1,2)-D127*(1-N127)*VLOOKUP(L127,EmAuto1,2)+(O127*(1-M127)-P127*(1-N127))*VLOOKUP(0,EmAuto1,2))+0.00000110231131*(C127*M127*VLOOKUP(K127,EmTruck1,2)-D127*N127*VLOOKUP(L127,EmTruck1,2)+(O127*M127-P127*N127)*VLOOKUP(0,EmTruck1,2)),0)</f>
        <v>0.32021483914775112</v>
      </c>
      <c r="AE127" s="863">
        <f>IF(INDEX(HwyTransitModelGroup,A114,1)=Hwy,0.00000110231131*(C127*(1-M127)*VLOOKUP(K127,EmAuto1,3)-D127*(1-N127)*VLOOKUP(L127,EmAuto1,3)+(O127*(1-M127)-P127*(1-N127))*VLOOKUP(0,EmAuto1,3))+0.00000110231131*(C127*M127*VLOOKUP(K127,EmTruck1,3)-D127*N127*VLOOKUP(L127,EmTruck1,3)+(O127*M127-P127*N127)*VLOOKUP(0,EmTruck1,3)),0)</f>
        <v>-21.264807223453371</v>
      </c>
      <c r="AF127" s="861">
        <f>IF(INDEX(HwyTransitModelGroup,A114,1)=Hwy,0.00000110231131*(C127*(1-M127)*VLOOKUP(K127,EmAuto1,4)-D127*(1-N127)*VLOOKUP(L127,EmAuto1,4)+(O127*(1-M127)-P127*(1-N127))*VLOOKUP(0,EmAuto1,4))+0.00000110231131*(C127*M127*VLOOKUP(K127,EmTruck1,4)-D127*N127*VLOOKUP(L127,EmTruck1,4)+(O127*M127-P127*N127)*VLOOKUP(0,EmTruck1,4)),0)</f>
        <v>-1.5618216157514277E-2</v>
      </c>
      <c r="AG127" s="863">
        <f>IF(INDEX(HwyTransitModelGroup,A114,1)=Hwy,0.00000110231131*(C127*(1-M127)*VLOOKUP(K127,EmAuto1,5)-D127*(1-N127)*VLOOKUP(L127,EmAuto1,5)+(O127*(1-M127)-P127*(1-N127))*VLOOKUP(0,EmAuto1,5))+0.00000110231131*(C127*M127*VLOOKUP(K127,EmTruck1,5)-D127*N127*VLOOKUP(L127,EmTruck1,5)+(O127*M127-P127*N127)*VLOOKUP(0,EmTruck1,5)),0)</f>
        <v>-3.2275825600247584E-3</v>
      </c>
      <c r="AH127" s="861">
        <f>IF(INDEX(HwyTransitModelGroup,A114,1)=Hwy,0.00000110231131*(C127*(1-M127)*VLOOKUP(K127,EmAuto1,6)-D127*(1-N127)*VLOOKUP(L127,EmAuto1,6)+(O127*(1-M127)-P127*(1-N127))*VLOOKUP(0,EmAuto1,6))+0.00000110231131*(C127*M127*VLOOKUP(K127,EmTruck1,6)-D127*N127*VLOOKUP(L127,EmTruck1,6)+(O127*M127-P127*N127)*VLOOKUP(0,EmTruck1,6)),0)</f>
        <v>-2.4676217526793307E-4</v>
      </c>
      <c r="AI127" s="863">
        <f>IF(INDEX(HwyTransitModelGroup,A114,1)=Hwy,0.00000110231131*(C127*(1-M127)*VLOOKUP(K127,EmAuto1,7)-D127*(1-N127)*VLOOKUP(L127,EmAuto1,7)+(O127*(1-M127)-P127*(1-N127))*VLOOKUP(0,EmAuto1,7))+0.00000110231131*(C127*M127*VLOOKUP(K127,EmTruck1,7)-D127*N127*VLOOKUP(L127,EmTruck1,7)+(O127*M127-P127*N127)*VLOOKUP(0,EmTruck1,7)),0)</f>
        <v>3.7387340677222302E-3</v>
      </c>
      <c r="AJ127" s="861">
        <f>IF(INDEX(HwyTransitModelGroup,A114,1)=Hwy,0.00000110231131*(C127*(1-M127)*VLOOKUP(K127,EmAuto1,8)-D127*(1-N127)*VLOOKUP(L127,EmAuto1,8)+(O127*(1-M127)-P127*(1-N127))*VLOOKUP(0,EmAuto1,8))+0.00000110231131*(C127*M127*VLOOKUP(K127,EmTruck1,8)-D127*N127*VLOOKUP(L127,EmTruck1,8)+(O127*M127-P127*N127)*VLOOKUP(0,EmTruck1,8)),0)</f>
        <v>-3.0958919499073363E-3</v>
      </c>
      <c r="AK127" s="401">
        <f>IF(INDEX(HwyTransitModelGroup,A114,1)=PARAMETERS!$J$9,0.00000110231131*(C127*VLOOKUP(K127,EmBus1,2)-D127*VLOOKUP(L127,EmBus1,2)+(O127-P127)*VLOOKUP(0,EmBus1,2)),0)</f>
        <v>0</v>
      </c>
      <c r="AL127" s="863">
        <f>IF(INDEX(HwyTransitModelGroup,A114,1)=PARAMETERS!$J$9,0.00000110231131*(C127*VLOOKUP(K127,EmBus1,3)-D127*VLOOKUP(L127,EmBus1,3)+(O127-P127)*VLOOKUP(0,EmBus1,3)),0)</f>
        <v>0</v>
      </c>
      <c r="AM127" s="861">
        <f>IF(INDEX(HwyTransitModelGroup,A114,1)=PARAMETERS!$J$9,0.00000110231131*(C127*VLOOKUP(K127,EmBus1,4)-D127*VLOOKUP(L127,EmBus1,4)+(O127-P127)*VLOOKUP(0,EmBus1,4)),0)</f>
        <v>0</v>
      </c>
      <c r="AN127" s="863">
        <f>IF(INDEX(HwyTransitModelGroup,A114,1)=PARAMETERS!$J$9,0.00000110231131*(C127*VLOOKUP(K127,EmBus1,5)-D127*VLOOKUP(L127,EmBus1,5)+(O127-P127)*VLOOKUP(0,EmBus1,5)),0)</f>
        <v>0</v>
      </c>
      <c r="AO127" s="861">
        <f>IF(INDEX(HwyTransitModelGroup,A114,1)=PARAMETERS!$J$9,0.00000110231131*(C127*VLOOKUP(K127,EmBus1,6)-D127*VLOOKUP(L127,EmBus1,6)+(O127-P127)*VLOOKUP(0,EmBus1,6)),0)</f>
        <v>0</v>
      </c>
      <c r="AP127" s="863">
        <f>IF(INDEX(HwyTransitModelGroup,A114,1)=PARAMETERS!$J$9,0.00000110231131*(C127*VLOOKUP(K127,EmBus1,7)-D127*VLOOKUP(L127,EmBus1,7)+(O127-P127)*VLOOKUP(0,EmBus1,7)),0)</f>
        <v>0</v>
      </c>
      <c r="AQ127" s="861">
        <f>IF(INDEX(HwyTransitModelGroup,A114,1)=PARAMETERS!$J$9,0.00000110231131*(C127*VLOOKUP(K127,EmBus1,8)-D127*VLOOKUP(L127,EmBus1,8)+(O127-P127)*VLOOKUP(0,EmBus1,8)),0)</f>
        <v>0</v>
      </c>
      <c r="AR127" s="401">
        <f>IF(INDEX(HwyTransitModelGroup,A114,1)=PARAMETERS!$J$10,0.00000110231131*((C127-D127)*PARAMETERS!$CQ$28),0)</f>
        <v>0</v>
      </c>
      <c r="AS127" s="863">
        <f>IF(INDEX(HwyTransitModelGroup,A114,1)=PARAMETERS!$J$10,0.00000110231131*((C127-D127)*PARAMETERS!$CR$28),0)</f>
        <v>0</v>
      </c>
      <c r="AT127" s="861">
        <f>IF(INDEX(HwyTransitModelGroup,A114,1)=PARAMETERS!$J$10,0.00000110231131*((C127-D127)*PARAMETERS!$CS$28),0)</f>
        <v>0</v>
      </c>
      <c r="AU127" s="863">
        <f>IF(INDEX(HwyTransitModelGroup,A114,1)=PARAMETERS!$J$10,0.00000110231131*((C127-D127)*PARAMETERS!$CT$28),0)</f>
        <v>0</v>
      </c>
      <c r="AV127" s="861">
        <f>IF(INDEX(HwyTransitModelGroup,A114,1)=PARAMETERS!$J$10,0.00000110231131*((C127-D127)*PARAMETERS!$CU$28),0)</f>
        <v>0</v>
      </c>
      <c r="AW127" s="863">
        <f>IF(INDEX(HwyTransitModelGroup,A114,1)=PARAMETERS!$J$10,0.00000110231131*((C127-D127)*PARAMETERS!$CV$28),0)</f>
        <v>0</v>
      </c>
      <c r="AX127" s="861">
        <f>IF(INDEX(HwyTransitModelGroup,A114,1)=PARAMETERS!$J$10,0.00000110231131*((C127-D127)*PARAMETERS!$CW$28),0)</f>
        <v>0</v>
      </c>
      <c r="AY127" s="401">
        <f>IF(INDEX(HwyTransitModelGroup,A114,1)=PARAMETERS!$J$11,0.00000110231131*((C127-D127)*PARAMETERS!$CQ$36),0)</f>
        <v>0</v>
      </c>
      <c r="AZ127" s="863">
        <f>IF(INDEX(HwyTransitModelGroup,A114,1)=PARAMETERS!$J$11,0.00000110231131*((C127-D127)*PARAMETERS!$CR$36),0)</f>
        <v>0</v>
      </c>
      <c r="BA127" s="861">
        <f>IF(INDEX(HwyTransitModelGroup,A114,1)=PARAMETERS!$J$11,0.00000110231131*((C127-D127)*PARAMETERS!$CS$36),0)</f>
        <v>0</v>
      </c>
      <c r="BB127" s="863">
        <f>IF(INDEX(HwyTransitModelGroup,A114,1)=PARAMETERS!$J$11,0.00000110231131*((C127-D127)*PARAMETERS!$CT$36),0)</f>
        <v>0</v>
      </c>
      <c r="BC127" s="861">
        <f>IF(INDEX(HwyTransitModelGroup,A114,1)=PARAMETERS!$J$11,0.00000110231131*((C127-D127)*PARAMETERS!$CU$36),0)</f>
        <v>0</v>
      </c>
      <c r="BD127" s="863">
        <f>IF(INDEX(HwyTransitModelGroup,A114,1)=PARAMETERS!$J$11,0.00000110231131*((C127-D127)*PARAMETERS!$CV$36),0)</f>
        <v>0</v>
      </c>
      <c r="BE127" s="865">
        <f>IF(INDEX(HwyTransitModelGroup,A114,1)=PARAMETERS!$J$11,0.00000110231131*((C127-D127)*PARAMETERS!$CW$36),0)</f>
        <v>0</v>
      </c>
      <c r="BF127" s="729">
        <f t="shared" si="50"/>
        <v>18.718227716923803</v>
      </c>
      <c r="BG127" s="867">
        <f t="shared" si="51"/>
        <v>-873.85091847350861</v>
      </c>
      <c r="BH127" s="867">
        <f t="shared" si="52"/>
        <v>-172.32237124508097</v>
      </c>
      <c r="BI127" s="867">
        <f t="shared" si="53"/>
        <v>-275.22095771736866</v>
      </c>
      <c r="BJ127" s="867">
        <f t="shared" si="54"/>
        <v>-10.638095561562427</v>
      </c>
      <c r="BK127" s="869">
        <f t="shared" si="55"/>
        <v>3.0323605622549614</v>
      </c>
      <c r="BL127" s="392"/>
      <c r="BN127" s="375">
        <f>BN126+1</f>
        <v>2027</v>
      </c>
      <c r="BO127" s="871">
        <f t="shared" ca="1" si="58"/>
        <v>7.3945913831999655E-3</v>
      </c>
      <c r="BP127" s="871">
        <f t="shared" ca="1" si="59"/>
        <v>-5.4316548323639939E-3</v>
      </c>
      <c r="BQ127" s="871">
        <f t="shared" ca="1" si="59"/>
        <v>2.046185784764578E-2</v>
      </c>
      <c r="BR127" s="871">
        <f t="shared" ca="1" si="59"/>
        <v>-1.5077197636205728E-2</v>
      </c>
      <c r="BS127" s="871">
        <f t="shared" ca="1" si="59"/>
        <v>0.57740208399750681</v>
      </c>
      <c r="BT127" s="871">
        <f t="shared" ca="1" si="59"/>
        <v>0.83771492389598945</v>
      </c>
    </row>
    <row r="128" spans="1:72" x14ac:dyDescent="0.25">
      <c r="B128" s="375">
        <f t="shared" si="57"/>
        <v>2031</v>
      </c>
      <c r="C128" s="401">
        <f>MAX(TREND(C120:C121,B120:B121,B128),0)</f>
        <v>976283.75</v>
      </c>
      <c r="D128" s="402">
        <f>MAX(TREND(D120:D121,B120:B121,B128),0)</f>
        <v>804825</v>
      </c>
      <c r="E128" s="401">
        <f>MAX(TREND(E120:E121,B120:B121,B128),0)</f>
        <v>22630</v>
      </c>
      <c r="F128" s="402">
        <f>MAX(TREND(F120:F121,B120:B121,B128),0)</f>
        <v>10585</v>
      </c>
      <c r="G128" s="401">
        <f>MAX(TREND(G120:G121,B120:B121,B128),0)</f>
        <v>0</v>
      </c>
      <c r="H128" s="402">
        <f>MAX(TREND(H120:H121,B120:B121,B128),0)</f>
        <v>0</v>
      </c>
      <c r="I128" s="401">
        <f>MAX(TREND(I120:I121,B120:B121,B128),0)</f>
        <v>0</v>
      </c>
      <c r="J128" s="402">
        <f>MAX(TREND(J120:J121,B120:B121,B128),0)</f>
        <v>0</v>
      </c>
      <c r="K128" s="435">
        <f>IFERROR(IF(INDEX(HwyTransitModelGroup,A114,1)=Hwy,MAX(5,ROUND(C128/E128,1)),MAX(5,ROUND(G128/I128,1))),55)</f>
        <v>43.1</v>
      </c>
      <c r="L128" s="436">
        <f>IFERROR(IF(INDEX(HwyTransitModelGroup,A114,1)=Hwy,MAX(5,ROUND(D128/F128,1)),MAX(5,ROUND(H128/J128,1))),55)</f>
        <v>76</v>
      </c>
      <c r="M128" s="405">
        <f>MIN(MAX(TREND(M120:M121,B120:B121,B128),0),1)</f>
        <v>0.24</v>
      </c>
      <c r="N128" s="406">
        <f>MIN(MAX(TREND(N120:N121,B120:B121,B128),0),1)</f>
        <v>0.24</v>
      </c>
      <c r="O128" s="401">
        <f>MAX(TREND(O120:O121,B120:B121,B128),0)</f>
        <v>0</v>
      </c>
      <c r="P128" s="402">
        <f>MAX(TREND(P120:P121,B120:B121,B128),0)</f>
        <v>0</v>
      </c>
      <c r="Q128" s="729">
        <f>IF(INDEX(HwyTransitModelGroup,A114,1)=Hwy,C128*(1-M128)*0.00000110231131*(VLOOKUP(K128,EmAuto1,2)*VLOOKUP(ProjLoc,EmCost,2)+VLOOKUP(K128,EmAuto1,3)*VLOOKUP(ProjLoc,EmCost,3)*(1+CO2Uprater)^($B128-YearCurrent)+VLOOKUP(K128,EmAuto1,4)*VLOOKUP(ProjLoc,EmCost,4)+VLOOKUP(K128,EmAuto1,5)*VLOOKUP(ProjLoc,EmCost,5)+VLOOKUP(K128,EmAuto1,6)*VLOOKUP(ProjLoc,EmCost,6)+VLOOKUP(K128,EmAuto1,7)*VLOOKUP(ProjLoc,EmCost,7))+C128*M128*0.00000110231131*(VLOOKUP(K128,EmTruck1,2)*VLOOKUP(ProjLoc,EmCost,2)+VLOOKUP(K128,EmTruck1,3)*VLOOKUP(ProjLoc,EmCost,3)*(1+CO2Uprater)^($B128-YearCurrent)+VLOOKUP(K128,EmTruck1,4)*VLOOKUP(ProjLoc,EmCost,4)+VLOOKUP(K128,EmTruck1,5)*VLOOKUP(ProjLoc,EmCost,5)+VLOOKUP(K128,EmTruck1,6)*VLOOKUP(ProjLoc,EmCost,6)+VLOOKUP(K128,EmTruck1,7)*VLOOKUP(ProjLoc,EmCost,7)),0)</f>
        <v>33516.141655276188</v>
      </c>
      <c r="R128" s="802">
        <f>IF(INDEX(HwyTransitModelGroup,A114,1)=Hwy,D128*(1-N128)*0.00000110231131*(VLOOKUP(L128,EmAuto1,2)*VLOOKUP(ProjLoc,EmCost,2)+VLOOKUP(L128,EmAuto1,3)*VLOOKUP(ProjLoc,EmCost,3)*(1+CO2Uprater)^($B128-YearCurrent)+VLOOKUP(L128,EmAuto1,4)*VLOOKUP(ProjLoc,EmCost,4)+VLOOKUP(L128,EmAuto1,5)*VLOOKUP(ProjLoc,EmCost,5)+VLOOKUP(L128,EmAuto1,6)*VLOOKUP(ProjLoc,EmCost,6)+VLOOKUP(L128,EmAuto1,7)*VLOOKUP(ProjLoc,EmCost,7))+D128*N128*0.00000110231131*(VLOOKUP(L128,EmTruck1,2)*VLOOKUP(ProjLoc,EmCost,2)+VLOOKUP(L128,EmTruck1,3)*VLOOKUP(ProjLoc,EmCost,3)*(1+CO2Uprater)^($B128-YearCurrent)+VLOOKUP(L128,EmTruck1,4)*VLOOKUP(ProjLoc,EmCost,4)+VLOOKUP(L128,EmTruck1,5)*VLOOKUP(ProjLoc,EmCost,5)+VLOOKUP(L128,EmTruck1,6)*VLOOKUP(ProjLoc,EmCost,6)+VLOOKUP(L128,EmTruck1,7)*VLOOKUP(ProjLoc,EmCost,7)),0)</f>
        <v>35354.404867020494</v>
      </c>
      <c r="S128" s="729">
        <f>IF(INDEX(HwyTransitModelGroup,A114,1)=Hwy,O128*(1-M128)*0.00000110231131*(VLOOKUP(0,EmAuto1,2)*VLOOKUP(ProjLoc,EmCost,2)+VLOOKUP(0,EmAuto1,3)*VLOOKUP(ProjLoc,EmCost,3)*(1+CO2Uprater)^($B128-YearCurrent)+VLOOKUP(0,EmAuto1,4)*VLOOKUP(ProjLoc,EmCost,4)+VLOOKUP(0,EmAuto1,5)*VLOOKUP(ProjLoc,EmCost,5)+VLOOKUP(0,EmAuto1,6)*VLOOKUP(ProjLoc,EmCost,6)+VLOOKUP(0,EmAuto1,7)*VLOOKUP(ProjLoc,EmCost,7))+O128*M128*0.00000110231131*(VLOOKUP(0,EmTruck1,2)*VLOOKUP(ProjLoc,EmCost,2)+VLOOKUP(0,EmTruck1,3)*VLOOKUP(ProjLoc,EmCost,3)*(1+CO2Uprater)^($B128-YearCurrent)+VLOOKUP(0,EmTruck1,4)*VLOOKUP(ProjLoc,EmCost,4)+VLOOKUP(0,EmTruck1,5)*VLOOKUP(ProjLoc,EmCost,5)+VLOOKUP(0,EmTruck1,6)*VLOOKUP(ProjLoc,EmCost,6)+VLOOKUP(0,EmTruck1,7)*VLOOKUP(ProjLoc,EmCost,7)),0)</f>
        <v>0</v>
      </c>
      <c r="T128" s="802">
        <f>IF(INDEX(HwyTransitModelGroup,A114,1)=Hwy,P128*(1-N128)*0.00000110231131*(VLOOKUP(0,EmAuto1,2)*VLOOKUP(ProjLoc,EmCost,2)+VLOOKUP(0,EmAuto1,3)*VLOOKUP(ProjLoc,EmCost,3)*(1+CO2Uprater)^($B128-YearCurrent)+VLOOKUP(0,EmAuto1,4)*VLOOKUP(ProjLoc,EmCost,4)+VLOOKUP(0,EmAuto1,5)*VLOOKUP(ProjLoc,EmCost,5)+VLOOKUP(0,EmAuto1,6)*VLOOKUP(ProjLoc,EmCost,6)+VLOOKUP(0,EmAuto1,7)*VLOOKUP(ProjLoc,EmCost,7))+P128*N128*0.00000110231131*(VLOOKUP(0,EmTruck1,2)*VLOOKUP(ProjLoc,EmCost,2)+VLOOKUP(0,EmTruck1,3)*VLOOKUP(ProjLoc,EmCost,3)*(1+CO2Uprater)^($B128-YearCurrent)+VLOOKUP(0,EmTruck1,4)*VLOOKUP(ProjLoc,EmCost,4)+VLOOKUP(0,EmTruck1,5)*VLOOKUP(ProjLoc,EmCost,5)+VLOOKUP(0,EmTruck1,6)*VLOOKUP(ProjLoc,EmCost,6)+VLOOKUP(0,EmTruck1,7)*VLOOKUP(ProjLoc,EmCost,7)),0)</f>
        <v>0</v>
      </c>
      <c r="U128" s="729">
        <f>IF(INDEX(HwyTransitModelGroup,A114,1)=PARAMETERS!$J$9,C128*0.00000110231131*(VLOOKUP(K128,EmBus1,2)*VLOOKUP(ProjLoc,EmCost,2)+VLOOKUP(K128,EmBus1,3)*VLOOKUP(ProjLoc,EmCost,3)*(1+CO2Uprater)^($B128-YearCurrent)+VLOOKUP(K128,EmBus1,4)*VLOOKUP(ProjLoc,EmCost,4)+VLOOKUP(K128,EmBus1,5)*VLOOKUP(ProjLoc,EmCost,5)+VLOOKUP(K128,EmBus1,6)*VLOOKUP(ProjLoc,EmCost,6)+VLOOKUP(K128,EmBus1,7)*VLOOKUP(ProjLoc,EmCost,7)),0)</f>
        <v>0</v>
      </c>
      <c r="V128" s="802">
        <f>IF(INDEX(HwyTransitModelGroup,A114,1)=PARAMETERS!$J$9,D128*0.00000110231131*(VLOOKUP(L128,EmBus1,2)*VLOOKUP(ProjLoc,EmCost,2)+VLOOKUP(L128,EmBus1,3)*VLOOKUP(ProjLoc,EmCost,3)*(1+CO2Uprater)^($B128-YearCurrent)+VLOOKUP(L128,EmBus1,4)*VLOOKUP(ProjLoc,EmCost,4)+VLOOKUP(L128,EmBus1,5)*VLOOKUP(ProjLoc,EmCost,5)+VLOOKUP(L128,EmBus1,6)*VLOOKUP(ProjLoc,EmCost,6)+VLOOKUP(L128,EmBus1,7)*VLOOKUP(ProjLoc,EmCost,7)),0)</f>
        <v>0</v>
      </c>
      <c r="W128" s="808">
        <f>IF(INDEX(HwyTransitModelGroup,A114,1)=PARAMETERS!$J$10,C128*0.00000110231131*(PARAMETERS!$CQ$28*VLOOKUP(ProjLoc,EmCost,2)+PARAMETERS!$CR$28*VLOOKUP(ProjLoc,EmCost,3)*(1+CO2Uprater)^($B128-YearCurrent)+PARAMETERS!$CS$28*VLOOKUP(ProjLoc,EmCost,4)+PARAMETERS!$CT$28*VLOOKUP(ProjLoc,EmCost,5)+PARAMETERS!$CU$28*VLOOKUP(ProjLoc,EmCost,6)+PARAMETERS!$CV$28*VLOOKUP(ProjLoc,EmCost,7)),0)</f>
        <v>0</v>
      </c>
      <c r="X128" s="844">
        <f>IF(INDEX(HwyTransitModelGroup,A114,1)=PARAMETERS!$J$10,D128*0.00000110231131*(PARAMETERS!$CQ$28*VLOOKUP(ProjLoc,EmCost,2)+PARAMETERS!$CR$28*VLOOKUP(ProjLoc,EmCost,3)*(1+CO2Uprater)^($B128-YearCurrent)+PARAMETERS!$CS$28*VLOOKUP(ProjLoc,EmCost,4)+PARAMETERS!$CT$28*VLOOKUP(ProjLoc,EmCost,5)+PARAMETERS!$CU$28*VLOOKUP(ProjLoc,EmCost,6)+PARAMETERS!$CV$28*VLOOKUP(ProjLoc,EmCost,7)),0)</f>
        <v>0</v>
      </c>
      <c r="Y128" s="808">
        <f>IF(INDEX(HwyTransitModelGroup,A114,1)=PARAMETERS!$J$11,C128*0.00000110231131*(PARAMETERS!$CQ$36*VLOOKUP(ProjLoc,EmCost,2)+PARAMETERS!$CR$36*VLOOKUP(ProjLoc,EmCost,3)*(1+CO2Uprater)^($B128-YearCurrent)+PARAMETERS!$CS$36*VLOOKUP(ProjLoc,EmCost,4)+PARAMETERS!$CT$36*VLOOKUP(ProjLoc,EmCost,5)+PARAMETERS!$CU$36*VLOOKUP(ProjLoc,EmCost,6)+PARAMETERS!$CV$36*VLOOKUP(ProjLoc,EmCost,7)),0)</f>
        <v>0</v>
      </c>
      <c r="Z128" s="844">
        <f>IF(INDEX(HwyTransitModelGroup,A114,1)=PARAMETERS!$J$11,D128*0.00000110231131*(PARAMETERS!$CQ$36*VLOOKUP(ProjLoc,EmCost,2)+PARAMETERS!$CR$36*VLOOKUP(ProjLoc,EmCost,3)*(1+CO2Uprater)^($B128-YearCurrent)+PARAMETERS!$CS$36*VLOOKUP(ProjLoc,EmCost,4)+PARAMETERS!$CT$36*VLOOKUP(ProjLoc,EmCost,5)+PARAMETERS!$CU$36*VLOOKUP(ProjLoc,EmCost,6)+PARAMETERS!$CV$36*VLOOKUP(ProjLoc,EmCost,7)),0)</f>
        <v>0</v>
      </c>
      <c r="AA128" s="369">
        <f t="shared" si="48"/>
        <v>-1838.2632117443063</v>
      </c>
      <c r="AB128" s="370">
        <f t="shared" si="49"/>
        <v>-1291.5393490740887</v>
      </c>
      <c r="AC128" s="371"/>
      <c r="AD128" s="401">
        <f>IF(INDEX(HwyTransitModelGroup,A114,1)=Hwy,0.00000110231131*(C128*(1-M128)*VLOOKUP(K128,EmAuto1,2)-D128*(1-N128)*VLOOKUP(L128,EmAuto1,2)+(O128*(1-M128)-P128*(1-N128))*VLOOKUP(0,EmAuto1,2))+0.00000110231131*(C128*M128*VLOOKUP(K128,EmTruck1,2)-D128*N128*VLOOKUP(L128,EmTruck1,2)+(O128*M128-P128*N128)*VLOOKUP(0,EmTruck1,2)),0)</f>
        <v>0.32415269492782539</v>
      </c>
      <c r="AE128" s="863">
        <f>IF(INDEX(HwyTransitModelGroup,A114,1)=Hwy,0.00000110231131*(C128*(1-M128)*VLOOKUP(K128,EmAuto1,3)-D128*(1-N128)*VLOOKUP(L128,EmAuto1,3)+(O128*(1-M128)-P128*(1-N128))*VLOOKUP(0,EmAuto1,3))+0.00000110231131*(C128*M128*VLOOKUP(K128,EmTruck1,3)-D128*N128*VLOOKUP(L128,EmTruck1,3)+(O128*M128-P128*N128)*VLOOKUP(0,EmTruck1,3)),0)</f>
        <v>-21.509250155102514</v>
      </c>
      <c r="AF128" s="861">
        <f>IF(INDEX(HwyTransitModelGroup,A114,1)=Hwy,0.00000110231131*(C128*(1-M128)*VLOOKUP(K128,EmAuto1,4)-D128*(1-N128)*VLOOKUP(L128,EmAuto1,4)+(O128*(1-M128)-P128*(1-N128))*VLOOKUP(0,EmAuto1,4))+0.00000110231131*(C128*M128*VLOOKUP(K128,EmTruck1,4)-D128*N128*VLOOKUP(L128,EmTruck1,4)+(O128*M128-P128*N128)*VLOOKUP(0,EmTruck1,4)),0)</f>
        <v>-1.5798555664617037E-2</v>
      </c>
      <c r="AG128" s="863">
        <f>IF(INDEX(HwyTransitModelGroup,A114,1)=Hwy,0.00000110231131*(C128*(1-M128)*VLOOKUP(K128,EmAuto1,5)-D128*(1-N128)*VLOOKUP(L128,EmAuto1,5)+(O128*(1-M128)-P128*(1-N128))*VLOOKUP(0,EmAuto1,5))+0.00000110231131*(C128*M128*VLOOKUP(K128,EmTruck1,5)-D128*N128*VLOOKUP(L128,EmTruck1,5)+(O128*M128-P128*N128)*VLOOKUP(0,EmTruck1,5)),0)</f>
        <v>-3.2668753582811619E-3</v>
      </c>
      <c r="AH128" s="861">
        <f>IF(INDEX(HwyTransitModelGroup,A114,1)=Hwy,0.00000110231131*(C128*(1-M128)*VLOOKUP(K128,EmAuto1,6)-D128*(1-N128)*VLOOKUP(L128,EmAuto1,6)+(O128*(1-M128)-P128*(1-N128))*VLOOKUP(0,EmAuto1,6))+0.00000110231131*(C128*M128*VLOOKUP(K128,EmTruck1,6)-D128*N128*VLOOKUP(L128,EmTruck1,6)+(O128*M128-P128*N128)*VLOOKUP(0,EmTruck1,6)),0)</f>
        <v>-2.4962927596212936E-4</v>
      </c>
      <c r="AI128" s="863">
        <f>IF(INDEX(HwyTransitModelGroup,A114,1)=Hwy,0.00000110231131*(C128*(1-M128)*VLOOKUP(K128,EmAuto1,7)-D128*(1-N128)*VLOOKUP(L128,EmAuto1,7)+(O128*(1-M128)-P128*(1-N128))*VLOOKUP(0,EmAuto1,7))+0.00000110231131*(C128*M128*VLOOKUP(K128,EmTruck1,7)-D128*N128*VLOOKUP(L128,EmTruck1,7)+(O128*M128-P128*N128)*VLOOKUP(0,EmTruck1,7)),0)</f>
        <v>3.7850500958828965E-3</v>
      </c>
      <c r="AJ128" s="861">
        <f>IF(INDEX(HwyTransitModelGroup,A114,1)=Hwy,0.00000110231131*(C128*(1-M128)*VLOOKUP(K128,EmAuto1,8)-D128*(1-N128)*VLOOKUP(L128,EmAuto1,8)+(O128*(1-M128)-P128*(1-N128))*VLOOKUP(0,EmAuto1,8))+0.00000110231131*(C128*M128*VLOOKUP(K128,EmTruck1,8)-D128*N128*VLOOKUP(L128,EmTruck1,8)+(O128*M128-P128*N128)*VLOOKUP(0,EmTruck1,8)),0)</f>
        <v>-3.1335833400549773E-3</v>
      </c>
      <c r="AK128" s="401">
        <f>IF(INDEX(HwyTransitModelGroup,A114,1)=PARAMETERS!$J$9,0.00000110231131*(C128*VLOOKUP(K128,EmBus1,2)-D128*VLOOKUP(L128,EmBus1,2)+(O128-P128)*VLOOKUP(0,EmBus1,2)),0)</f>
        <v>0</v>
      </c>
      <c r="AL128" s="863">
        <f>IF(INDEX(HwyTransitModelGroup,A114,1)=PARAMETERS!$J$9,0.00000110231131*(C128*VLOOKUP(K128,EmBus1,3)-D128*VLOOKUP(L128,EmBus1,3)+(O128-P128)*VLOOKUP(0,EmBus1,3)),0)</f>
        <v>0</v>
      </c>
      <c r="AM128" s="861">
        <f>IF(INDEX(HwyTransitModelGroup,A114,1)=PARAMETERS!$J$9,0.00000110231131*(C128*VLOOKUP(K128,EmBus1,4)-D128*VLOOKUP(L128,EmBus1,4)+(O128-P128)*VLOOKUP(0,EmBus1,4)),0)</f>
        <v>0</v>
      </c>
      <c r="AN128" s="863">
        <f>IF(INDEX(HwyTransitModelGroup,A114,1)=PARAMETERS!$J$9,0.00000110231131*(C128*VLOOKUP(K128,EmBus1,5)-D128*VLOOKUP(L128,EmBus1,5)+(O128-P128)*VLOOKUP(0,EmBus1,5)),0)</f>
        <v>0</v>
      </c>
      <c r="AO128" s="861">
        <f>IF(INDEX(HwyTransitModelGroup,A114,1)=PARAMETERS!$J$9,0.00000110231131*(C128*VLOOKUP(K128,EmBus1,6)-D128*VLOOKUP(L128,EmBus1,6)+(O128-P128)*VLOOKUP(0,EmBus1,6)),0)</f>
        <v>0</v>
      </c>
      <c r="AP128" s="863">
        <f>IF(INDEX(HwyTransitModelGroup,A114,1)=PARAMETERS!$J$9,0.00000110231131*(C128*VLOOKUP(K128,EmBus1,7)-D128*VLOOKUP(L128,EmBus1,7)+(O128-P128)*VLOOKUP(0,EmBus1,7)),0)</f>
        <v>0</v>
      </c>
      <c r="AQ128" s="861">
        <f>IF(INDEX(HwyTransitModelGroup,A114,1)=PARAMETERS!$J$9,0.00000110231131*(C128*VLOOKUP(K128,EmBus1,8)-D128*VLOOKUP(L128,EmBus1,8)+(O128-P128)*VLOOKUP(0,EmBus1,8)),0)</f>
        <v>0</v>
      </c>
      <c r="AR128" s="401">
        <f>IF(INDEX(HwyTransitModelGroup,A114,1)=PARAMETERS!$J$10,0.00000110231131*((C128-D128)*PARAMETERS!$CQ$28),0)</f>
        <v>0</v>
      </c>
      <c r="AS128" s="863">
        <f>IF(INDEX(HwyTransitModelGroup,A114,1)=PARAMETERS!$J$10,0.00000110231131*((C128-D128)*PARAMETERS!$CR$28),0)</f>
        <v>0</v>
      </c>
      <c r="AT128" s="861">
        <f>IF(INDEX(HwyTransitModelGroup,A114,1)=PARAMETERS!$J$10,0.00000110231131*((C128-D128)*PARAMETERS!$CS$28),0)</f>
        <v>0</v>
      </c>
      <c r="AU128" s="863">
        <f>IF(INDEX(HwyTransitModelGroup,A114,1)=PARAMETERS!$J$10,0.00000110231131*((C128-D128)*PARAMETERS!$CT$28),0)</f>
        <v>0</v>
      </c>
      <c r="AV128" s="861">
        <f>IF(INDEX(HwyTransitModelGroup,A114,1)=PARAMETERS!$J$10,0.00000110231131*((C128-D128)*PARAMETERS!$CU$28),0)</f>
        <v>0</v>
      </c>
      <c r="AW128" s="863">
        <f>IF(INDEX(HwyTransitModelGroup,A114,1)=PARAMETERS!$J$10,0.00000110231131*((C128-D128)*PARAMETERS!$CV$28),0)</f>
        <v>0</v>
      </c>
      <c r="AX128" s="861">
        <f>IF(INDEX(HwyTransitModelGroup,A114,1)=PARAMETERS!$J$10,0.00000110231131*((C128-D128)*PARAMETERS!$CW$28),0)</f>
        <v>0</v>
      </c>
      <c r="AY128" s="401">
        <f>IF(INDEX(HwyTransitModelGroup,A114,1)=PARAMETERS!$J$11,0.00000110231131*((C128-D128)*PARAMETERS!$CQ$36),0)</f>
        <v>0</v>
      </c>
      <c r="AZ128" s="863">
        <f>IF(INDEX(HwyTransitModelGroup,A114,1)=PARAMETERS!$J$11,0.00000110231131*((C128-D128)*PARAMETERS!$CR$36),0)</f>
        <v>0</v>
      </c>
      <c r="BA128" s="861">
        <f>IF(INDEX(HwyTransitModelGroup,A114,1)=PARAMETERS!$J$11,0.00000110231131*((C128-D128)*PARAMETERS!$CS$36),0)</f>
        <v>0</v>
      </c>
      <c r="BB128" s="863">
        <f>IF(INDEX(HwyTransitModelGroup,A114,1)=PARAMETERS!$J$11,0.00000110231131*((C128-D128)*PARAMETERS!$CT$36),0)</f>
        <v>0</v>
      </c>
      <c r="BC128" s="861">
        <f>IF(INDEX(HwyTransitModelGroup,A114,1)=PARAMETERS!$J$11,0.00000110231131*((C128-D128)*PARAMETERS!$CU$36),0)</f>
        <v>0</v>
      </c>
      <c r="BD128" s="863">
        <f>IF(INDEX(HwyTransitModelGroup,A114,1)=PARAMETERS!$J$11,0.00000110231131*((C128-D128)*PARAMETERS!$CV$36),0)</f>
        <v>0</v>
      </c>
      <c r="BE128" s="865">
        <f>IF(INDEX(HwyTransitModelGroup,A114,1)=PARAMETERS!$J$11,0.00000110231131*((C128-D128)*PARAMETERS!$CW$36),0)</f>
        <v>0</v>
      </c>
      <c r="BF128" s="729">
        <f t="shared" si="50"/>
        <v>18.219630700673708</v>
      </c>
      <c r="BG128" s="867">
        <f t="shared" si="51"/>
        <v>-866.89799806894166</v>
      </c>
      <c r="BH128" s="867">
        <f t="shared" si="52"/>
        <v>-167.60782033408225</v>
      </c>
      <c r="BI128" s="867">
        <f t="shared" si="53"/>
        <v>-267.85722635351368</v>
      </c>
      <c r="BJ128" s="867">
        <f t="shared" si="54"/>
        <v>-10.34778686808523</v>
      </c>
      <c r="BK128" s="869">
        <f t="shared" si="55"/>
        <v>2.9518518498642607</v>
      </c>
      <c r="BL128" s="392"/>
      <c r="BN128" s="375">
        <f t="shared" ref="BN128:BN145" si="60">BN127+1</f>
        <v>2028</v>
      </c>
      <c r="BO128" s="871">
        <f t="shared" ca="1" si="58"/>
        <v>5.1955258749694895E-3</v>
      </c>
      <c r="BP128" s="871">
        <f t="shared" ca="1" si="59"/>
        <v>-5.5331143883556528E-3</v>
      </c>
      <c r="BQ128" s="871">
        <f t="shared" ca="1" si="59"/>
        <v>2.0842906151776336E-2</v>
      </c>
      <c r="BR128" s="871">
        <f t="shared" ca="1" si="59"/>
        <v>-1.5257537143308578E-2</v>
      </c>
      <c r="BS128" s="871">
        <f t="shared" ca="1" si="59"/>
        <v>0.60799916637647677</v>
      </c>
      <c r="BT128" s="871">
        <f t="shared" ca="1" si="59"/>
        <v>0.86262423695062729</v>
      </c>
    </row>
    <row r="129" spans="2:72" x14ac:dyDescent="0.25">
      <c r="B129" s="375">
        <f t="shared" si="57"/>
        <v>2032</v>
      </c>
      <c r="C129" s="401">
        <f>MAX(TREND(C120:C121,B120:B121,B129),0)</f>
        <v>988091.5</v>
      </c>
      <c r="D129" s="402">
        <f>MAX(TREND(D120:D121,B120:B121,B129),0)</f>
        <v>814534</v>
      </c>
      <c r="E129" s="401">
        <f>MAX(TREND(E120:E121,B120:B121,B129),0)</f>
        <v>22922</v>
      </c>
      <c r="F129" s="402">
        <f>MAX(TREND(F120:F121,B120:B121,B129),0)</f>
        <v>10731</v>
      </c>
      <c r="G129" s="401">
        <f>MAX(TREND(G120:G121,B120:B121,B129),0)</f>
        <v>0</v>
      </c>
      <c r="H129" s="402">
        <f>MAX(TREND(H120:H121,B120:B121,B129),0)</f>
        <v>0</v>
      </c>
      <c r="I129" s="401">
        <f>MAX(TREND(I120:I121,B120:B121,B129),0)</f>
        <v>0</v>
      </c>
      <c r="J129" s="402">
        <f>MAX(TREND(J120:J121,B120:B121,B129),0)</f>
        <v>0</v>
      </c>
      <c r="K129" s="435">
        <f>IFERROR(IF(INDEX(HwyTransitModelGroup,A114,1)=Hwy,MAX(5,ROUND(C129/E129,1)),MAX(5,ROUND(G129/I129,1))),55)</f>
        <v>43.1</v>
      </c>
      <c r="L129" s="436">
        <f>IFERROR(IF(INDEX(HwyTransitModelGroup,A114,1)=Hwy,MAX(5,ROUND(D129/F129,1)),MAX(5,ROUND(H129/J129,1))),55)</f>
        <v>75.900000000000006</v>
      </c>
      <c r="M129" s="405">
        <f>MIN(MAX(TREND(M120:M121,B120:B121,B129),0),1)</f>
        <v>0.24</v>
      </c>
      <c r="N129" s="406">
        <f>MIN(MAX(TREND(N120:N121,B120:B121,B129),0),1)</f>
        <v>0.24</v>
      </c>
      <c r="O129" s="401">
        <f>MAX(TREND(O120:O121,B120:B121,B129),0)</f>
        <v>0</v>
      </c>
      <c r="P129" s="402">
        <f>MAX(TREND(P120:P121,B120:B121,B129),0)</f>
        <v>0</v>
      </c>
      <c r="Q129" s="729">
        <f>IF(INDEX(HwyTransitModelGroup,A114,1)=Hwy,C129*(1-M129)*0.00000110231131*(VLOOKUP(K129,EmAuto1,2)*VLOOKUP(ProjLoc,EmCost,2)+VLOOKUP(K129,EmAuto1,3)*VLOOKUP(ProjLoc,EmCost,3)*(1+CO2Uprater)^($B129-YearCurrent)+VLOOKUP(K129,EmAuto1,4)*VLOOKUP(ProjLoc,EmCost,4)+VLOOKUP(K129,EmAuto1,5)*VLOOKUP(ProjLoc,EmCost,5)+VLOOKUP(K129,EmAuto1,6)*VLOOKUP(ProjLoc,EmCost,6)+VLOOKUP(K129,EmAuto1,7)*VLOOKUP(ProjLoc,EmCost,7))+C129*M129*0.00000110231131*(VLOOKUP(K129,EmTruck1,2)*VLOOKUP(ProjLoc,EmCost,2)+VLOOKUP(K129,EmTruck1,3)*VLOOKUP(ProjLoc,EmCost,3)*(1+CO2Uprater)^($B129-YearCurrent)+VLOOKUP(K129,EmTruck1,4)*VLOOKUP(ProjLoc,EmCost,4)+VLOOKUP(K129,EmTruck1,5)*VLOOKUP(ProjLoc,EmCost,5)+VLOOKUP(K129,EmTruck1,6)*VLOOKUP(ProjLoc,EmCost,6)+VLOOKUP(K129,EmTruck1,7)*VLOOKUP(ProjLoc,EmCost,7)),0)</f>
        <v>34482.88087028361</v>
      </c>
      <c r="R129" s="802">
        <f>IF(INDEX(HwyTransitModelGroup,A114,1)=Hwy,D129*(1-N129)*0.00000110231131*(VLOOKUP(L129,EmAuto1,2)*VLOOKUP(ProjLoc,EmCost,2)+VLOOKUP(L129,EmAuto1,3)*VLOOKUP(ProjLoc,EmCost,3)*(1+CO2Uprater)^($B129-YearCurrent)+VLOOKUP(L129,EmAuto1,4)*VLOOKUP(ProjLoc,EmCost,4)+VLOOKUP(L129,EmAuto1,5)*VLOOKUP(ProjLoc,EmCost,5)+VLOOKUP(L129,EmAuto1,6)*VLOOKUP(ProjLoc,EmCost,6)+VLOOKUP(L129,EmAuto1,7)*VLOOKUP(ProjLoc,EmCost,7))+D129*N129*0.00000110231131*(VLOOKUP(L129,EmTruck1,2)*VLOOKUP(ProjLoc,EmCost,2)+VLOOKUP(L129,EmTruck1,3)*VLOOKUP(ProjLoc,EmCost,3)*(1+CO2Uprater)^($B129-YearCurrent)+VLOOKUP(L129,EmTruck1,4)*VLOOKUP(ProjLoc,EmCost,4)+VLOOKUP(L129,EmTruck1,5)*VLOOKUP(ProjLoc,EmCost,5)+VLOOKUP(L129,EmTruck1,6)*VLOOKUP(ProjLoc,EmCost,6)+VLOOKUP(L129,EmTruck1,7)*VLOOKUP(ProjLoc,EmCost,7)),0)</f>
        <v>36367.235500390321</v>
      </c>
      <c r="S129" s="729">
        <f>IF(INDEX(HwyTransitModelGroup,A114,1)=Hwy,O129*(1-M129)*0.00000110231131*(VLOOKUP(0,EmAuto1,2)*VLOOKUP(ProjLoc,EmCost,2)+VLOOKUP(0,EmAuto1,3)*VLOOKUP(ProjLoc,EmCost,3)*(1+CO2Uprater)^($B129-YearCurrent)+VLOOKUP(0,EmAuto1,4)*VLOOKUP(ProjLoc,EmCost,4)+VLOOKUP(0,EmAuto1,5)*VLOOKUP(ProjLoc,EmCost,5)+VLOOKUP(0,EmAuto1,6)*VLOOKUP(ProjLoc,EmCost,6)+VLOOKUP(0,EmAuto1,7)*VLOOKUP(ProjLoc,EmCost,7))+O129*M129*0.00000110231131*(VLOOKUP(0,EmTruck1,2)*VLOOKUP(ProjLoc,EmCost,2)+VLOOKUP(0,EmTruck1,3)*VLOOKUP(ProjLoc,EmCost,3)*(1+CO2Uprater)^($B129-YearCurrent)+VLOOKUP(0,EmTruck1,4)*VLOOKUP(ProjLoc,EmCost,4)+VLOOKUP(0,EmTruck1,5)*VLOOKUP(ProjLoc,EmCost,5)+VLOOKUP(0,EmTruck1,6)*VLOOKUP(ProjLoc,EmCost,6)+VLOOKUP(0,EmTruck1,7)*VLOOKUP(ProjLoc,EmCost,7)),0)</f>
        <v>0</v>
      </c>
      <c r="T129" s="802">
        <f>IF(INDEX(HwyTransitModelGroup,A114,1)=Hwy,P129*(1-N129)*0.00000110231131*(VLOOKUP(0,EmAuto1,2)*VLOOKUP(ProjLoc,EmCost,2)+VLOOKUP(0,EmAuto1,3)*VLOOKUP(ProjLoc,EmCost,3)*(1+CO2Uprater)^($B129-YearCurrent)+VLOOKUP(0,EmAuto1,4)*VLOOKUP(ProjLoc,EmCost,4)+VLOOKUP(0,EmAuto1,5)*VLOOKUP(ProjLoc,EmCost,5)+VLOOKUP(0,EmAuto1,6)*VLOOKUP(ProjLoc,EmCost,6)+VLOOKUP(0,EmAuto1,7)*VLOOKUP(ProjLoc,EmCost,7))+P129*N129*0.00000110231131*(VLOOKUP(0,EmTruck1,2)*VLOOKUP(ProjLoc,EmCost,2)+VLOOKUP(0,EmTruck1,3)*VLOOKUP(ProjLoc,EmCost,3)*(1+CO2Uprater)^($B129-YearCurrent)+VLOOKUP(0,EmTruck1,4)*VLOOKUP(ProjLoc,EmCost,4)+VLOOKUP(0,EmTruck1,5)*VLOOKUP(ProjLoc,EmCost,5)+VLOOKUP(0,EmTruck1,6)*VLOOKUP(ProjLoc,EmCost,6)+VLOOKUP(0,EmTruck1,7)*VLOOKUP(ProjLoc,EmCost,7)),0)</f>
        <v>0</v>
      </c>
      <c r="U129" s="729">
        <f>IF(INDEX(HwyTransitModelGroup,A114,1)=PARAMETERS!$J$9,C129*0.00000110231131*(VLOOKUP(K129,EmBus1,2)*VLOOKUP(ProjLoc,EmCost,2)+VLOOKUP(K129,EmBus1,3)*VLOOKUP(ProjLoc,EmCost,3)*(1+CO2Uprater)^($B129-YearCurrent)+VLOOKUP(K129,EmBus1,4)*VLOOKUP(ProjLoc,EmCost,4)+VLOOKUP(K129,EmBus1,5)*VLOOKUP(ProjLoc,EmCost,5)+VLOOKUP(K129,EmBus1,6)*VLOOKUP(ProjLoc,EmCost,6)+VLOOKUP(K129,EmBus1,7)*VLOOKUP(ProjLoc,EmCost,7)),0)</f>
        <v>0</v>
      </c>
      <c r="V129" s="802">
        <f>IF(INDEX(HwyTransitModelGroup,A114,1)=PARAMETERS!$J$9,D129*0.00000110231131*(VLOOKUP(L129,EmBus1,2)*VLOOKUP(ProjLoc,EmCost,2)+VLOOKUP(L129,EmBus1,3)*VLOOKUP(ProjLoc,EmCost,3)*(1+CO2Uprater)^($B129-YearCurrent)+VLOOKUP(L129,EmBus1,4)*VLOOKUP(ProjLoc,EmCost,4)+VLOOKUP(L129,EmBus1,5)*VLOOKUP(ProjLoc,EmCost,5)+VLOOKUP(L129,EmBus1,6)*VLOOKUP(ProjLoc,EmCost,6)+VLOOKUP(L129,EmBus1,7)*VLOOKUP(ProjLoc,EmCost,7)),0)</f>
        <v>0</v>
      </c>
      <c r="W129" s="808">
        <f>IF(INDEX(HwyTransitModelGroup,A114,1)=PARAMETERS!$J$10,C129*0.00000110231131*(PARAMETERS!$CQ$28*VLOOKUP(ProjLoc,EmCost,2)+PARAMETERS!$CR$28*VLOOKUP(ProjLoc,EmCost,3)*(1+CO2Uprater)^($B129-YearCurrent)+PARAMETERS!$CS$28*VLOOKUP(ProjLoc,EmCost,4)+PARAMETERS!$CT$28*VLOOKUP(ProjLoc,EmCost,5)+PARAMETERS!$CU$28*VLOOKUP(ProjLoc,EmCost,6)+PARAMETERS!$CV$28*VLOOKUP(ProjLoc,EmCost,7)),0)</f>
        <v>0</v>
      </c>
      <c r="X129" s="844">
        <f>IF(INDEX(HwyTransitModelGroup,A114,1)=PARAMETERS!$J$10,D129*0.00000110231131*(PARAMETERS!$CQ$28*VLOOKUP(ProjLoc,EmCost,2)+PARAMETERS!$CR$28*VLOOKUP(ProjLoc,EmCost,3)*(1+CO2Uprater)^($B129-YearCurrent)+PARAMETERS!$CS$28*VLOOKUP(ProjLoc,EmCost,4)+PARAMETERS!$CT$28*VLOOKUP(ProjLoc,EmCost,5)+PARAMETERS!$CU$28*VLOOKUP(ProjLoc,EmCost,6)+PARAMETERS!$CV$28*VLOOKUP(ProjLoc,EmCost,7)),0)</f>
        <v>0</v>
      </c>
      <c r="Y129" s="808">
        <f>IF(INDEX(HwyTransitModelGroup,A114,1)=PARAMETERS!$J$11,C129*0.00000110231131*(PARAMETERS!$CQ$36*VLOOKUP(ProjLoc,EmCost,2)+PARAMETERS!$CR$36*VLOOKUP(ProjLoc,EmCost,3)*(1+CO2Uprater)^($B129-YearCurrent)+PARAMETERS!$CS$36*VLOOKUP(ProjLoc,EmCost,4)+PARAMETERS!$CT$36*VLOOKUP(ProjLoc,EmCost,5)+PARAMETERS!$CU$36*VLOOKUP(ProjLoc,EmCost,6)+PARAMETERS!$CV$36*VLOOKUP(ProjLoc,EmCost,7)),0)</f>
        <v>0</v>
      </c>
      <c r="Z129" s="844">
        <f>IF(INDEX(HwyTransitModelGroup,A114,1)=PARAMETERS!$J$11,D129*0.00000110231131*(PARAMETERS!$CQ$36*VLOOKUP(ProjLoc,EmCost,2)+PARAMETERS!$CR$36*VLOOKUP(ProjLoc,EmCost,3)*(1+CO2Uprater)^($B129-YearCurrent)+PARAMETERS!$CS$36*VLOOKUP(ProjLoc,EmCost,4)+PARAMETERS!$CT$36*VLOOKUP(ProjLoc,EmCost,5)+PARAMETERS!$CU$36*VLOOKUP(ProjLoc,EmCost,6)+PARAMETERS!$CV$36*VLOOKUP(ProjLoc,EmCost,7)),0)</f>
        <v>0</v>
      </c>
      <c r="AA129" s="369">
        <f t="shared" si="48"/>
        <v>-1884.3546301067108</v>
      </c>
      <c r="AB129" s="370">
        <f t="shared" si="49"/>
        <v>-1273.0024694610852</v>
      </c>
      <c r="AC129" s="371"/>
      <c r="AD129" s="401">
        <f>IF(INDEX(HwyTransitModelGroup,A114,1)=Hwy,0.00000110231131*(C129*(1-M129)*VLOOKUP(K129,EmAuto1,2)-D129*(1-N129)*VLOOKUP(L129,EmAuto1,2)+(O129*(1-M129)-P129*(1-N129))*VLOOKUP(0,EmAuto1,2))+0.00000110231131*(C129*M129*VLOOKUP(K129,EmTruck1,2)-D129*N129*VLOOKUP(L129,EmTruck1,2)+(O129*M129-P129*N129)*VLOOKUP(0,EmTruck1,2)),0)</f>
        <v>0.32809055070789989</v>
      </c>
      <c r="AE129" s="863">
        <f>IF(INDEX(HwyTransitModelGroup,A114,1)=Hwy,0.00000110231131*(C129*(1-M129)*VLOOKUP(K129,EmAuto1,3)-D129*(1-N129)*VLOOKUP(L129,EmAuto1,3)+(O129*(1-M129)-P129*(1-N129))*VLOOKUP(0,EmAuto1,3))+0.00000110231131*(C129*M129*VLOOKUP(K129,EmTruck1,3)-D129*N129*VLOOKUP(L129,EmTruck1,3)+(O129*M129-P129*N129)*VLOOKUP(0,EmTruck1,3)),0)</f>
        <v>-21.753693086751753</v>
      </c>
      <c r="AF129" s="861">
        <f>IF(INDEX(HwyTransitModelGroup,A114,1)=Hwy,0.00000110231131*(C129*(1-M129)*VLOOKUP(K129,EmAuto1,4)-D129*(1-N129)*VLOOKUP(L129,EmAuto1,4)+(O129*(1-M129)-P129*(1-N129))*VLOOKUP(0,EmAuto1,4))+0.00000110231131*(C129*M129*VLOOKUP(K129,EmTruck1,4)-D129*N129*VLOOKUP(L129,EmTruck1,4)+(O129*M129-P129*N129)*VLOOKUP(0,EmTruck1,4)),0)</f>
        <v>-1.5978895171719857E-2</v>
      </c>
      <c r="AG129" s="863">
        <f>IF(INDEX(HwyTransitModelGroup,A114,1)=Hwy,0.00000110231131*(C129*(1-M129)*VLOOKUP(K129,EmAuto1,5)-D129*(1-N129)*VLOOKUP(L129,EmAuto1,5)+(O129*(1-M129)-P129*(1-N129))*VLOOKUP(0,EmAuto1,5))+0.00000110231131*(C129*M129*VLOOKUP(K129,EmTruck1,5)-D129*N129*VLOOKUP(L129,EmTruck1,5)+(O129*M129-P129*N129)*VLOOKUP(0,EmTruck1,5)),0)</f>
        <v>-3.3061681565375654E-3</v>
      </c>
      <c r="AH129" s="861">
        <f>IF(INDEX(HwyTransitModelGroup,A114,1)=Hwy,0.00000110231131*(C129*(1-M129)*VLOOKUP(K129,EmAuto1,6)-D129*(1-N129)*VLOOKUP(L129,EmAuto1,6)+(O129*(1-M129)-P129*(1-N129))*VLOOKUP(0,EmAuto1,6))+0.00000110231131*(C129*M129*VLOOKUP(K129,EmTruck1,6)-D129*N129*VLOOKUP(L129,EmTruck1,6)+(O129*M129-P129*N129)*VLOOKUP(0,EmTruck1,6)),0)</f>
        <v>-2.5249637665632663E-4</v>
      </c>
      <c r="AI129" s="863">
        <f>IF(INDEX(HwyTransitModelGroup,A114,1)=Hwy,0.00000110231131*(C129*(1-M129)*VLOOKUP(K129,EmAuto1,7)-D129*(1-N129)*VLOOKUP(L129,EmAuto1,7)+(O129*(1-M129)-P129*(1-N129))*VLOOKUP(0,EmAuto1,7))+0.00000110231131*(C129*M129*VLOOKUP(K129,EmTruck1,7)-D129*N129*VLOOKUP(L129,EmTruck1,7)+(O129*M129-P129*N129)*VLOOKUP(0,EmTruck1,7)),0)</f>
        <v>3.831366124043559E-3</v>
      </c>
      <c r="AJ129" s="861">
        <f>IF(INDEX(HwyTransitModelGroup,A114,1)=Hwy,0.00000110231131*(C129*(1-M129)*VLOOKUP(K129,EmAuto1,8)-D129*(1-N129)*VLOOKUP(L129,EmAuto1,8)+(O129*(1-M129)-P129*(1-N129))*VLOOKUP(0,EmAuto1,8))+0.00000110231131*(C129*M129*VLOOKUP(K129,EmTruck1,8)-D129*N129*VLOOKUP(L129,EmTruck1,8)+(O129*M129-P129*N129)*VLOOKUP(0,EmTruck1,8)),0)</f>
        <v>-3.171274730202618E-3</v>
      </c>
      <c r="AK129" s="401">
        <f>IF(INDEX(HwyTransitModelGroup,A114,1)=PARAMETERS!$J$9,0.00000110231131*(C129*VLOOKUP(K129,EmBus1,2)-D129*VLOOKUP(L129,EmBus1,2)+(O129-P129)*VLOOKUP(0,EmBus1,2)),0)</f>
        <v>0</v>
      </c>
      <c r="AL129" s="863">
        <f>IF(INDEX(HwyTransitModelGroup,A114,1)=PARAMETERS!$J$9,0.00000110231131*(C129*VLOOKUP(K129,EmBus1,3)-D129*VLOOKUP(L129,EmBus1,3)+(O129-P129)*VLOOKUP(0,EmBus1,3)),0)</f>
        <v>0</v>
      </c>
      <c r="AM129" s="861">
        <f>IF(INDEX(HwyTransitModelGroup,A114,1)=PARAMETERS!$J$9,0.00000110231131*(C129*VLOOKUP(K129,EmBus1,4)-D129*VLOOKUP(L129,EmBus1,4)+(O129-P129)*VLOOKUP(0,EmBus1,4)),0)</f>
        <v>0</v>
      </c>
      <c r="AN129" s="863">
        <f>IF(INDEX(HwyTransitModelGroup,A114,1)=PARAMETERS!$J$9,0.00000110231131*(C129*VLOOKUP(K129,EmBus1,5)-D129*VLOOKUP(L129,EmBus1,5)+(O129-P129)*VLOOKUP(0,EmBus1,5)),0)</f>
        <v>0</v>
      </c>
      <c r="AO129" s="861">
        <f>IF(INDEX(HwyTransitModelGroup,A114,1)=PARAMETERS!$J$9,0.00000110231131*(C129*VLOOKUP(K129,EmBus1,6)-D129*VLOOKUP(L129,EmBus1,6)+(O129-P129)*VLOOKUP(0,EmBus1,6)),0)</f>
        <v>0</v>
      </c>
      <c r="AP129" s="863">
        <f>IF(INDEX(HwyTransitModelGroup,A114,1)=PARAMETERS!$J$9,0.00000110231131*(C129*VLOOKUP(K129,EmBus1,7)-D129*VLOOKUP(L129,EmBus1,7)+(O129-P129)*VLOOKUP(0,EmBus1,7)),0)</f>
        <v>0</v>
      </c>
      <c r="AQ129" s="861">
        <f>IF(INDEX(HwyTransitModelGroup,A114,1)=PARAMETERS!$J$9,0.00000110231131*(C129*VLOOKUP(K129,EmBus1,8)-D129*VLOOKUP(L129,EmBus1,8)+(O129-P129)*VLOOKUP(0,EmBus1,8)),0)</f>
        <v>0</v>
      </c>
      <c r="AR129" s="401">
        <f>IF(INDEX(HwyTransitModelGroup,A114,1)=PARAMETERS!$J$10,0.00000110231131*((C129-D129)*PARAMETERS!$CQ$28),0)</f>
        <v>0</v>
      </c>
      <c r="AS129" s="863">
        <f>IF(INDEX(HwyTransitModelGroup,A114,1)=PARAMETERS!$J$10,0.00000110231131*((C129-D129)*PARAMETERS!$CR$28),0)</f>
        <v>0</v>
      </c>
      <c r="AT129" s="861">
        <f>IF(INDEX(HwyTransitModelGroup,A114,1)=PARAMETERS!$J$10,0.00000110231131*((C129-D129)*PARAMETERS!$CS$28),0)</f>
        <v>0</v>
      </c>
      <c r="AU129" s="863">
        <f>IF(INDEX(HwyTransitModelGroup,A114,1)=PARAMETERS!$J$10,0.00000110231131*((C129-D129)*PARAMETERS!$CT$28),0)</f>
        <v>0</v>
      </c>
      <c r="AV129" s="861">
        <f>IF(INDEX(HwyTransitModelGroup,A114,1)=PARAMETERS!$J$10,0.00000110231131*((C129-D129)*PARAMETERS!$CU$28),0)</f>
        <v>0</v>
      </c>
      <c r="AW129" s="863">
        <f>IF(INDEX(HwyTransitModelGroup,A114,1)=PARAMETERS!$J$10,0.00000110231131*((C129-D129)*PARAMETERS!$CV$28),0)</f>
        <v>0</v>
      </c>
      <c r="AX129" s="861">
        <f>IF(INDEX(HwyTransitModelGroup,A114,1)=PARAMETERS!$J$10,0.00000110231131*((C129-D129)*PARAMETERS!$CW$28),0)</f>
        <v>0</v>
      </c>
      <c r="AY129" s="401">
        <f>IF(INDEX(HwyTransitModelGroup,A114,1)=PARAMETERS!$J$11,0.00000110231131*((C129-D129)*PARAMETERS!$CQ$36),0)</f>
        <v>0</v>
      </c>
      <c r="AZ129" s="863">
        <f>IF(INDEX(HwyTransitModelGroup,A114,1)=PARAMETERS!$J$11,0.00000110231131*((C129-D129)*PARAMETERS!$CR$36),0)</f>
        <v>0</v>
      </c>
      <c r="BA129" s="861">
        <f>IF(INDEX(HwyTransitModelGroup,A114,1)=PARAMETERS!$J$11,0.00000110231131*((C129-D129)*PARAMETERS!$CS$36),0)</f>
        <v>0</v>
      </c>
      <c r="BB129" s="863">
        <f>IF(INDEX(HwyTransitModelGroup,A114,1)=PARAMETERS!$J$11,0.00000110231131*((C129-D129)*PARAMETERS!$CT$36),0)</f>
        <v>0</v>
      </c>
      <c r="BC129" s="861">
        <f>IF(INDEX(HwyTransitModelGroup,A114,1)=PARAMETERS!$J$11,0.00000110231131*((C129-D129)*PARAMETERS!$CU$36),0)</f>
        <v>0</v>
      </c>
      <c r="BD129" s="863">
        <f>IF(INDEX(HwyTransitModelGroup,A114,1)=PARAMETERS!$J$11,0.00000110231131*((C129-D129)*PARAMETERS!$CV$36),0)</f>
        <v>0</v>
      </c>
      <c r="BE129" s="865">
        <f>IF(INDEX(HwyTransitModelGroup,A114,1)=PARAMETERS!$J$11,0.00000110231131*((C129-D129)*PARAMETERS!$CW$36),0)</f>
        <v>0</v>
      </c>
      <c r="BF129" s="729">
        <f t="shared" si="50"/>
        <v>17.731697615086471</v>
      </c>
      <c r="BG129" s="867">
        <f t="shared" si="51"/>
        <v>-859.88932796156837</v>
      </c>
      <c r="BH129" s="867">
        <f t="shared" si="52"/>
        <v>-163.00101243510611</v>
      </c>
      <c r="BI129" s="867">
        <f t="shared" si="53"/>
        <v>-260.65280426954502</v>
      </c>
      <c r="BJ129" s="867">
        <f t="shared" si="54"/>
        <v>-10.064072784814066</v>
      </c>
      <c r="BK129" s="869">
        <f t="shared" si="55"/>
        <v>2.8730503748730576</v>
      </c>
      <c r="BL129" s="392"/>
      <c r="BN129" s="375">
        <f t="shared" si="60"/>
        <v>2029</v>
      </c>
      <c r="BO129" s="871">
        <f t="shared" ca="1" si="58"/>
        <v>2.996460366738988E-3</v>
      </c>
      <c r="BP129" s="871">
        <f t="shared" ca="1" si="59"/>
        <v>-5.6345739443473168E-3</v>
      </c>
      <c r="BQ129" s="871">
        <f t="shared" ca="1" si="59"/>
        <v>2.1223954455906916E-2</v>
      </c>
      <c r="BR129" s="871">
        <f t="shared" ca="1" si="59"/>
        <v>-1.5437876650411414E-2</v>
      </c>
      <c r="BS129" s="871">
        <f t="shared" ca="1" si="59"/>
        <v>0.63859624875544463</v>
      </c>
      <c r="BT129" s="871">
        <f t="shared" ca="1" si="59"/>
        <v>0.88753355000526624</v>
      </c>
    </row>
    <row r="130" spans="2:72" x14ac:dyDescent="0.25">
      <c r="B130" s="375">
        <f t="shared" si="57"/>
        <v>2033</v>
      </c>
      <c r="C130" s="401">
        <f>MAX(TREND(C120:C121,B120:B121,B130),0)</f>
        <v>999899.25</v>
      </c>
      <c r="D130" s="402">
        <f>MAX(TREND(D120:D121,B120:B121,B130),0)</f>
        <v>824243</v>
      </c>
      <c r="E130" s="401">
        <f>MAX(TREND(E120:E121,B120:B121,B130),0)</f>
        <v>23214</v>
      </c>
      <c r="F130" s="402">
        <f>MAX(TREND(F120:F121,B120:B121,B130),0)</f>
        <v>10877</v>
      </c>
      <c r="G130" s="401">
        <f>MAX(TREND(G120:G121,B120:B121,B130),0)</f>
        <v>0</v>
      </c>
      <c r="H130" s="402">
        <f>MAX(TREND(H120:H121,B120:B121,B130),0)</f>
        <v>0</v>
      </c>
      <c r="I130" s="401">
        <f>MAX(TREND(I120:I121,B120:B121,B130),0)</f>
        <v>0</v>
      </c>
      <c r="J130" s="402">
        <f>MAX(TREND(J120:J121,B120:B121,B130),0)</f>
        <v>0</v>
      </c>
      <c r="K130" s="435">
        <f>IFERROR(IF(INDEX(HwyTransitModelGroup,A114,1)=Hwy,MAX(5,ROUND(C130/E130,1)),MAX(5,ROUND(G130/I130,1))),55)</f>
        <v>43.1</v>
      </c>
      <c r="L130" s="436">
        <f>IFERROR(IF(INDEX(HwyTransitModelGroup,A114,1)=Hwy,MAX(5,ROUND(D130/F130,1)),MAX(5,ROUND(H130/J130,1))),55)</f>
        <v>75.8</v>
      </c>
      <c r="M130" s="405">
        <f>MIN(MAX(TREND(M120:M121,B120:B121,B130),0),1)</f>
        <v>0.24</v>
      </c>
      <c r="N130" s="406">
        <f>MIN(MAX(TREND(N120:N121,B120:B121,B130),0),1)</f>
        <v>0.24</v>
      </c>
      <c r="O130" s="401">
        <f>MAX(TREND(O120:O121,B120:B121,B130),0)</f>
        <v>0</v>
      </c>
      <c r="P130" s="402">
        <f>MAX(TREND(P120:P121,B120:B121,B130),0)</f>
        <v>0</v>
      </c>
      <c r="Q130" s="729">
        <f>IF(INDEX(HwyTransitModelGroup,A114,1)=Hwy,C130*(1-M130)*0.00000110231131*(VLOOKUP(K130,EmAuto20,2)*VLOOKUP(ProjLoc,EmCost,2)+VLOOKUP(K130,EmAuto20,3)*VLOOKUP(ProjLoc,EmCost,3)*(1+CO2Uprater)^($B130-YearCurrent)+VLOOKUP(K130,EmAuto20,4)*VLOOKUP(ProjLoc,EmCost,4)+VLOOKUP(K130,EmAuto20,5)*VLOOKUP(ProjLoc,EmCost,5)+VLOOKUP(K130,EmAuto20,6)*VLOOKUP(ProjLoc,EmCost,6)+VLOOKUP(K130,EmAuto20,7)*VLOOKUP(ProjLoc,EmCost,7))+C130*M130*0.00000110231131*(VLOOKUP(K130,EmTruck20,2)*VLOOKUP(ProjLoc,EmCost,2)+VLOOKUP(K130,EmTruck20,3)*VLOOKUP(ProjLoc,EmCost,3)*(1+CO2Uprater)^($B130-YearCurrent)+VLOOKUP(K130,EmTruck20,4)*VLOOKUP(ProjLoc,EmCost,4)+VLOOKUP(K130,EmTruck20,5)*VLOOKUP(ProjLoc,EmCost,5)+VLOOKUP(K130,EmTruck20,6)*VLOOKUP(ProjLoc,EmCost,6)+VLOOKUP(K130,EmTruck20,7)*VLOOKUP(ProjLoc,EmCost,7)),0)</f>
        <v>23099.035284094054</v>
      </c>
      <c r="R130" s="802">
        <f>IF(INDEX(HwyTransitModelGroup,A114,1)=Hwy,D130*(1-N130)*0.00000110231131*(VLOOKUP(L130,EmAuto20,2)*VLOOKUP(ProjLoc,EmCost,2)+VLOOKUP(L130,EmAuto20,3)*VLOOKUP(ProjLoc,EmCost,3)*(1+CO2Uprater)^($B130-YearCurrent)+VLOOKUP(L130,EmAuto20,4)*VLOOKUP(ProjLoc,EmCost,4)+VLOOKUP(L130,EmAuto20,5)*VLOOKUP(ProjLoc,EmCost,5)+VLOOKUP(L130,EmAuto20,6)*VLOOKUP(ProjLoc,EmCost,6)+VLOOKUP(L130,EmAuto20,7)*VLOOKUP(ProjLoc,EmCost,7))+D130*N130*0.00000110231131*(VLOOKUP(L130,EmTruck20,2)*VLOOKUP(ProjLoc,EmCost,2)+VLOOKUP(L130,EmTruck20,3)*VLOOKUP(ProjLoc,EmCost,3)*(1+CO2Uprater)^($B130-YearCurrent)+VLOOKUP(L130,EmTruck20,4)*VLOOKUP(ProjLoc,EmCost,4)+VLOOKUP(L130,EmTruck20,5)*VLOOKUP(ProjLoc,EmCost,5)+VLOOKUP(L130,EmTruck20,6)*VLOOKUP(ProjLoc,EmCost,6)+VLOOKUP(L130,EmTruck20,7)*VLOOKUP(ProjLoc,EmCost,7)),0)</f>
        <v>27861.140635302472</v>
      </c>
      <c r="S130" s="729">
        <f>IF(INDEX(HwyTransitModelGroup,A114,1)=Hwy,O130*(1-M130)*0.00000110231131*(VLOOKUP(0,EmAuto20,2)*VLOOKUP(ProjLoc,EmCost,2)+VLOOKUP(0,EmAuto20,3)*VLOOKUP(ProjLoc,EmCost,3)*(1+CO2Uprater)^($B130-YearCurrent)+VLOOKUP(0,EmAuto20,4)*VLOOKUP(ProjLoc,EmCost,4)+VLOOKUP(0,EmAuto20,5)*VLOOKUP(ProjLoc,EmCost,5)+VLOOKUP(0,EmAuto20,6)*VLOOKUP(ProjLoc,EmCost,6)+VLOOKUP(0,EmAuto20,7)*VLOOKUP(ProjLoc,EmCost,7))+O130*M130*0.00000110231131*(VLOOKUP(0,EmTruck20,2)*VLOOKUP(ProjLoc,EmCost,2)+VLOOKUP(0,EmTruck20,3)*VLOOKUP(ProjLoc,EmCost,3)*(1+CO2Uprater)^($B130-YearCurrent)+VLOOKUP(0,EmTruck20,4)*VLOOKUP(ProjLoc,EmCost,4)+VLOOKUP(0,EmTruck20,5)*VLOOKUP(ProjLoc,EmCost,5)+VLOOKUP(0,EmTruck20,6)*VLOOKUP(ProjLoc,EmCost,6)+VLOOKUP(0,EmTruck20,7)*VLOOKUP(ProjLoc,EmCost,7)),0)</f>
        <v>0</v>
      </c>
      <c r="T130" s="802">
        <f>IF(INDEX(HwyTransitModelGroup,A114,1)=Hwy,P130*(1-N130)*0.00000110231131*(VLOOKUP(0,EmAuto20,2)*VLOOKUP(ProjLoc,EmCost,2)+VLOOKUP(0,EmAuto20,3)*VLOOKUP(ProjLoc,EmCost,3)*(1+CO2Uprater)^($B130-YearCurrent)+VLOOKUP(0,EmAuto20,4)*VLOOKUP(ProjLoc,EmCost,4)+VLOOKUP(0,EmAuto20,5)*VLOOKUP(ProjLoc,EmCost,5)+VLOOKUP(0,EmAuto20,6)*VLOOKUP(ProjLoc,EmCost,6)+VLOOKUP(0,EmAuto20,7)*VLOOKUP(ProjLoc,EmCost,7))+P130*N130*0.00000110231131*(VLOOKUP(0,EmTruck20,2)*VLOOKUP(ProjLoc,EmCost,2)+VLOOKUP(0,EmTruck20,3)*VLOOKUP(ProjLoc,EmCost,3)*(1+CO2Uprater)^($B130-YearCurrent)+VLOOKUP(0,EmTruck20,4)*VLOOKUP(ProjLoc,EmCost,4)+VLOOKUP(0,EmTruck20,5)*VLOOKUP(ProjLoc,EmCost,5)+VLOOKUP(0,EmTruck20,6)*VLOOKUP(ProjLoc,EmCost,6)+VLOOKUP(0,EmTruck20,7)*VLOOKUP(ProjLoc,EmCost,7)),0)</f>
        <v>0</v>
      </c>
      <c r="U130" s="729">
        <f>IF(INDEX(HwyTransitModelGroup,A114,1)=PARAMETERS!$J$9,C130*0.00000110231131*(VLOOKUP(K130,EmBus20,2)*VLOOKUP(ProjLoc,EmCost,2)+VLOOKUP(K130,EmBus20,3)*VLOOKUP(ProjLoc,EmCost,3)*(1+CO2Uprater)^($B130-YearCurrent)+VLOOKUP(K130,EmBus20,4)*VLOOKUP(ProjLoc,EmCost,4)+VLOOKUP(K130,EmBus20,5)*VLOOKUP(ProjLoc,EmCost,5)+VLOOKUP(K130,EmBus20,6)*VLOOKUP(ProjLoc,EmCost,6)+VLOOKUP(K130,EmBus20,7)*VLOOKUP(ProjLoc,EmCost,7)),0)</f>
        <v>0</v>
      </c>
      <c r="V130" s="802">
        <f>IF(INDEX(HwyTransitModelGroup,A114,1)=PARAMETERS!$J$9,D130*0.00000110231131*(VLOOKUP(L130,EmBus20,2)*VLOOKUP(ProjLoc,EmCost,2)+VLOOKUP(L130,EmBus20,3)*VLOOKUP(ProjLoc,EmCost,3)*(1+CO2Uprater)^($B130-YearCurrent)+VLOOKUP(L130,EmBus20,4)*VLOOKUP(ProjLoc,EmCost,4)+VLOOKUP(L130,EmBus20,5)*VLOOKUP(ProjLoc,EmCost,5)+VLOOKUP(L130,EmBus20,6)*VLOOKUP(ProjLoc,EmCost,6)+VLOOKUP(L130,EmBus20,7)*VLOOKUP(ProjLoc,EmCost,7)),0)</f>
        <v>0</v>
      </c>
      <c r="W130" s="808">
        <f>IF(INDEX(HwyTransitModelGroup,A114,1)=PARAMETERS!$J$10,C130*0.00000110231131*(PARAMETERS!$CQ$29*VLOOKUP(ProjLoc,EmCost,2)+PARAMETERS!$CR$29*VLOOKUP(ProjLoc,EmCost,3)*(1+CO2Uprater)^($B130-YearCurrent)+PARAMETERS!$CS$29*VLOOKUP(ProjLoc,EmCost,4)+PARAMETERS!$CT$29*VLOOKUP(ProjLoc,EmCost,5)+PARAMETERS!$CU$29*VLOOKUP(ProjLoc,EmCost,6)+PARAMETERS!$CV$29*VLOOKUP(ProjLoc,EmCost,7)),0)</f>
        <v>0</v>
      </c>
      <c r="X130" s="844">
        <f>IF(INDEX(HwyTransitModelGroup,A114,1)=PARAMETERS!$J$10,D130*0.00000110231131*(PARAMETERS!$CQ$29*VLOOKUP(ProjLoc,EmCost,2)+PARAMETERS!$CR$29*VLOOKUP(ProjLoc,EmCost,3)*(1+CO2Uprater)^($B130-YearCurrent)+PARAMETERS!$CS$29*VLOOKUP(ProjLoc,EmCost,4)+PARAMETERS!$CT$29*VLOOKUP(ProjLoc,EmCost,5)+PARAMETERS!$CU$29*VLOOKUP(ProjLoc,EmCost,6)+PARAMETERS!$CV$29*VLOOKUP(ProjLoc,EmCost,7)),0)</f>
        <v>0</v>
      </c>
      <c r="Y130" s="808">
        <f>IF(INDEX(HwyTransitModelGroup,A114,1)=PARAMETERS!$J$11,C130*0.00000110231131*(PARAMETERS!$CQ$37*VLOOKUP(ProjLoc,EmCost,2)+PARAMETERS!$CR$37*VLOOKUP(ProjLoc,EmCost,3)*(1+CO2Uprater)^($B130-YearCurrent)+PARAMETERS!$CS$37*VLOOKUP(ProjLoc,EmCost,4)+PARAMETERS!$CT$37*VLOOKUP(ProjLoc,EmCost,5)+PARAMETERS!$CU$37*VLOOKUP(ProjLoc,EmCost,6)+PARAMETERS!$CV$37*VLOOKUP(ProjLoc,EmCost,7)),0)</f>
        <v>0</v>
      </c>
      <c r="Z130" s="844">
        <f>IF(INDEX(HwyTransitModelGroup,A114,1)=PARAMETERS!$J$11,D130*0.00000110231131*(PARAMETERS!$CQ$37*VLOOKUP(ProjLoc,EmCost,2)+PARAMETERS!$CR$37*VLOOKUP(ProjLoc,EmCost,3)*(1+CO2Uprater)^($B130-YearCurrent)+PARAMETERS!$CS$37*VLOOKUP(ProjLoc,EmCost,4)+PARAMETERS!$CT$37*VLOOKUP(ProjLoc,EmCost,5)+PARAMETERS!$CU$37*VLOOKUP(ProjLoc,EmCost,6)+PARAMETERS!$CV$37*VLOOKUP(ProjLoc,EmCost,7)),0)</f>
        <v>0</v>
      </c>
      <c r="AA130" s="369">
        <f t="shared" si="48"/>
        <v>-4762.1053512084181</v>
      </c>
      <c r="AB130" s="370">
        <f t="shared" si="49"/>
        <v>-3093.3728302403874</v>
      </c>
      <c r="AC130" s="371"/>
      <c r="AD130" s="401">
        <f>IF(INDEX(HwyTransitModelGroup,A114,1)=Hwy,0.00000110231131*(C130*(1-M130)*VLOOKUP(K130,EmAuto20,2)-D130*(1-N130)*VLOOKUP(L130,EmAuto20,2)+(O130*(1-M130)-P130*(1-N130))*VLOOKUP(0,EmAuto20,2))+0.00000110231131*(C130*M130*VLOOKUP(K130,EmTruck20,2)-D130*N130*VLOOKUP(L130,EmTruck20,2)+(O130*M130-P130*N130)*VLOOKUP(0,EmTruck20,2)),0)</f>
        <v>0.17118214013473376</v>
      </c>
      <c r="AE130" s="863">
        <f>IF(INDEX(HwyTransitModelGroup,A114,1)=Hwy,0.00000110231131*(C130*(1-M130)*VLOOKUP(K130,EmAuto20,3)-D130*(1-N130)*VLOOKUP(L130,EmAuto20,3)+(O130*(1-M130)-P130*(1-N130))*VLOOKUP(0,EmAuto20,3))+0.00000110231131*(C130*M130*VLOOKUP(K130,EmTruck20,3)-D130*N130*VLOOKUP(L130,EmTruck20,3)+(O130*M130-P130*N130)*VLOOKUP(0,EmTruck20,3)),0)</f>
        <v>-48.455523125959026</v>
      </c>
      <c r="AF130" s="861">
        <f>IF(INDEX(HwyTransitModelGroup,A114,1)=Hwy,0.00000110231131*(C130*(1-M130)*VLOOKUP(K130,EmAuto20,4)-D130*(1-N130)*VLOOKUP(L130,EmAuto20,4)+(O130*(1-M130)-P130*(1-N130))*VLOOKUP(0,EmAuto20,4))+0.00000110231131*(C130*M130*VLOOKUP(K130,EmTruck20,4)-D130*N130*VLOOKUP(L130,EmTruck20,4)+(O130*M130-P130*N130)*VLOOKUP(0,EmTruck20,4)),0)</f>
        <v>-9.3560838583796019E-2</v>
      </c>
      <c r="AG130" s="863">
        <f>IF(INDEX(HwyTransitModelGroup,A114,1)=Hwy,0.00000110231131*(C130*(1-M130)*VLOOKUP(K130,EmAuto20,5)-D130*(1-N130)*VLOOKUP(L130,EmAuto20,5)+(O130*(1-M130)-P130*(1-N130))*VLOOKUP(0,EmAuto20,5))+0.00000110231131*(C130*M130*VLOOKUP(K130,EmTruck20,5)-D130*N130*VLOOKUP(L130,EmTruck20,5)+(O130*M130-P130*N130)*VLOOKUP(0,EmTruck20,5)),0)</f>
        <v>-3.7947378866989416E-3</v>
      </c>
      <c r="AH130" s="861">
        <f>IF(INDEX(HwyTransitModelGroup,A114,1)=Hwy,0.00000110231131*(C130*(1-M130)*VLOOKUP(K130,EmAuto20,6)-D130*(1-N130)*VLOOKUP(L130,EmAuto20,6)+(O130*(1-M130)-P130*(1-N130))*VLOOKUP(0,EmAuto20,6))+0.00000110231131*(C130*M130*VLOOKUP(K130,EmTruck20,6)-D130*N130*VLOOKUP(L130,EmTruck20,6)+(O130*M130-P130*N130)*VLOOKUP(0,EmTruck20,6)),0)</f>
        <v>-4.7520532327129393E-4</v>
      </c>
      <c r="AI130" s="863">
        <f>IF(INDEX(HwyTransitModelGroup,A114,1)=Hwy,0.00000110231131*(C130*(1-M130)*VLOOKUP(K130,EmAuto20,7)-D130*(1-N130)*VLOOKUP(L130,EmAuto20,7)+(O130*(1-M130)-P130*(1-N130))*VLOOKUP(0,EmAuto20,7))+0.00000110231131*(C130*M130*VLOOKUP(K130,EmTruck20,7)-D130*N130*VLOOKUP(L130,EmTruck20,7)+(O130*M130-P130*N130)*VLOOKUP(0,EmTruck20,7)),0)</f>
        <v>-2.0478534266814096E-4</v>
      </c>
      <c r="AJ130" s="861">
        <f>IF(INDEX(HwyTransitModelGroup,A114,1)=Hwy,0.00000110231131*(C130*(1-M130)*VLOOKUP(K130,EmAuto20,8)-D130*(1-N130)*VLOOKUP(L130,EmAuto20,8)+(O130*(1-M130)-P130*(1-N130))*VLOOKUP(0,EmAuto20,8))+0.00000110231131*(C130*M130*VLOOKUP(K130,EmTruck20,8)-D130*N130*VLOOKUP(L130,EmTruck20,8)+(O130*M130-P130*N130)*VLOOKUP(0,EmTruck20,8)),0)</f>
        <v>-3.6295861273402466E-3</v>
      </c>
      <c r="AK130" s="401">
        <f>IF(INDEX(HwyTransitModelGroup,A114,1)=PARAMETERS!$J$9,0.00000110231131*(C130*VLOOKUP(K130,EmBus20,2)-D130*VLOOKUP(L130,EmBus20,2)+(O130-P130)*VLOOKUP(0,EmBus20,2)),0)</f>
        <v>0</v>
      </c>
      <c r="AL130" s="863">
        <f>IF(INDEX(HwyTransitModelGroup,A114,1)=PARAMETERS!$J$9,0.00000110231131*(C130*VLOOKUP(K130,EmBus20,3)-D130*VLOOKUP(L130,EmBus20,3)+(O130-P130)*VLOOKUP(0,EmBus20,3)),0)</f>
        <v>0</v>
      </c>
      <c r="AM130" s="861">
        <f>IF(INDEX(HwyTransitModelGroup,A114,1)=PARAMETERS!$J$9,0.00000110231131*(C130*VLOOKUP(K130,EmBus20,4)-D130*VLOOKUP(L130,EmBus20,4)+(O130-P130)*VLOOKUP(0,EmBus20,4)),0)</f>
        <v>0</v>
      </c>
      <c r="AN130" s="863">
        <f>IF(INDEX(HwyTransitModelGroup,A114,1)=PARAMETERS!$J$9,0.00000110231131*(C130*VLOOKUP(K130,EmBus20,5)-D130*VLOOKUP(L130,EmBus20,5)+(O130-P130)*VLOOKUP(0,EmBus20,5)),0)</f>
        <v>0</v>
      </c>
      <c r="AO130" s="861">
        <f>IF(INDEX(HwyTransitModelGroup,A114,1)=PARAMETERS!$J$9,0.00000110231131*(C130*VLOOKUP(K130,EmBus20,6)-D130*VLOOKUP(L130,EmBus20,6)+(O130-P130)*VLOOKUP(0,EmBus20,6)),0)</f>
        <v>0</v>
      </c>
      <c r="AP130" s="863">
        <f>IF(INDEX(HwyTransitModelGroup,A114,1)=PARAMETERS!$J$9,0.00000110231131*(C130*VLOOKUP(K130,EmBus20,7)-D130*VLOOKUP(L130,EmBus20,7)+(O130-P130)*VLOOKUP(0,EmBus20,7)),0)</f>
        <v>0</v>
      </c>
      <c r="AQ130" s="861">
        <f>IF(INDEX(HwyTransitModelGroup,A114,1)=PARAMETERS!$J$9,0.00000110231131*(C130*VLOOKUP(K130,EmBus20,8)-D130*VLOOKUP(L130,EmBus20,8)+(O130-P130)*VLOOKUP(0,EmBus20,8)),0)</f>
        <v>0</v>
      </c>
      <c r="AR130" s="401">
        <f>IF(INDEX(HwyTransitModelGroup,A114,1)=PARAMETERS!$J$10,0.00000110231131*((C130-D130)*PARAMETERS!$CQ$29),0)</f>
        <v>0</v>
      </c>
      <c r="AS130" s="863">
        <f>IF(INDEX(HwyTransitModelGroup,A114,1)=PARAMETERS!$J$10,0.00000110231131*((C130-D130)*PARAMETERS!$CR$29),0)</f>
        <v>0</v>
      </c>
      <c r="AT130" s="861">
        <f>IF(INDEX(HwyTransitModelGroup,A114,1)=PARAMETERS!$J$10,0.00000110231131*((C130-D130)*PARAMETERS!$CS$29),0)</f>
        <v>0</v>
      </c>
      <c r="AU130" s="863">
        <f>IF(INDEX(HwyTransitModelGroup,A114,1)=PARAMETERS!$J$10,0.00000110231131*((C130-D130)*PARAMETERS!$CT$29),0)</f>
        <v>0</v>
      </c>
      <c r="AV130" s="861">
        <f>IF(INDEX(HwyTransitModelGroup,A114,1)=PARAMETERS!$J$10,0.00000110231131*((C130-D130)*PARAMETERS!$CU$29),0)</f>
        <v>0</v>
      </c>
      <c r="AW130" s="863">
        <f>IF(INDEX(HwyTransitModelGroup,A114,1)=PARAMETERS!$J$10,0.00000110231131*((C130-D130)*PARAMETERS!$CV$29),0)</f>
        <v>0</v>
      </c>
      <c r="AX130" s="861">
        <f>IF(INDEX(HwyTransitModelGroup,A114,1)=PARAMETERS!$J$10,0.00000110231131*((C130-D130)*PARAMETERS!$CW$29),0)</f>
        <v>0</v>
      </c>
      <c r="AY130" s="401">
        <f>IF(INDEX(HwyTransitModelGroup,A114,1)=PARAMETERS!$J$11,0.00000110231131*((C130-D130)*PARAMETERS!$CQ$37),0)</f>
        <v>0</v>
      </c>
      <c r="AZ130" s="863">
        <f>IF(INDEX(HwyTransitModelGroup,A114,1)=PARAMETERS!$J$11,0.00000110231131*((C130-D130)*PARAMETERS!$CR$37),0)</f>
        <v>0</v>
      </c>
      <c r="BA130" s="861">
        <f>IF(INDEX(HwyTransitModelGroup,A114,1)=PARAMETERS!$J$11,0.00000110231131*((C130-D130)*PARAMETERS!$CS$37),0)</f>
        <v>0</v>
      </c>
      <c r="BB130" s="863">
        <f>IF(INDEX(HwyTransitModelGroup,A114,1)=PARAMETERS!$J$11,0.00000110231131*((C130-D130)*PARAMETERS!$CT$37),0)</f>
        <v>0</v>
      </c>
      <c r="BC130" s="861">
        <f>IF(INDEX(HwyTransitModelGroup,A114,1)=PARAMETERS!$J$11,0.00000110231131*((C130-D130)*PARAMETERS!$CU$37),0)</f>
        <v>0</v>
      </c>
      <c r="BD130" s="863">
        <f>IF(INDEX(HwyTransitModelGroup,A114,1)=PARAMETERS!$J$11,0.00000110231131*((C130-D130)*PARAMETERS!$CV$37),0)</f>
        <v>0</v>
      </c>
      <c r="BE130" s="865">
        <f>IF(INDEX(HwyTransitModelGroup,A114,1)=PARAMETERS!$J$11,0.00000110231131*((C130-D130)*PARAMETERS!$CW$37),0)</f>
        <v>0</v>
      </c>
      <c r="BF130" s="729">
        <f t="shared" si="50"/>
        <v>8.8957323244571374</v>
      </c>
      <c r="BG130" s="867">
        <f t="shared" si="51"/>
        <v>-1878.5366869245834</v>
      </c>
      <c r="BH130" s="867">
        <f t="shared" si="52"/>
        <v>-917.70758394505162</v>
      </c>
      <c r="BI130" s="867">
        <f t="shared" si="53"/>
        <v>-287.66425965175392</v>
      </c>
      <c r="BJ130" s="867">
        <f t="shared" si="54"/>
        <v>-18.21237467788907</v>
      </c>
      <c r="BK130" s="869">
        <f t="shared" si="55"/>
        <v>-0.14765736556357018</v>
      </c>
      <c r="BL130" s="392"/>
      <c r="BN130" s="375">
        <f t="shared" si="60"/>
        <v>2030</v>
      </c>
      <c r="BO130" s="871">
        <f t="shared" ca="1" si="58"/>
        <v>7.9739485850850364E-4</v>
      </c>
      <c r="BP130" s="871">
        <f t="shared" ca="1" si="59"/>
        <v>-5.7360335003389757E-3</v>
      </c>
      <c r="BQ130" s="871">
        <f t="shared" ca="1" si="59"/>
        <v>2.1605002760037441E-2</v>
      </c>
      <c r="BR130" s="871">
        <f t="shared" ca="1" si="59"/>
        <v>-1.5618216157514277E-2</v>
      </c>
      <c r="BS130" s="871">
        <f t="shared" ca="1" si="59"/>
        <v>0.66919333113441237</v>
      </c>
      <c r="BT130" s="871">
        <f t="shared" ca="1" si="59"/>
        <v>0.91244286305990197</v>
      </c>
    </row>
    <row r="131" spans="2:72" x14ac:dyDescent="0.25">
      <c r="B131" s="375">
        <f t="shared" si="57"/>
        <v>2034</v>
      </c>
      <c r="C131" s="401">
        <f>MAX(TREND(C120:C121,B120:B121,B131),0)</f>
        <v>1011707</v>
      </c>
      <c r="D131" s="402">
        <f>MAX(TREND(D120:D121,B120:B121,B131),0)</f>
        <v>833952</v>
      </c>
      <c r="E131" s="401">
        <f>MAX(TREND(E120:E121,B120:B121,B131),0)</f>
        <v>23506</v>
      </c>
      <c r="F131" s="402">
        <f>MAX(TREND(F120:F121,B120:B121,B131),0)</f>
        <v>11023</v>
      </c>
      <c r="G131" s="401">
        <f>MAX(TREND(G120:G121,B120:B121,B131),0)</f>
        <v>0</v>
      </c>
      <c r="H131" s="402">
        <f>MAX(TREND(H120:H121,B120:B121,B131),0)</f>
        <v>0</v>
      </c>
      <c r="I131" s="401">
        <f>MAX(TREND(I120:I121,B120:B121,B131),0)</f>
        <v>0</v>
      </c>
      <c r="J131" s="402">
        <f>MAX(TREND(J120:J121,B120:B121,B131),0)</f>
        <v>0</v>
      </c>
      <c r="K131" s="435">
        <f>IFERROR(IF(INDEX(HwyTransitModelGroup,A114,1)=Hwy,MAX(5,ROUND(C131/E131,1)),MAX(5,ROUND(G131/I131,1))),55)</f>
        <v>43</v>
      </c>
      <c r="L131" s="436">
        <f>IFERROR(IF(INDEX(HwyTransitModelGroup,A114,1)=Hwy,MAX(5,ROUND(D131/F131,1)),MAX(5,ROUND(H131/J131,1))),55)</f>
        <v>75.7</v>
      </c>
      <c r="M131" s="405">
        <f>MIN(MAX(TREND(M120:M121,B120:B121,B131),0),1)</f>
        <v>0.24</v>
      </c>
      <c r="N131" s="406">
        <f>MIN(MAX(TREND(N120:N121,B120:B121,B131),0),1)</f>
        <v>0.24</v>
      </c>
      <c r="O131" s="401">
        <f>MAX(TREND(O120:O121,B120:B121,B131),0)</f>
        <v>0</v>
      </c>
      <c r="P131" s="402">
        <f>MAX(TREND(P120:P121,B120:B121,B131),0)</f>
        <v>0</v>
      </c>
      <c r="Q131" s="729">
        <f>IF(INDEX(HwyTransitModelGroup,A114,1)=Hwy,C131*(1-M131)*0.00000110231131*(VLOOKUP(K131,EmAuto20,2)*VLOOKUP(ProjLoc,EmCost,2)+VLOOKUP(K131,EmAuto20,3)*VLOOKUP(ProjLoc,EmCost,3)*(1+CO2Uprater)^($B131-YearCurrent)+VLOOKUP(K131,EmAuto20,4)*VLOOKUP(ProjLoc,EmCost,4)+VLOOKUP(K131,EmAuto20,5)*VLOOKUP(ProjLoc,EmCost,5)+VLOOKUP(K131,EmAuto20,6)*VLOOKUP(ProjLoc,EmCost,6)+VLOOKUP(K131,EmAuto20,7)*VLOOKUP(ProjLoc,EmCost,7))+C131*M131*0.00000110231131*(VLOOKUP(K131,EmTruck20,2)*VLOOKUP(ProjLoc,EmCost,2)+VLOOKUP(K131,EmTruck20,3)*VLOOKUP(ProjLoc,EmCost,3)*(1+CO2Uprater)^($B131-YearCurrent)+VLOOKUP(K131,EmTruck20,4)*VLOOKUP(ProjLoc,EmCost,4)+VLOOKUP(K131,EmTruck20,5)*VLOOKUP(ProjLoc,EmCost,5)+VLOOKUP(K131,EmTruck20,6)*VLOOKUP(ProjLoc,EmCost,6)+VLOOKUP(K131,EmTruck20,7)*VLOOKUP(ProjLoc,EmCost,7)),0)</f>
        <v>23797.574175778409</v>
      </c>
      <c r="R131" s="802">
        <f>IF(INDEX(HwyTransitModelGroup,A114,1)=Hwy,D131*(1-N131)*0.00000110231131*(VLOOKUP(L131,EmAuto20,2)*VLOOKUP(ProjLoc,EmCost,2)+VLOOKUP(L131,EmAuto20,3)*VLOOKUP(ProjLoc,EmCost,3)*(1+CO2Uprater)^($B131-YearCurrent)+VLOOKUP(L131,EmAuto20,4)*VLOOKUP(ProjLoc,EmCost,4)+VLOOKUP(L131,EmAuto20,5)*VLOOKUP(ProjLoc,EmCost,5)+VLOOKUP(L131,EmAuto20,6)*VLOOKUP(ProjLoc,EmCost,6)+VLOOKUP(L131,EmAuto20,7)*VLOOKUP(ProjLoc,EmCost,7))+D131*N131*0.00000110231131*(VLOOKUP(L131,EmTruck20,2)*VLOOKUP(ProjLoc,EmCost,2)+VLOOKUP(L131,EmTruck20,3)*VLOOKUP(ProjLoc,EmCost,3)*(1+CO2Uprater)^($B131-YearCurrent)+VLOOKUP(L131,EmTruck20,4)*VLOOKUP(ProjLoc,EmCost,4)+VLOOKUP(L131,EmTruck20,5)*VLOOKUP(ProjLoc,EmCost,5)+VLOOKUP(L131,EmTruck20,6)*VLOOKUP(ProjLoc,EmCost,6)+VLOOKUP(L131,EmTruck20,7)*VLOOKUP(ProjLoc,EmCost,7)),0)</f>
        <v>28673.596195681646</v>
      </c>
      <c r="S131" s="729">
        <f>IF(INDEX(HwyTransitModelGroup,A114,1)=Hwy,O131*(1-M131)*0.00000110231131*(VLOOKUP(0,EmAuto20,2)*VLOOKUP(ProjLoc,EmCost,2)+VLOOKUP(0,EmAuto20,3)*VLOOKUP(ProjLoc,EmCost,3)*(1+CO2Uprater)^($B131-YearCurrent)+VLOOKUP(0,EmAuto20,4)*VLOOKUP(ProjLoc,EmCost,4)+VLOOKUP(0,EmAuto20,5)*VLOOKUP(ProjLoc,EmCost,5)+VLOOKUP(0,EmAuto20,6)*VLOOKUP(ProjLoc,EmCost,6)+VLOOKUP(0,EmAuto20,7)*VLOOKUP(ProjLoc,EmCost,7))+O131*M131*0.00000110231131*(VLOOKUP(0,EmTruck20,2)*VLOOKUP(ProjLoc,EmCost,2)+VLOOKUP(0,EmTruck20,3)*VLOOKUP(ProjLoc,EmCost,3)*(1+CO2Uprater)^($B131-YearCurrent)+VLOOKUP(0,EmTruck20,4)*VLOOKUP(ProjLoc,EmCost,4)+VLOOKUP(0,EmTruck20,5)*VLOOKUP(ProjLoc,EmCost,5)+VLOOKUP(0,EmTruck20,6)*VLOOKUP(ProjLoc,EmCost,6)+VLOOKUP(0,EmTruck20,7)*VLOOKUP(ProjLoc,EmCost,7)),0)</f>
        <v>0</v>
      </c>
      <c r="T131" s="802">
        <f>IF(INDEX(HwyTransitModelGroup,A114,1)=Hwy,P131*(1-N131)*0.00000110231131*(VLOOKUP(0,EmAuto20,2)*VLOOKUP(ProjLoc,EmCost,2)+VLOOKUP(0,EmAuto20,3)*VLOOKUP(ProjLoc,EmCost,3)*(1+CO2Uprater)^($B131-YearCurrent)+VLOOKUP(0,EmAuto20,4)*VLOOKUP(ProjLoc,EmCost,4)+VLOOKUP(0,EmAuto20,5)*VLOOKUP(ProjLoc,EmCost,5)+VLOOKUP(0,EmAuto20,6)*VLOOKUP(ProjLoc,EmCost,6)+VLOOKUP(0,EmAuto20,7)*VLOOKUP(ProjLoc,EmCost,7))+P131*N131*0.00000110231131*(VLOOKUP(0,EmTruck20,2)*VLOOKUP(ProjLoc,EmCost,2)+VLOOKUP(0,EmTruck20,3)*VLOOKUP(ProjLoc,EmCost,3)*(1+CO2Uprater)^($B131-YearCurrent)+VLOOKUP(0,EmTruck20,4)*VLOOKUP(ProjLoc,EmCost,4)+VLOOKUP(0,EmTruck20,5)*VLOOKUP(ProjLoc,EmCost,5)+VLOOKUP(0,EmTruck20,6)*VLOOKUP(ProjLoc,EmCost,6)+VLOOKUP(0,EmTruck20,7)*VLOOKUP(ProjLoc,EmCost,7)),0)</f>
        <v>0</v>
      </c>
      <c r="U131" s="729">
        <f>IF(INDEX(HwyTransitModelGroup,A114,1)=PARAMETERS!$J$9,C131*0.00000110231131*(VLOOKUP(K131,EmBus20,2)*VLOOKUP(ProjLoc,EmCost,2)+VLOOKUP(K131,EmBus20,3)*VLOOKUP(ProjLoc,EmCost,3)*(1+CO2Uprater)^($B131-YearCurrent)+VLOOKUP(K131,EmBus20,4)*VLOOKUP(ProjLoc,EmCost,4)+VLOOKUP(K131,EmBus20,5)*VLOOKUP(ProjLoc,EmCost,5)+VLOOKUP(K131,EmBus20,6)*VLOOKUP(ProjLoc,EmCost,6)+VLOOKUP(K131,EmBus20,7)*VLOOKUP(ProjLoc,EmCost,7)),0)</f>
        <v>0</v>
      </c>
      <c r="V131" s="802">
        <f>IF(INDEX(HwyTransitModelGroup,A114,1)=PARAMETERS!$J$9,D131*0.00000110231131*(VLOOKUP(L131,EmBus20,2)*VLOOKUP(ProjLoc,EmCost,2)+VLOOKUP(L131,EmBus20,3)*VLOOKUP(ProjLoc,EmCost,3)*(1+CO2Uprater)^($B131-YearCurrent)+VLOOKUP(L131,EmBus20,4)*VLOOKUP(ProjLoc,EmCost,4)+VLOOKUP(L131,EmBus20,5)*VLOOKUP(ProjLoc,EmCost,5)+VLOOKUP(L131,EmBus20,6)*VLOOKUP(ProjLoc,EmCost,6)+VLOOKUP(L131,EmBus20,7)*VLOOKUP(ProjLoc,EmCost,7)),0)</f>
        <v>0</v>
      </c>
      <c r="W131" s="808">
        <f>IF(INDEX(HwyTransitModelGroup,A114,1)=PARAMETERS!$J$10,C131*0.00000110231131*(PARAMETERS!$CQ$29*VLOOKUP(ProjLoc,EmCost,2)+PARAMETERS!$CR$29*VLOOKUP(ProjLoc,EmCost,3)*(1+CO2Uprater)^($B131-YearCurrent)+PARAMETERS!$CS$29*VLOOKUP(ProjLoc,EmCost,4)+PARAMETERS!$CT$29*VLOOKUP(ProjLoc,EmCost,5)+PARAMETERS!$CU$29*VLOOKUP(ProjLoc,EmCost,6)+PARAMETERS!$CV$29*VLOOKUP(ProjLoc,EmCost,7)),0)</f>
        <v>0</v>
      </c>
      <c r="X131" s="844">
        <f>IF(INDEX(HwyTransitModelGroup,A114,1)=PARAMETERS!$J$10,D131*0.00000110231131*(PARAMETERS!$CQ$29*VLOOKUP(ProjLoc,EmCost,2)+PARAMETERS!$CR$29*VLOOKUP(ProjLoc,EmCost,3)*(1+CO2Uprater)^($B131-YearCurrent)+PARAMETERS!$CS$29*VLOOKUP(ProjLoc,EmCost,4)+PARAMETERS!$CT$29*VLOOKUP(ProjLoc,EmCost,5)+PARAMETERS!$CU$29*VLOOKUP(ProjLoc,EmCost,6)+PARAMETERS!$CV$29*VLOOKUP(ProjLoc,EmCost,7)),0)</f>
        <v>0</v>
      </c>
      <c r="Y131" s="808">
        <f>IF(INDEX(HwyTransitModelGroup,A114,1)=PARAMETERS!$J$11,C131*0.00000110231131*(PARAMETERS!$CQ$37*VLOOKUP(ProjLoc,EmCost,2)+PARAMETERS!$CR$37*VLOOKUP(ProjLoc,EmCost,3)*(1+CO2Uprater)^($B131-YearCurrent)+PARAMETERS!$CS$37*VLOOKUP(ProjLoc,EmCost,4)+PARAMETERS!$CT$37*VLOOKUP(ProjLoc,EmCost,5)+PARAMETERS!$CU$37*VLOOKUP(ProjLoc,EmCost,6)+PARAMETERS!$CV$37*VLOOKUP(ProjLoc,EmCost,7)),0)</f>
        <v>0</v>
      </c>
      <c r="Z131" s="844">
        <f>IF(INDEX(HwyTransitModelGroup,A114,1)=PARAMETERS!$J$11,D131*0.00000110231131*(PARAMETERS!$CQ$37*VLOOKUP(ProjLoc,EmCost,2)+PARAMETERS!$CR$37*VLOOKUP(ProjLoc,EmCost,3)*(1+CO2Uprater)^($B131-YearCurrent)+PARAMETERS!$CS$37*VLOOKUP(ProjLoc,EmCost,4)+PARAMETERS!$CT$37*VLOOKUP(ProjLoc,EmCost,5)+PARAMETERS!$CU$37*VLOOKUP(ProjLoc,EmCost,6)+PARAMETERS!$CV$37*VLOOKUP(ProjLoc,EmCost,7)),0)</f>
        <v>0</v>
      </c>
      <c r="AA131" s="369">
        <f t="shared" si="48"/>
        <v>-4876.0220199032374</v>
      </c>
      <c r="AB131" s="370">
        <f t="shared" si="49"/>
        <v>-3045.5489673189918</v>
      </c>
      <c r="AC131" s="371"/>
      <c r="AD131" s="401">
        <f>IF(INDEX(HwyTransitModelGroup,A114,1)=Hwy,0.00000110231131*(C131*(1-M131)*VLOOKUP(K131,EmAuto20,2)-D131*(1-N131)*VLOOKUP(L131,EmAuto20,2)+(O131*(1-M131)-P131*(1-N131))*VLOOKUP(0,EmAuto20,2))+0.00000110231131*(C131*M131*VLOOKUP(K131,EmTruck20,2)-D131*N131*VLOOKUP(L131,EmTruck20,2)+(O131*M131-P131*N131)*VLOOKUP(0,EmTruck20,2)),0)</f>
        <v>0.17321268723306271</v>
      </c>
      <c r="AE131" s="863">
        <f>IF(INDEX(HwyTransitModelGroup,A114,1)=Hwy,0.00000110231131*(C131*(1-M131)*VLOOKUP(K131,EmAuto20,3)-D131*(1-N131)*VLOOKUP(L131,EmAuto20,3)+(O131*(1-M131)-P131*(1-N131))*VLOOKUP(0,EmAuto20,3))+0.00000110231131*(C131*M131*VLOOKUP(K131,EmTruck20,3)-D131*N131*VLOOKUP(L131,EmTruck20,3)+(O131*M131-P131*N131)*VLOOKUP(0,EmTruck20,3)),0)</f>
        <v>-49.015843634617163</v>
      </c>
      <c r="AF131" s="861">
        <f>IF(INDEX(HwyTransitModelGroup,A114,1)=Hwy,0.00000110231131*(C131*(1-M131)*VLOOKUP(K131,EmAuto20,4)-D131*(1-N131)*VLOOKUP(L131,EmAuto20,4)+(O131*(1-M131)-P131*(1-N131))*VLOOKUP(0,EmAuto20,4))+0.00000110231131*(C131*M131*VLOOKUP(K131,EmTruck20,4)-D131*N131*VLOOKUP(L131,EmTruck20,4)+(O131*M131-P131*N131)*VLOOKUP(0,EmTruck20,4)),0)</f>
        <v>-9.465973044474596E-2</v>
      </c>
      <c r="AG131" s="863">
        <f>IF(INDEX(HwyTransitModelGroup,A114,1)=Hwy,0.00000110231131*(C131*(1-M131)*VLOOKUP(K131,EmAuto20,5)-D131*(1-N131)*VLOOKUP(L131,EmAuto20,5)+(O131*(1-M131)-P131*(1-N131))*VLOOKUP(0,EmAuto20,5))+0.00000110231131*(C131*M131*VLOOKUP(K131,EmTruck20,5)-D131*N131*VLOOKUP(L131,EmTruck20,5)+(O131*M131-P131*N131)*VLOOKUP(0,EmTruck20,5)),0)</f>
        <v>-3.8393888559888692E-3</v>
      </c>
      <c r="AH131" s="861">
        <f>IF(INDEX(HwyTransitModelGroup,A114,1)=Hwy,0.00000110231131*(C131*(1-M131)*VLOOKUP(K131,EmAuto20,6)-D131*(1-N131)*VLOOKUP(L131,EmAuto20,6)+(O131*(1-M131)-P131*(1-N131))*VLOOKUP(0,EmAuto20,6))+0.00000110231131*(C131*M131*VLOOKUP(K131,EmTruck20,6)-D131*N131*VLOOKUP(L131,EmTruck20,6)+(O131*M131-P131*N131)*VLOOKUP(0,EmTruck20,6)),0)</f>
        <v>-4.8070278566888353E-4</v>
      </c>
      <c r="AI131" s="863">
        <f>IF(INDEX(HwyTransitModelGroup,A114,1)=Hwy,0.00000110231131*(C131*(1-M131)*VLOOKUP(K131,EmAuto20,7)-D131*(1-N131)*VLOOKUP(L131,EmAuto20,7)+(O131*(1-M131)-P131*(1-N131))*VLOOKUP(0,EmAuto20,7))+0.00000110231131*(C131*M131*VLOOKUP(K131,EmTruck20,7)-D131*N131*VLOOKUP(L131,EmTruck20,7)+(O131*M131-P131*N131)*VLOOKUP(0,EmTruck20,7)),0)</f>
        <v>-2.0699968106002655E-4</v>
      </c>
      <c r="AJ131" s="861">
        <f>IF(INDEX(HwyTransitModelGroup,A114,1)=Hwy,0.00000110231131*(C131*(1-M131)*VLOOKUP(K131,EmAuto20,8)-D131*(1-N131)*VLOOKUP(L131,EmAuto20,8)+(O131*(1-M131)-P131*(1-N131))*VLOOKUP(0,EmAuto20,8))+0.00000110231131*(C131*M131*VLOOKUP(K131,EmTruck20,8)-D131*N131*VLOOKUP(L131,EmTruck20,8)+(O131*M131-P131*N131)*VLOOKUP(0,EmTruck20,8)),0)</f>
        <v>-3.6722932940938553E-3</v>
      </c>
      <c r="AK131" s="401">
        <f>IF(INDEX(HwyTransitModelGroup,A114,1)=PARAMETERS!$J$9,0.00000110231131*(C131*VLOOKUP(K131,EmBus20,2)-D131*VLOOKUP(L131,EmBus20,2)+(O131-P131)*VLOOKUP(0,EmBus20,2)),0)</f>
        <v>0</v>
      </c>
      <c r="AL131" s="863">
        <f>IF(INDEX(HwyTransitModelGroup,A114,1)=PARAMETERS!$J$9,0.00000110231131*(C131*VLOOKUP(K131,EmBus20,3)-D131*VLOOKUP(L131,EmBus20,3)+(O131-P131)*VLOOKUP(0,EmBus20,3)),0)</f>
        <v>0</v>
      </c>
      <c r="AM131" s="861">
        <f>IF(INDEX(HwyTransitModelGroup,A114,1)=PARAMETERS!$J$9,0.00000110231131*(C131*VLOOKUP(K131,EmBus20,4)-D131*VLOOKUP(L131,EmBus20,4)+(O131-P131)*VLOOKUP(0,EmBus20,4)),0)</f>
        <v>0</v>
      </c>
      <c r="AN131" s="863">
        <f>IF(INDEX(HwyTransitModelGroup,A114,1)=PARAMETERS!$J$9,0.00000110231131*(C131*VLOOKUP(K131,EmBus20,5)-D131*VLOOKUP(L131,EmBus20,5)+(O131-P131)*VLOOKUP(0,EmBus20,5)),0)</f>
        <v>0</v>
      </c>
      <c r="AO131" s="861">
        <f>IF(INDEX(HwyTransitModelGroup,A114,1)=PARAMETERS!$J$9,0.00000110231131*(C131*VLOOKUP(K131,EmBus20,6)-D131*VLOOKUP(L131,EmBus20,6)+(O131-P131)*VLOOKUP(0,EmBus20,6)),0)</f>
        <v>0</v>
      </c>
      <c r="AP131" s="863">
        <f>IF(INDEX(HwyTransitModelGroup,A114,1)=PARAMETERS!$J$9,0.00000110231131*(C131*VLOOKUP(K131,EmBus20,7)-D131*VLOOKUP(L131,EmBus20,7)+(O131-P131)*VLOOKUP(0,EmBus20,7)),0)</f>
        <v>0</v>
      </c>
      <c r="AQ131" s="861">
        <f>IF(INDEX(HwyTransitModelGroup,A114,1)=PARAMETERS!$J$9,0.00000110231131*(C131*VLOOKUP(K131,EmBus20,8)-D131*VLOOKUP(L131,EmBus20,8)+(O131-P131)*VLOOKUP(0,EmBus20,8)),0)</f>
        <v>0</v>
      </c>
      <c r="AR131" s="401">
        <f>IF(INDEX(HwyTransitModelGroup,A114,1)=PARAMETERS!$J$10,0.00000110231131*((C131-D131)*PARAMETERS!$CQ$29),0)</f>
        <v>0</v>
      </c>
      <c r="AS131" s="863">
        <f>IF(INDEX(HwyTransitModelGroup,A114,1)=PARAMETERS!$J$10,0.00000110231131*((C131-D131)*PARAMETERS!$CR$29),0)</f>
        <v>0</v>
      </c>
      <c r="AT131" s="861">
        <f>IF(INDEX(HwyTransitModelGroup,A114,1)=PARAMETERS!$J$10,0.00000110231131*((C131-D131)*PARAMETERS!$CS$29),0)</f>
        <v>0</v>
      </c>
      <c r="AU131" s="863">
        <f>IF(INDEX(HwyTransitModelGroup,A114,1)=PARAMETERS!$J$10,0.00000110231131*((C131-D131)*PARAMETERS!$CT$29),0)</f>
        <v>0</v>
      </c>
      <c r="AV131" s="861">
        <f>IF(INDEX(HwyTransitModelGroup,A114,1)=PARAMETERS!$J$10,0.00000110231131*((C131-D131)*PARAMETERS!$CU$29),0)</f>
        <v>0</v>
      </c>
      <c r="AW131" s="863">
        <f>IF(INDEX(HwyTransitModelGroup,A114,1)=PARAMETERS!$J$10,0.00000110231131*((C131-D131)*PARAMETERS!$CV$29),0)</f>
        <v>0</v>
      </c>
      <c r="AX131" s="861">
        <f>IF(INDEX(HwyTransitModelGroup,A114,1)=PARAMETERS!$J$10,0.00000110231131*((C131-D131)*PARAMETERS!$CW$29),0)</f>
        <v>0</v>
      </c>
      <c r="AY131" s="401">
        <f>IF(INDEX(HwyTransitModelGroup,A114,1)=PARAMETERS!$J$11,0.00000110231131*((C131-D131)*PARAMETERS!$CQ$37),0)</f>
        <v>0</v>
      </c>
      <c r="AZ131" s="863">
        <f>IF(INDEX(HwyTransitModelGroup,A114,1)=PARAMETERS!$J$11,0.00000110231131*((C131-D131)*PARAMETERS!$CR$37),0)</f>
        <v>0</v>
      </c>
      <c r="BA131" s="861">
        <f>IF(INDEX(HwyTransitModelGroup,A114,1)=PARAMETERS!$J$11,0.00000110231131*((C131-D131)*PARAMETERS!$CS$37),0)</f>
        <v>0</v>
      </c>
      <c r="BB131" s="863">
        <f>IF(INDEX(HwyTransitModelGroup,A114,1)=PARAMETERS!$J$11,0.00000110231131*((C131-D131)*PARAMETERS!$CT$37),0)</f>
        <v>0</v>
      </c>
      <c r="BC131" s="861">
        <f>IF(INDEX(HwyTransitModelGroup,A114,1)=PARAMETERS!$J$11,0.00000110231131*((C131-D131)*PARAMETERS!$CU$37),0)</f>
        <v>0</v>
      </c>
      <c r="BD131" s="863">
        <f>IF(INDEX(HwyTransitModelGroup,A114,1)=PARAMETERS!$J$11,0.00000110231131*((C131-D131)*PARAMETERS!$CV$37),0)</f>
        <v>0</v>
      </c>
      <c r="BE131" s="865">
        <f>IF(INDEX(HwyTransitModelGroup,A114,1)=PARAMETERS!$J$11,0.00000110231131*((C131-D131)*PARAMETERS!$CW$37),0)</f>
        <v>0</v>
      </c>
      <c r="BF131" s="729">
        <f t="shared" si="50"/>
        <v>8.6550506716484463</v>
      </c>
      <c r="BG131" s="867">
        <f t="shared" si="51"/>
        <v>-1863.7158934511044</v>
      </c>
      <c r="BH131" s="867">
        <f t="shared" si="52"/>
        <v>-892.77524408247223</v>
      </c>
      <c r="BI131" s="867">
        <f t="shared" si="53"/>
        <v>-279.85488005653144</v>
      </c>
      <c r="BJ131" s="867">
        <f t="shared" si="54"/>
        <v>-17.714486957568482</v>
      </c>
      <c r="BK131" s="869">
        <f t="shared" si="55"/>
        <v>-0.14351344296005886</v>
      </c>
      <c r="BL131" s="392"/>
      <c r="BN131" s="375">
        <f t="shared" si="60"/>
        <v>2031</v>
      </c>
      <c r="BO131" s="871">
        <f t="shared" ca="1" si="58"/>
        <v>-1.4016706497219811E-3</v>
      </c>
      <c r="BP131" s="871">
        <f t="shared" ca="1" si="59"/>
        <v>-5.8374930563306025E-3</v>
      </c>
      <c r="BQ131" s="871">
        <f t="shared" ca="1" si="59"/>
        <v>2.4613666369955701E-2</v>
      </c>
      <c r="BR131" s="871">
        <f t="shared" ca="1" si="59"/>
        <v>-1.5798555664617037E-2</v>
      </c>
      <c r="BS131" s="871">
        <f t="shared" ca="1" si="59"/>
        <v>0.69979041351338223</v>
      </c>
      <c r="BT131" s="871">
        <f t="shared" ca="1" si="59"/>
        <v>0.93735217611453969</v>
      </c>
    </row>
    <row r="132" spans="2:72" x14ac:dyDescent="0.25">
      <c r="B132" s="375">
        <f t="shared" si="57"/>
        <v>2035</v>
      </c>
      <c r="C132" s="401">
        <f>MAX(TREND(C120:C121,B120:B121,B132),0)</f>
        <v>1023514.75</v>
      </c>
      <c r="D132" s="402">
        <f>MAX(TREND(D120:D121,B120:B121,B132),0)</f>
        <v>843661</v>
      </c>
      <c r="E132" s="401">
        <f>MAX(TREND(E120:E121,B120:B121,B132),0)</f>
        <v>23798</v>
      </c>
      <c r="F132" s="402">
        <f>MAX(TREND(F120:F121,B120:B121,B132),0)</f>
        <v>11169</v>
      </c>
      <c r="G132" s="401">
        <f>MAX(TREND(G120:G121,B120:B121,B132),0)</f>
        <v>0</v>
      </c>
      <c r="H132" s="402">
        <f>MAX(TREND(H120:H121,B120:B121,B132),0)</f>
        <v>0</v>
      </c>
      <c r="I132" s="401">
        <f>MAX(TREND(I120:I121,B120:B121,B132),0)</f>
        <v>0</v>
      </c>
      <c r="J132" s="402">
        <f>MAX(TREND(J120:J121,B120:B121,B132),0)</f>
        <v>0</v>
      </c>
      <c r="K132" s="435">
        <f>IFERROR(IF(INDEX(HwyTransitModelGroup,A114,1)=Hwy,MAX(5,ROUND(C132/E132,1)),MAX(5,ROUND(G132/I132,1))),55)</f>
        <v>43</v>
      </c>
      <c r="L132" s="436">
        <f>IFERROR(IF(INDEX(HwyTransitModelGroup,A114,1)=Hwy,MAX(5,ROUND(D132/F132,1)),MAX(5,ROUND(H132/J132,1))),55)</f>
        <v>75.5</v>
      </c>
      <c r="M132" s="405">
        <f>MIN(MAX(TREND(M120:M121,B120:B121,B132),0),1)</f>
        <v>0.24</v>
      </c>
      <c r="N132" s="406">
        <f>MIN(MAX(TREND(N120:N121,B120:B121,B132),0),1)</f>
        <v>0.24</v>
      </c>
      <c r="O132" s="401">
        <f>MAX(TREND(O120:O121,B120:B121,B132),0)</f>
        <v>0</v>
      </c>
      <c r="P132" s="402">
        <f>MAX(TREND(P120:P121,B120:B121,B132),0)</f>
        <v>0</v>
      </c>
      <c r="Q132" s="729">
        <f>IF(INDEX(HwyTransitModelGroup,A114,1)=Hwy,C132*(1-M132)*0.00000110231131*(VLOOKUP(K132,EmAuto20,2)*VLOOKUP(ProjLoc,EmCost,2)+VLOOKUP(K132,EmAuto20,3)*VLOOKUP(ProjLoc,EmCost,3)*(1+CO2Uprater)^($B132-YearCurrent)+VLOOKUP(K132,EmAuto20,4)*VLOOKUP(ProjLoc,EmCost,4)+VLOOKUP(K132,EmAuto20,5)*VLOOKUP(ProjLoc,EmCost,5)+VLOOKUP(K132,EmAuto20,6)*VLOOKUP(ProjLoc,EmCost,6)+VLOOKUP(K132,EmAuto20,7)*VLOOKUP(ProjLoc,EmCost,7))+C132*M132*0.00000110231131*(VLOOKUP(K132,EmTruck20,2)*VLOOKUP(ProjLoc,EmCost,2)+VLOOKUP(K132,EmTruck20,3)*VLOOKUP(ProjLoc,EmCost,3)*(1+CO2Uprater)^($B132-YearCurrent)+VLOOKUP(K132,EmTruck20,4)*VLOOKUP(ProjLoc,EmCost,4)+VLOOKUP(K132,EmTruck20,5)*VLOOKUP(ProjLoc,EmCost,5)+VLOOKUP(K132,EmTruck20,6)*VLOOKUP(ProjLoc,EmCost,6)+VLOOKUP(K132,EmTruck20,7)*VLOOKUP(ProjLoc,EmCost,7)),0)</f>
        <v>24514.666002783582</v>
      </c>
      <c r="R132" s="802">
        <f>IF(INDEX(HwyTransitModelGroup,A114,1)=Hwy,D132*(1-N132)*0.00000110231131*(VLOOKUP(L132,EmAuto20,2)*VLOOKUP(ProjLoc,EmCost,2)+VLOOKUP(L132,EmAuto20,3)*VLOOKUP(ProjLoc,EmCost,3)*(1+CO2Uprater)^($B132-YearCurrent)+VLOOKUP(L132,EmAuto20,4)*VLOOKUP(ProjLoc,EmCost,4)+VLOOKUP(L132,EmAuto20,5)*VLOOKUP(ProjLoc,EmCost,5)+VLOOKUP(L132,EmAuto20,6)*VLOOKUP(ProjLoc,EmCost,6)+VLOOKUP(L132,EmAuto20,7)*VLOOKUP(ProjLoc,EmCost,7))+D132*N132*0.00000110231131*(VLOOKUP(L132,EmTruck20,2)*VLOOKUP(ProjLoc,EmCost,2)+VLOOKUP(L132,EmTruck20,3)*VLOOKUP(ProjLoc,EmCost,3)*(1+CO2Uprater)^($B132-YearCurrent)+VLOOKUP(L132,EmTruck20,4)*VLOOKUP(ProjLoc,EmCost,4)+VLOOKUP(L132,EmTruck20,5)*VLOOKUP(ProjLoc,EmCost,5)+VLOOKUP(L132,EmTruck20,6)*VLOOKUP(ProjLoc,EmCost,6)+VLOOKUP(L132,EmTruck20,7)*VLOOKUP(ProjLoc,EmCost,7)),0)</f>
        <v>29507.125853774556</v>
      </c>
      <c r="S132" s="729">
        <f>IF(INDEX(HwyTransitModelGroup,A114,1)=Hwy,O132*(1-M132)*0.00000110231131*(VLOOKUP(0,EmAuto20,2)*VLOOKUP(ProjLoc,EmCost,2)+VLOOKUP(0,EmAuto20,3)*VLOOKUP(ProjLoc,EmCost,3)*(1+CO2Uprater)^($B132-YearCurrent)+VLOOKUP(0,EmAuto20,4)*VLOOKUP(ProjLoc,EmCost,4)+VLOOKUP(0,EmAuto20,5)*VLOOKUP(ProjLoc,EmCost,5)+VLOOKUP(0,EmAuto20,6)*VLOOKUP(ProjLoc,EmCost,6)+VLOOKUP(0,EmAuto20,7)*VLOOKUP(ProjLoc,EmCost,7))+O132*M132*0.00000110231131*(VLOOKUP(0,EmTruck20,2)*VLOOKUP(ProjLoc,EmCost,2)+VLOOKUP(0,EmTruck20,3)*VLOOKUP(ProjLoc,EmCost,3)*(1+CO2Uprater)^($B132-YearCurrent)+VLOOKUP(0,EmTruck20,4)*VLOOKUP(ProjLoc,EmCost,4)+VLOOKUP(0,EmTruck20,5)*VLOOKUP(ProjLoc,EmCost,5)+VLOOKUP(0,EmTruck20,6)*VLOOKUP(ProjLoc,EmCost,6)+VLOOKUP(0,EmTruck20,7)*VLOOKUP(ProjLoc,EmCost,7)),0)</f>
        <v>0</v>
      </c>
      <c r="T132" s="802">
        <f>IF(INDEX(HwyTransitModelGroup,A114,1)=Hwy,P132*(1-N132)*0.00000110231131*(VLOOKUP(0,EmAuto20,2)*VLOOKUP(ProjLoc,EmCost,2)+VLOOKUP(0,EmAuto20,3)*VLOOKUP(ProjLoc,EmCost,3)*(1+CO2Uprater)^($B132-YearCurrent)+VLOOKUP(0,EmAuto20,4)*VLOOKUP(ProjLoc,EmCost,4)+VLOOKUP(0,EmAuto20,5)*VLOOKUP(ProjLoc,EmCost,5)+VLOOKUP(0,EmAuto20,6)*VLOOKUP(ProjLoc,EmCost,6)+VLOOKUP(0,EmAuto20,7)*VLOOKUP(ProjLoc,EmCost,7))+P132*N132*0.00000110231131*(VLOOKUP(0,EmTruck20,2)*VLOOKUP(ProjLoc,EmCost,2)+VLOOKUP(0,EmTruck20,3)*VLOOKUP(ProjLoc,EmCost,3)*(1+CO2Uprater)^($B132-YearCurrent)+VLOOKUP(0,EmTruck20,4)*VLOOKUP(ProjLoc,EmCost,4)+VLOOKUP(0,EmTruck20,5)*VLOOKUP(ProjLoc,EmCost,5)+VLOOKUP(0,EmTruck20,6)*VLOOKUP(ProjLoc,EmCost,6)+VLOOKUP(0,EmTruck20,7)*VLOOKUP(ProjLoc,EmCost,7)),0)</f>
        <v>0</v>
      </c>
      <c r="U132" s="729">
        <f>IF(INDEX(HwyTransitModelGroup,A114,1)=PARAMETERS!$J$9,C132*0.00000110231131*(VLOOKUP(K132,EmBus20,2)*VLOOKUP(ProjLoc,EmCost,2)+VLOOKUP(K132,EmBus20,3)*VLOOKUP(ProjLoc,EmCost,3)*(1+CO2Uprater)^($B132-YearCurrent)+VLOOKUP(K132,EmBus20,4)*VLOOKUP(ProjLoc,EmCost,4)+VLOOKUP(K132,EmBus20,5)*VLOOKUP(ProjLoc,EmCost,5)+VLOOKUP(K132,EmBus20,6)*VLOOKUP(ProjLoc,EmCost,6)+VLOOKUP(K132,EmBus20,7)*VLOOKUP(ProjLoc,EmCost,7)),0)</f>
        <v>0</v>
      </c>
      <c r="V132" s="802">
        <f>IF(INDEX(HwyTransitModelGroup,A114,1)=PARAMETERS!$J$9,D132*0.00000110231131*(VLOOKUP(L132,EmBus20,2)*VLOOKUP(ProjLoc,EmCost,2)+VLOOKUP(L132,EmBus20,3)*VLOOKUP(ProjLoc,EmCost,3)*(1+CO2Uprater)^($B132-YearCurrent)+VLOOKUP(L132,EmBus20,4)*VLOOKUP(ProjLoc,EmCost,4)+VLOOKUP(L132,EmBus20,5)*VLOOKUP(ProjLoc,EmCost,5)+VLOOKUP(L132,EmBus20,6)*VLOOKUP(ProjLoc,EmCost,6)+VLOOKUP(L132,EmBus20,7)*VLOOKUP(ProjLoc,EmCost,7)),0)</f>
        <v>0</v>
      </c>
      <c r="W132" s="808">
        <f>IF(INDEX(HwyTransitModelGroup,A114,1)=PARAMETERS!$J$10,C132*0.00000110231131*(PARAMETERS!$CQ$29*VLOOKUP(ProjLoc,EmCost,2)+PARAMETERS!$CR$29*VLOOKUP(ProjLoc,EmCost,3)*(1+CO2Uprater)^($B132-YearCurrent)+PARAMETERS!$CS$29*VLOOKUP(ProjLoc,EmCost,4)+PARAMETERS!$CT$29*VLOOKUP(ProjLoc,EmCost,5)+PARAMETERS!$CU$29*VLOOKUP(ProjLoc,EmCost,6)+PARAMETERS!$CV$29*VLOOKUP(ProjLoc,EmCost,7)),0)</f>
        <v>0</v>
      </c>
      <c r="X132" s="844">
        <f>IF(INDEX(HwyTransitModelGroup,A114,1)=PARAMETERS!$J$10,D132*0.00000110231131*(PARAMETERS!$CQ$29*VLOOKUP(ProjLoc,EmCost,2)+PARAMETERS!$CR$29*VLOOKUP(ProjLoc,EmCost,3)*(1+CO2Uprater)^($B132-YearCurrent)+PARAMETERS!$CS$29*VLOOKUP(ProjLoc,EmCost,4)+PARAMETERS!$CT$29*VLOOKUP(ProjLoc,EmCost,5)+PARAMETERS!$CU$29*VLOOKUP(ProjLoc,EmCost,6)+PARAMETERS!$CV$29*VLOOKUP(ProjLoc,EmCost,7)),0)</f>
        <v>0</v>
      </c>
      <c r="Y132" s="808">
        <f>IF(INDEX(HwyTransitModelGroup,A114,1)=PARAMETERS!$J$11,C132*0.00000110231131*(PARAMETERS!$CQ$37*VLOOKUP(ProjLoc,EmCost,2)+PARAMETERS!$CR$37*VLOOKUP(ProjLoc,EmCost,3)*(1+CO2Uprater)^($B132-YearCurrent)+PARAMETERS!$CS$37*VLOOKUP(ProjLoc,EmCost,4)+PARAMETERS!$CT$37*VLOOKUP(ProjLoc,EmCost,5)+PARAMETERS!$CU$37*VLOOKUP(ProjLoc,EmCost,6)+PARAMETERS!$CV$37*VLOOKUP(ProjLoc,EmCost,7)),0)</f>
        <v>0</v>
      </c>
      <c r="Z132" s="844">
        <f>IF(INDEX(HwyTransitModelGroup,A114,1)=PARAMETERS!$J$11,D132*0.00000110231131*(PARAMETERS!$CQ$37*VLOOKUP(ProjLoc,EmCost,2)+PARAMETERS!$CR$37*VLOOKUP(ProjLoc,EmCost,3)*(1+CO2Uprater)^($B132-YearCurrent)+PARAMETERS!$CS$37*VLOOKUP(ProjLoc,EmCost,4)+PARAMETERS!$CT$37*VLOOKUP(ProjLoc,EmCost,5)+PARAMETERS!$CU$37*VLOOKUP(ProjLoc,EmCost,6)+PARAMETERS!$CV$37*VLOOKUP(ProjLoc,EmCost,7)),0)</f>
        <v>0</v>
      </c>
      <c r="AA132" s="369">
        <f t="shared" si="48"/>
        <v>-4992.4598509909738</v>
      </c>
      <c r="AB132" s="370">
        <f t="shared" si="49"/>
        <v>-2998.3420125729749</v>
      </c>
      <c r="AC132" s="371"/>
      <c r="AD132" s="401">
        <f>IF(INDEX(HwyTransitModelGroup,A114,1)=Hwy,0.00000110231131*(C132*(1-M132)*VLOOKUP(K132,EmAuto20,2)-D132*(1-N132)*VLOOKUP(L132,EmAuto20,2)+(O132*(1-M132)-P132*(1-N132))*VLOOKUP(0,EmAuto20,2))+0.00000110231131*(C132*M132*VLOOKUP(K132,EmTruck20,2)-D132*N132*VLOOKUP(L132,EmTruck20,2)+(O132*M132-P132*N132)*VLOOKUP(0,EmTruck20,2)),0)</f>
        <v>0.17524323433139158</v>
      </c>
      <c r="AE132" s="863">
        <f>IF(INDEX(HwyTransitModelGroup,A114,1)=Hwy,0.00000110231131*(C132*(1-M132)*VLOOKUP(K132,EmAuto20,3)-D132*(1-N132)*VLOOKUP(L132,EmAuto20,3)+(O132*(1-M132)-P132*(1-N132))*VLOOKUP(0,EmAuto20,3))+0.00000110231131*(C132*M132*VLOOKUP(K132,EmTruck20,3)-D132*N132*VLOOKUP(L132,EmTruck20,3)+(O132*M132-P132*N132)*VLOOKUP(0,EmTruck20,3)),0)</f>
        <v>-49.576164143275399</v>
      </c>
      <c r="AF132" s="861">
        <f>IF(INDEX(HwyTransitModelGroup,A114,1)=Hwy,0.00000110231131*(C132*(1-M132)*VLOOKUP(K132,EmAuto20,4)-D132*(1-N132)*VLOOKUP(L132,EmAuto20,4)+(O132*(1-M132)-P132*(1-N132))*VLOOKUP(0,EmAuto20,4))+0.00000110231131*(C132*M132*VLOOKUP(K132,EmTruck20,4)-D132*N132*VLOOKUP(L132,EmTruck20,4)+(O132*M132-P132*N132)*VLOOKUP(0,EmTruck20,4)),0)</f>
        <v>-9.5758622305695942E-2</v>
      </c>
      <c r="AG132" s="863">
        <f>IF(INDEX(HwyTransitModelGroup,A114,1)=Hwy,0.00000110231131*(C132*(1-M132)*VLOOKUP(K132,EmAuto20,5)-D132*(1-N132)*VLOOKUP(L132,EmAuto20,5)+(O132*(1-M132)-P132*(1-N132))*VLOOKUP(0,EmAuto20,5))+0.00000110231131*(C132*M132*VLOOKUP(K132,EmTruck20,5)-D132*N132*VLOOKUP(L132,EmTruck20,5)+(O132*M132-P132*N132)*VLOOKUP(0,EmTruck20,5)),0)</f>
        <v>-3.8840398252787968E-3</v>
      </c>
      <c r="AH132" s="861">
        <f>IF(INDEX(HwyTransitModelGroup,A114,1)=Hwy,0.00000110231131*(C132*(1-M132)*VLOOKUP(K132,EmAuto20,6)-D132*(1-N132)*VLOOKUP(L132,EmAuto20,6)+(O132*(1-M132)-P132*(1-N132))*VLOOKUP(0,EmAuto20,6))+0.00000110231131*(C132*M132*VLOOKUP(K132,EmTruck20,6)-D132*N132*VLOOKUP(L132,EmTruck20,6)+(O132*M132-P132*N132)*VLOOKUP(0,EmTruck20,6)),0)</f>
        <v>-4.8620024806647459E-4</v>
      </c>
      <c r="AI132" s="863">
        <f>IF(INDEX(HwyTransitModelGroup,A114,1)=Hwy,0.00000110231131*(C132*(1-M132)*VLOOKUP(K132,EmAuto20,7)-D132*(1-N132)*VLOOKUP(L132,EmAuto20,7)+(O132*(1-M132)-P132*(1-N132))*VLOOKUP(0,EmAuto20,7))+0.00000110231131*(C132*M132*VLOOKUP(K132,EmTruck20,7)-D132*N132*VLOOKUP(L132,EmTruck20,7)+(O132*M132-P132*N132)*VLOOKUP(0,EmTruck20,7)),0)</f>
        <v>-2.0921401945191387E-4</v>
      </c>
      <c r="AJ132" s="861">
        <f>IF(INDEX(HwyTransitModelGroup,A114,1)=Hwy,0.00000110231131*(C132*(1-M132)*VLOOKUP(K132,EmAuto20,8)-D132*(1-N132)*VLOOKUP(L132,EmAuto20,8)+(O132*(1-M132)-P132*(1-N132))*VLOOKUP(0,EmAuto20,8))+0.00000110231131*(C132*M132*VLOOKUP(K132,EmTruck20,8)-D132*N132*VLOOKUP(L132,EmTruck20,8)+(O132*M132-P132*N132)*VLOOKUP(0,EmTruck20,8)),0)</f>
        <v>-3.7150004608474656E-3</v>
      </c>
      <c r="AK132" s="401">
        <f>IF(INDEX(HwyTransitModelGroup,A114,1)=PARAMETERS!$J$9,0.00000110231131*(C132*VLOOKUP(K132,EmBus20,2)-D132*VLOOKUP(L132,EmBus20,2)+(O132-P132)*VLOOKUP(0,EmBus20,2)),0)</f>
        <v>0</v>
      </c>
      <c r="AL132" s="863">
        <f>IF(INDEX(HwyTransitModelGroup,A114,1)=PARAMETERS!$J$9,0.00000110231131*(C132*VLOOKUP(K132,EmBus20,3)-D132*VLOOKUP(L132,EmBus20,3)+(O132-P132)*VLOOKUP(0,EmBus20,3)),0)</f>
        <v>0</v>
      </c>
      <c r="AM132" s="861">
        <f>IF(INDEX(HwyTransitModelGroup,A114,1)=PARAMETERS!$J$9,0.00000110231131*(C132*VLOOKUP(K132,EmBus20,4)-D132*VLOOKUP(L132,EmBus20,4)+(O132-P132)*VLOOKUP(0,EmBus20,4)),0)</f>
        <v>0</v>
      </c>
      <c r="AN132" s="863">
        <f>IF(INDEX(HwyTransitModelGroup,A114,1)=PARAMETERS!$J$9,0.00000110231131*(C132*VLOOKUP(K132,EmBus20,5)-D132*VLOOKUP(L132,EmBus20,5)+(O132-P132)*VLOOKUP(0,EmBus20,5)),0)</f>
        <v>0</v>
      </c>
      <c r="AO132" s="861">
        <f>IF(INDEX(HwyTransitModelGroup,A114,1)=PARAMETERS!$J$9,0.00000110231131*(C132*VLOOKUP(K132,EmBus20,6)-D132*VLOOKUP(L132,EmBus20,6)+(O132-P132)*VLOOKUP(0,EmBus20,6)),0)</f>
        <v>0</v>
      </c>
      <c r="AP132" s="863">
        <f>IF(INDEX(HwyTransitModelGroup,A114,1)=PARAMETERS!$J$9,0.00000110231131*(C132*VLOOKUP(K132,EmBus20,7)-D132*VLOOKUP(L132,EmBus20,7)+(O132-P132)*VLOOKUP(0,EmBus20,7)),0)</f>
        <v>0</v>
      </c>
      <c r="AQ132" s="861">
        <f>IF(INDEX(HwyTransitModelGroup,A114,1)=PARAMETERS!$J$9,0.00000110231131*(C132*VLOOKUP(K132,EmBus20,8)-D132*VLOOKUP(L132,EmBus20,8)+(O132-P132)*VLOOKUP(0,EmBus20,8)),0)</f>
        <v>0</v>
      </c>
      <c r="AR132" s="401">
        <f>IF(INDEX(HwyTransitModelGroup,A114,1)=PARAMETERS!$J$10,0.00000110231131*((C132-D132)*PARAMETERS!$CQ$29),0)</f>
        <v>0</v>
      </c>
      <c r="AS132" s="863">
        <f>IF(INDEX(HwyTransitModelGroup,A114,1)=PARAMETERS!$J$10,0.00000110231131*((C132-D132)*PARAMETERS!$CR$29),0)</f>
        <v>0</v>
      </c>
      <c r="AT132" s="861">
        <f>IF(INDEX(HwyTransitModelGroup,A114,1)=PARAMETERS!$J$10,0.00000110231131*((C132-D132)*PARAMETERS!$CS$29),0)</f>
        <v>0</v>
      </c>
      <c r="AU132" s="863">
        <f>IF(INDEX(HwyTransitModelGroup,A114,1)=PARAMETERS!$J$10,0.00000110231131*((C132-D132)*PARAMETERS!$CT$29),0)</f>
        <v>0</v>
      </c>
      <c r="AV132" s="861">
        <f>IF(INDEX(HwyTransitModelGroup,A114,1)=PARAMETERS!$J$10,0.00000110231131*((C132-D132)*PARAMETERS!$CU$29),0)</f>
        <v>0</v>
      </c>
      <c r="AW132" s="863">
        <f>IF(INDEX(HwyTransitModelGroup,A114,1)=PARAMETERS!$J$10,0.00000110231131*((C132-D132)*PARAMETERS!$CV$29),0)</f>
        <v>0</v>
      </c>
      <c r="AX132" s="861">
        <f>IF(INDEX(HwyTransitModelGroup,A114,1)=PARAMETERS!$J$10,0.00000110231131*((C132-D132)*PARAMETERS!$CW$29),0)</f>
        <v>0</v>
      </c>
      <c r="AY132" s="401">
        <f>IF(INDEX(HwyTransitModelGroup,A114,1)=PARAMETERS!$J$11,0.00000110231131*((C132-D132)*PARAMETERS!$CQ$37),0)</f>
        <v>0</v>
      </c>
      <c r="AZ132" s="863">
        <f>IF(INDEX(HwyTransitModelGroup,A114,1)=PARAMETERS!$J$11,0.00000110231131*((C132-D132)*PARAMETERS!$CR$37),0)</f>
        <v>0</v>
      </c>
      <c r="BA132" s="861">
        <f>IF(INDEX(HwyTransitModelGroup,A114,1)=PARAMETERS!$J$11,0.00000110231131*((C132-D132)*PARAMETERS!$CS$37),0)</f>
        <v>0</v>
      </c>
      <c r="BB132" s="863">
        <f>IF(INDEX(HwyTransitModelGroup,A114,1)=PARAMETERS!$J$11,0.00000110231131*((C132-D132)*PARAMETERS!$CT$37),0)</f>
        <v>0</v>
      </c>
      <c r="BC132" s="861">
        <f>IF(INDEX(HwyTransitModelGroup,A114,1)=PARAMETERS!$J$11,0.00000110231131*((C132-D132)*PARAMETERS!$CU$37),0)</f>
        <v>0</v>
      </c>
      <c r="BD132" s="863">
        <f>IF(INDEX(HwyTransitModelGroup,A114,1)=PARAMETERS!$J$11,0.00000110231131*((C132-D132)*PARAMETERS!$CV$37),0)</f>
        <v>0</v>
      </c>
      <c r="BE132" s="865">
        <f>IF(INDEX(HwyTransitModelGroup,A114,1)=PARAMETERS!$J$11,0.00000110231131*((C132-D132)*PARAMETERS!$CW$37),0)</f>
        <v>0</v>
      </c>
      <c r="BF132" s="729">
        <f t="shared" si="50"/>
        <v>8.4197236247888583</v>
      </c>
      <c r="BG132" s="867">
        <f t="shared" si="51"/>
        <v>-1848.7704053897291</v>
      </c>
      <c r="BH132" s="867">
        <f t="shared" si="52"/>
        <v>-868.40322091946291</v>
      </c>
      <c r="BI132" s="867">
        <f t="shared" si="53"/>
        <v>-272.22068312299518</v>
      </c>
      <c r="BJ132" s="867">
        <f t="shared" si="54"/>
        <v>-17.227956909997626</v>
      </c>
      <c r="BK132" s="869">
        <f t="shared" si="55"/>
        <v>-0.13946985557817446</v>
      </c>
      <c r="BL132" s="392"/>
      <c r="BN132" s="375">
        <f t="shared" si="60"/>
        <v>2032</v>
      </c>
      <c r="BO132" s="871">
        <f t="shared" ca="1" si="58"/>
        <v>-3.6007361579525137E-3</v>
      </c>
      <c r="BP132" s="871">
        <f t="shared" ca="1" si="59"/>
        <v>-7.8696677151041099E-3</v>
      </c>
      <c r="BQ132" s="871">
        <f t="shared" ca="1" si="59"/>
        <v>2.5040636083616372E-2</v>
      </c>
      <c r="BR132" s="871">
        <f t="shared" ca="1" si="59"/>
        <v>-1.5978895171719857E-2</v>
      </c>
      <c r="BS132" s="871">
        <f t="shared" ca="1" si="59"/>
        <v>0.73038749589234997</v>
      </c>
      <c r="BT132" s="871">
        <f t="shared" ca="1" si="59"/>
        <v>0.96226148916917764</v>
      </c>
    </row>
    <row r="133" spans="2:72" x14ac:dyDescent="0.25">
      <c r="B133" s="375">
        <f t="shared" si="57"/>
        <v>2036</v>
      </c>
      <c r="C133" s="401">
        <f>MAX(TREND(C120:C121,B120:B121,B133),0)</f>
        <v>1035322.5</v>
      </c>
      <c r="D133" s="402">
        <f>MAX(TREND(D120:D121,B120:B121,B133),0)</f>
        <v>853370</v>
      </c>
      <c r="E133" s="401">
        <f>MAX(TREND(E120:E121,B120:B121,B133),0)</f>
        <v>24090</v>
      </c>
      <c r="F133" s="402">
        <f>MAX(TREND(F120:F121,B120:B121,B133),0)</f>
        <v>11315</v>
      </c>
      <c r="G133" s="401">
        <f>MAX(TREND(G120:G121,B120:B121,B133),0)</f>
        <v>0</v>
      </c>
      <c r="H133" s="402">
        <f>MAX(TREND(H120:H121,B120:B121,B133),0)</f>
        <v>0</v>
      </c>
      <c r="I133" s="401">
        <f>MAX(TREND(I120:I121,B120:B121,B133),0)</f>
        <v>0</v>
      </c>
      <c r="J133" s="402">
        <f>MAX(TREND(J120:J121,B120:B121,B133),0)</f>
        <v>0</v>
      </c>
      <c r="K133" s="435">
        <f>IFERROR(IF(INDEX(HwyTransitModelGroup,A114,1)=Hwy,MAX(5,ROUND(C133/E133,1)),MAX(5,ROUND(G133/I133,1))),55)</f>
        <v>43</v>
      </c>
      <c r="L133" s="436">
        <f>IFERROR(IF(INDEX(HwyTransitModelGroup,A114,1)=Hwy,MAX(5,ROUND(D133/F133,1)),MAX(5,ROUND(H133/J133,1))),55)</f>
        <v>75.400000000000006</v>
      </c>
      <c r="M133" s="405">
        <f>MIN(MAX(TREND(M120:M121,B120:B121,B133),0),1)</f>
        <v>0.24</v>
      </c>
      <c r="N133" s="406">
        <f>MIN(MAX(TREND(N120:N121,B120:B121,B133),0),1)</f>
        <v>0.24</v>
      </c>
      <c r="O133" s="401">
        <f>MAX(TREND(O120:O121,B120:B121,B133),0)</f>
        <v>0</v>
      </c>
      <c r="P133" s="402">
        <f>MAX(TREND(P120:P121,B120:B121,B133),0)</f>
        <v>0</v>
      </c>
      <c r="Q133" s="729">
        <f>IF(INDEX(HwyTransitModelGroup,A114,1)=Hwy,C133*(1-M133)*0.00000110231131*(VLOOKUP(K133,EmAuto20,2)*VLOOKUP(ProjLoc,EmCost,2)+VLOOKUP(K133,EmAuto20,3)*VLOOKUP(ProjLoc,EmCost,3)*(1+CO2Uprater)^($B133-YearCurrent)+VLOOKUP(K133,EmAuto20,4)*VLOOKUP(ProjLoc,EmCost,4)+VLOOKUP(K133,EmAuto20,5)*VLOOKUP(ProjLoc,EmCost,5)+VLOOKUP(K133,EmAuto20,6)*VLOOKUP(ProjLoc,EmCost,6)+VLOOKUP(K133,EmAuto20,7)*VLOOKUP(ProjLoc,EmCost,7))+C133*M133*0.00000110231131*(VLOOKUP(K133,EmTruck20,2)*VLOOKUP(ProjLoc,EmCost,2)+VLOOKUP(K133,EmTruck20,3)*VLOOKUP(ProjLoc,EmCost,3)*(1+CO2Uprater)^($B133-YearCurrent)+VLOOKUP(K133,EmTruck20,4)*VLOOKUP(ProjLoc,EmCost,4)+VLOOKUP(K133,EmTruck20,5)*VLOOKUP(ProjLoc,EmCost,5)+VLOOKUP(K133,EmTruck20,6)*VLOOKUP(ProjLoc,EmCost,6)+VLOOKUP(K133,EmTruck20,7)*VLOOKUP(ProjLoc,EmCost,7)),0)</f>
        <v>25250.783194241769</v>
      </c>
      <c r="R133" s="802">
        <f>IF(INDEX(HwyTransitModelGroup,A114,1)=Hwy,D133*(1-N133)*0.00000110231131*(VLOOKUP(L133,EmAuto20,2)*VLOOKUP(ProjLoc,EmCost,2)+VLOOKUP(L133,EmAuto20,3)*VLOOKUP(ProjLoc,EmCost,3)*(1+CO2Uprater)^($B133-YearCurrent)+VLOOKUP(L133,EmAuto20,4)*VLOOKUP(ProjLoc,EmCost,4)+VLOOKUP(L133,EmAuto20,5)*VLOOKUP(ProjLoc,EmCost,5)+VLOOKUP(L133,EmAuto20,6)*VLOOKUP(ProjLoc,EmCost,6)+VLOOKUP(L133,EmAuto20,7)*VLOOKUP(ProjLoc,EmCost,7))+D133*N133*0.00000110231131*(VLOOKUP(L133,EmTruck20,2)*VLOOKUP(ProjLoc,EmCost,2)+VLOOKUP(L133,EmTruck20,3)*VLOOKUP(ProjLoc,EmCost,3)*(1+CO2Uprater)^($B133-YearCurrent)+VLOOKUP(L133,EmTruck20,4)*VLOOKUP(ProjLoc,EmCost,4)+VLOOKUP(L133,EmTruck20,5)*VLOOKUP(ProjLoc,EmCost,5)+VLOOKUP(L133,EmTruck20,6)*VLOOKUP(ProjLoc,EmCost,6)+VLOOKUP(L133,EmTruck20,7)*VLOOKUP(ProjLoc,EmCost,7)),0)</f>
        <v>30362.266105901494</v>
      </c>
      <c r="S133" s="729">
        <f>IF(INDEX(HwyTransitModelGroup,A114,1)=Hwy,O133*(1-M133)*0.00000110231131*(VLOOKUP(0,EmAuto20,2)*VLOOKUP(ProjLoc,EmCost,2)+VLOOKUP(0,EmAuto20,3)*VLOOKUP(ProjLoc,EmCost,3)*(1+CO2Uprater)^($B133-YearCurrent)+VLOOKUP(0,EmAuto20,4)*VLOOKUP(ProjLoc,EmCost,4)+VLOOKUP(0,EmAuto20,5)*VLOOKUP(ProjLoc,EmCost,5)+VLOOKUP(0,EmAuto20,6)*VLOOKUP(ProjLoc,EmCost,6)+VLOOKUP(0,EmAuto20,7)*VLOOKUP(ProjLoc,EmCost,7))+O133*M133*0.00000110231131*(VLOOKUP(0,EmTruck20,2)*VLOOKUP(ProjLoc,EmCost,2)+VLOOKUP(0,EmTruck20,3)*VLOOKUP(ProjLoc,EmCost,3)*(1+CO2Uprater)^($B133-YearCurrent)+VLOOKUP(0,EmTruck20,4)*VLOOKUP(ProjLoc,EmCost,4)+VLOOKUP(0,EmTruck20,5)*VLOOKUP(ProjLoc,EmCost,5)+VLOOKUP(0,EmTruck20,6)*VLOOKUP(ProjLoc,EmCost,6)+VLOOKUP(0,EmTruck20,7)*VLOOKUP(ProjLoc,EmCost,7)),0)</f>
        <v>0</v>
      </c>
      <c r="T133" s="802">
        <f>IF(INDEX(HwyTransitModelGroup,A114,1)=Hwy,P133*(1-N133)*0.00000110231131*(VLOOKUP(0,EmAuto20,2)*VLOOKUP(ProjLoc,EmCost,2)+VLOOKUP(0,EmAuto20,3)*VLOOKUP(ProjLoc,EmCost,3)*(1+CO2Uprater)^($B133-YearCurrent)+VLOOKUP(0,EmAuto20,4)*VLOOKUP(ProjLoc,EmCost,4)+VLOOKUP(0,EmAuto20,5)*VLOOKUP(ProjLoc,EmCost,5)+VLOOKUP(0,EmAuto20,6)*VLOOKUP(ProjLoc,EmCost,6)+VLOOKUP(0,EmAuto20,7)*VLOOKUP(ProjLoc,EmCost,7))+P133*N133*0.00000110231131*(VLOOKUP(0,EmTruck20,2)*VLOOKUP(ProjLoc,EmCost,2)+VLOOKUP(0,EmTruck20,3)*VLOOKUP(ProjLoc,EmCost,3)*(1+CO2Uprater)^($B133-YearCurrent)+VLOOKUP(0,EmTruck20,4)*VLOOKUP(ProjLoc,EmCost,4)+VLOOKUP(0,EmTruck20,5)*VLOOKUP(ProjLoc,EmCost,5)+VLOOKUP(0,EmTruck20,6)*VLOOKUP(ProjLoc,EmCost,6)+VLOOKUP(0,EmTruck20,7)*VLOOKUP(ProjLoc,EmCost,7)),0)</f>
        <v>0</v>
      </c>
      <c r="U133" s="729">
        <f>IF(INDEX(HwyTransitModelGroup,A114,1)=PARAMETERS!$J$9,C133*0.00000110231131*(VLOOKUP(K133,EmBus20,2)*VLOOKUP(ProjLoc,EmCost,2)+VLOOKUP(K133,EmBus20,3)*VLOOKUP(ProjLoc,EmCost,3)*(1+CO2Uprater)^($B133-YearCurrent)+VLOOKUP(K133,EmBus20,4)*VLOOKUP(ProjLoc,EmCost,4)+VLOOKUP(K133,EmBus20,5)*VLOOKUP(ProjLoc,EmCost,5)+VLOOKUP(K133,EmBus20,6)*VLOOKUP(ProjLoc,EmCost,6)+VLOOKUP(K133,EmBus20,7)*VLOOKUP(ProjLoc,EmCost,7)),0)</f>
        <v>0</v>
      </c>
      <c r="V133" s="802">
        <f>IF(INDEX(HwyTransitModelGroup,A114,1)=PARAMETERS!$J$9,D133*0.00000110231131*(VLOOKUP(L133,EmBus20,2)*VLOOKUP(ProjLoc,EmCost,2)+VLOOKUP(L133,EmBus20,3)*VLOOKUP(ProjLoc,EmCost,3)*(1+CO2Uprater)^($B133-YearCurrent)+VLOOKUP(L133,EmBus20,4)*VLOOKUP(ProjLoc,EmCost,4)+VLOOKUP(L133,EmBus20,5)*VLOOKUP(ProjLoc,EmCost,5)+VLOOKUP(L133,EmBus20,6)*VLOOKUP(ProjLoc,EmCost,6)+VLOOKUP(L133,EmBus20,7)*VLOOKUP(ProjLoc,EmCost,7)),0)</f>
        <v>0</v>
      </c>
      <c r="W133" s="808">
        <f>IF(INDEX(HwyTransitModelGroup,A114,1)=PARAMETERS!$J$10,C133*0.00000110231131*(PARAMETERS!$CQ$29*VLOOKUP(ProjLoc,EmCost,2)+PARAMETERS!$CR$29*VLOOKUP(ProjLoc,EmCost,3)*(1+CO2Uprater)^($B133-YearCurrent)+PARAMETERS!$CS$29*VLOOKUP(ProjLoc,EmCost,4)+PARAMETERS!$CT$29*VLOOKUP(ProjLoc,EmCost,5)+PARAMETERS!$CU$29*VLOOKUP(ProjLoc,EmCost,6)+PARAMETERS!$CV$29*VLOOKUP(ProjLoc,EmCost,7)),0)</f>
        <v>0</v>
      </c>
      <c r="X133" s="844">
        <f>IF(INDEX(HwyTransitModelGroup,A114,1)=PARAMETERS!$J$10,D133*0.00000110231131*(PARAMETERS!$CQ$29*VLOOKUP(ProjLoc,EmCost,2)+PARAMETERS!$CR$29*VLOOKUP(ProjLoc,EmCost,3)*(1+CO2Uprater)^($B133-YearCurrent)+PARAMETERS!$CS$29*VLOOKUP(ProjLoc,EmCost,4)+PARAMETERS!$CT$29*VLOOKUP(ProjLoc,EmCost,5)+PARAMETERS!$CU$29*VLOOKUP(ProjLoc,EmCost,6)+PARAMETERS!$CV$29*VLOOKUP(ProjLoc,EmCost,7)),0)</f>
        <v>0</v>
      </c>
      <c r="Y133" s="808">
        <f>IF(INDEX(HwyTransitModelGroup,A114,1)=PARAMETERS!$J$11,C133*0.00000110231131*(PARAMETERS!$CQ$37*VLOOKUP(ProjLoc,EmCost,2)+PARAMETERS!$CR$37*VLOOKUP(ProjLoc,EmCost,3)*(1+CO2Uprater)^($B133-YearCurrent)+PARAMETERS!$CS$37*VLOOKUP(ProjLoc,EmCost,4)+PARAMETERS!$CT$37*VLOOKUP(ProjLoc,EmCost,5)+PARAMETERS!$CU$37*VLOOKUP(ProjLoc,EmCost,6)+PARAMETERS!$CV$37*VLOOKUP(ProjLoc,EmCost,7)),0)</f>
        <v>0</v>
      </c>
      <c r="Z133" s="844">
        <f>IF(INDEX(HwyTransitModelGroup,A114,1)=PARAMETERS!$J$11,D133*0.00000110231131*(PARAMETERS!$CQ$37*VLOOKUP(ProjLoc,EmCost,2)+PARAMETERS!$CR$37*VLOOKUP(ProjLoc,EmCost,3)*(1+CO2Uprater)^($B133-YearCurrent)+PARAMETERS!$CS$37*VLOOKUP(ProjLoc,EmCost,4)+PARAMETERS!$CT$37*VLOOKUP(ProjLoc,EmCost,5)+PARAMETERS!$CU$37*VLOOKUP(ProjLoc,EmCost,6)+PARAMETERS!$CV$37*VLOOKUP(ProjLoc,EmCost,7)),0)</f>
        <v>0</v>
      </c>
      <c r="AA133" s="369">
        <f t="shared" si="48"/>
        <v>-5111.4829116597248</v>
      </c>
      <c r="AB133" s="370">
        <f t="shared" si="49"/>
        <v>-2951.7540177529445</v>
      </c>
      <c r="AC133" s="371"/>
      <c r="AD133" s="401">
        <f>IF(INDEX(HwyTransitModelGroup,A114,1)=Hwy,0.00000110231131*(C133*(1-M133)*VLOOKUP(K133,EmAuto20,2)-D133*(1-N133)*VLOOKUP(L133,EmAuto20,2)+(O133*(1-M133)-P133*(1-N133))*VLOOKUP(0,EmAuto20,2))+0.00000110231131*(C133*M133*VLOOKUP(K133,EmTruck20,2)-D133*N133*VLOOKUP(L133,EmTruck20,2)+(O133*M133-P133*N133)*VLOOKUP(0,EmTruck20,2)),0)</f>
        <v>0.17727378142972045</v>
      </c>
      <c r="AE133" s="863">
        <f>IF(INDEX(HwyTransitModelGroup,A114,1)=Hwy,0.00000110231131*(C133*(1-M133)*VLOOKUP(K133,EmAuto20,3)-D133*(1-N133)*VLOOKUP(L133,EmAuto20,3)+(O133*(1-M133)-P133*(1-N133))*VLOOKUP(0,EmAuto20,3))+0.00000110231131*(C133*M133*VLOOKUP(K133,EmTruck20,3)-D133*N133*VLOOKUP(L133,EmTruck20,3)+(O133*M133-P133*N133)*VLOOKUP(0,EmTruck20,3)),0)</f>
        <v>-50.136484651933529</v>
      </c>
      <c r="AF133" s="861">
        <f>IF(INDEX(HwyTransitModelGroup,A114,1)=Hwy,0.00000110231131*(C133*(1-M133)*VLOOKUP(K133,EmAuto20,4)-D133*(1-N133)*VLOOKUP(L133,EmAuto20,4)+(O133*(1-M133)-P133*(1-N133))*VLOOKUP(0,EmAuto20,4))+0.00000110231131*(C133*M133*VLOOKUP(K133,EmTruck20,4)-D133*N133*VLOOKUP(L133,EmTruck20,4)+(O133*M133-P133*N133)*VLOOKUP(0,EmTruck20,4)),0)</f>
        <v>-9.6857514166645911E-2</v>
      </c>
      <c r="AG133" s="863">
        <f>IF(INDEX(HwyTransitModelGroup,A114,1)=Hwy,0.00000110231131*(C133*(1-M133)*VLOOKUP(K133,EmAuto20,5)-D133*(1-N133)*VLOOKUP(L133,EmAuto20,5)+(O133*(1-M133)-P133*(1-N133))*VLOOKUP(0,EmAuto20,5))+0.00000110231131*(C133*M133*VLOOKUP(K133,EmTruck20,5)-D133*N133*VLOOKUP(L133,EmTruck20,5)+(O133*M133-P133*N133)*VLOOKUP(0,EmTruck20,5)),0)</f>
        <v>-3.9286907945687254E-3</v>
      </c>
      <c r="AH133" s="861">
        <f>IF(INDEX(HwyTransitModelGroup,A114,1)=Hwy,0.00000110231131*(C133*(1-M133)*VLOOKUP(K133,EmAuto20,6)-D133*(1-N133)*VLOOKUP(L133,EmAuto20,6)+(O133*(1-M133)-P133*(1-N133))*VLOOKUP(0,EmAuto20,6))+0.00000110231131*(C133*M133*VLOOKUP(K133,EmTruck20,6)-D133*N133*VLOOKUP(L133,EmTruck20,6)+(O133*M133-P133*N133)*VLOOKUP(0,EmTruck20,6)),0)</f>
        <v>-4.9169771046406446E-4</v>
      </c>
      <c r="AI133" s="863">
        <f>IF(INDEX(HwyTransitModelGroup,A114,1)=Hwy,0.00000110231131*(C133*(1-M133)*VLOOKUP(K133,EmAuto20,7)-D133*(1-N133)*VLOOKUP(L133,EmAuto20,7)+(O133*(1-M133)-P133*(1-N133))*VLOOKUP(0,EmAuto20,7))+0.00000110231131*(C133*M133*VLOOKUP(K133,EmTruck20,7)-D133*N133*VLOOKUP(L133,EmTruck20,7)+(O133*M133-P133*N133)*VLOOKUP(0,EmTruck20,7)),0)</f>
        <v>-2.1142835784379929E-4</v>
      </c>
      <c r="AJ133" s="861">
        <f>IF(INDEX(HwyTransitModelGroup,A114,1)=Hwy,0.00000110231131*(C133*(1-M133)*VLOOKUP(K133,EmAuto20,8)-D133*(1-N133)*VLOOKUP(L133,EmAuto20,8)+(O133*(1-M133)-P133*(1-N133))*VLOOKUP(0,EmAuto20,8))+0.00000110231131*(C133*M133*VLOOKUP(K133,EmTruck20,8)-D133*N133*VLOOKUP(L133,EmTruck20,8)+(O133*M133-P133*N133)*VLOOKUP(0,EmTruck20,8)),0)</f>
        <v>-3.757707627601076E-3</v>
      </c>
      <c r="AK133" s="401">
        <f>IF(INDEX(HwyTransitModelGroup,A114,1)=PARAMETERS!$J$9,0.00000110231131*(C133*VLOOKUP(K133,EmBus20,2)-D133*VLOOKUP(L133,EmBus20,2)+(O133-P133)*VLOOKUP(0,EmBus20,2)),0)</f>
        <v>0</v>
      </c>
      <c r="AL133" s="863">
        <f>IF(INDEX(HwyTransitModelGroup,A114,1)=PARAMETERS!$J$9,0.00000110231131*(C133*VLOOKUP(K133,EmBus20,3)-D133*VLOOKUP(L133,EmBus20,3)+(O133-P133)*VLOOKUP(0,EmBus20,3)),0)</f>
        <v>0</v>
      </c>
      <c r="AM133" s="861">
        <f>IF(INDEX(HwyTransitModelGroup,A114,1)=PARAMETERS!$J$9,0.00000110231131*(C133*VLOOKUP(K133,EmBus20,4)-D133*VLOOKUP(L133,EmBus20,4)+(O133-P133)*VLOOKUP(0,EmBus20,4)),0)</f>
        <v>0</v>
      </c>
      <c r="AN133" s="863">
        <f>IF(INDEX(HwyTransitModelGroup,A114,1)=PARAMETERS!$J$9,0.00000110231131*(C133*VLOOKUP(K133,EmBus20,5)-D133*VLOOKUP(L133,EmBus20,5)+(O133-P133)*VLOOKUP(0,EmBus20,5)),0)</f>
        <v>0</v>
      </c>
      <c r="AO133" s="861">
        <f>IF(INDEX(HwyTransitModelGroup,A114,1)=PARAMETERS!$J$9,0.00000110231131*(C133*VLOOKUP(K133,EmBus20,6)-D133*VLOOKUP(L133,EmBus20,6)+(O133-P133)*VLOOKUP(0,EmBus20,6)),0)</f>
        <v>0</v>
      </c>
      <c r="AP133" s="863">
        <f>IF(INDEX(HwyTransitModelGroup,A114,1)=PARAMETERS!$J$9,0.00000110231131*(C133*VLOOKUP(K133,EmBus20,7)-D133*VLOOKUP(L133,EmBus20,7)+(O133-P133)*VLOOKUP(0,EmBus20,7)),0)</f>
        <v>0</v>
      </c>
      <c r="AQ133" s="861">
        <f>IF(INDEX(HwyTransitModelGroup,A114,1)=PARAMETERS!$J$9,0.00000110231131*(C133*VLOOKUP(K133,EmBus20,8)-D133*VLOOKUP(L133,EmBus20,8)+(O133-P133)*VLOOKUP(0,EmBus20,8)),0)</f>
        <v>0</v>
      </c>
      <c r="AR133" s="401">
        <f>IF(INDEX(HwyTransitModelGroup,A114,1)=PARAMETERS!$J$10,0.00000110231131*((C133-D133)*PARAMETERS!$CQ$29),0)</f>
        <v>0</v>
      </c>
      <c r="AS133" s="863">
        <f>IF(INDEX(HwyTransitModelGroup,A114,1)=PARAMETERS!$J$10,0.00000110231131*((C133-D133)*PARAMETERS!$CR$29),0)</f>
        <v>0</v>
      </c>
      <c r="AT133" s="861">
        <f>IF(INDEX(HwyTransitModelGroup,A114,1)=PARAMETERS!$J$10,0.00000110231131*((C133-D133)*PARAMETERS!$CS$29),0)</f>
        <v>0</v>
      </c>
      <c r="AU133" s="863">
        <f>IF(INDEX(HwyTransitModelGroup,A114,1)=PARAMETERS!$J$10,0.00000110231131*((C133-D133)*PARAMETERS!$CT$29),0)</f>
        <v>0</v>
      </c>
      <c r="AV133" s="861">
        <f>IF(INDEX(HwyTransitModelGroup,A114,1)=PARAMETERS!$J$10,0.00000110231131*((C133-D133)*PARAMETERS!$CU$29),0)</f>
        <v>0</v>
      </c>
      <c r="AW133" s="863">
        <f>IF(INDEX(HwyTransitModelGroup,A114,1)=PARAMETERS!$J$10,0.00000110231131*((C133-D133)*PARAMETERS!$CV$29),0)</f>
        <v>0</v>
      </c>
      <c r="AX133" s="861">
        <f>IF(INDEX(HwyTransitModelGroup,A114,1)=PARAMETERS!$J$10,0.00000110231131*((C133-D133)*PARAMETERS!$CW$29),0)</f>
        <v>0</v>
      </c>
      <c r="AY133" s="401">
        <f>IF(INDEX(HwyTransitModelGroup,A114,1)=PARAMETERS!$J$11,0.00000110231131*((C133-D133)*PARAMETERS!$CQ$37),0)</f>
        <v>0</v>
      </c>
      <c r="AZ133" s="863">
        <f>IF(INDEX(HwyTransitModelGroup,A114,1)=PARAMETERS!$J$11,0.00000110231131*((C133-D133)*PARAMETERS!$CR$37),0)</f>
        <v>0</v>
      </c>
      <c r="BA133" s="861">
        <f>IF(INDEX(HwyTransitModelGroup,A114,1)=PARAMETERS!$J$11,0.00000110231131*((C133-D133)*PARAMETERS!$CS$37),0)</f>
        <v>0</v>
      </c>
      <c r="BB133" s="863">
        <f>IF(INDEX(HwyTransitModelGroup,A114,1)=PARAMETERS!$J$11,0.00000110231131*((C133-D133)*PARAMETERS!$CT$37),0)</f>
        <v>0</v>
      </c>
      <c r="BC133" s="861">
        <f>IF(INDEX(HwyTransitModelGroup,A114,1)=PARAMETERS!$J$11,0.00000110231131*((C133-D133)*PARAMETERS!$CU$37),0)</f>
        <v>0</v>
      </c>
      <c r="BD133" s="863">
        <f>IF(INDEX(HwyTransitModelGroup,A114,1)=PARAMETERS!$J$11,0.00000110231131*((C133-D133)*PARAMETERS!$CV$37),0)</f>
        <v>0</v>
      </c>
      <c r="BE133" s="865">
        <f>IF(INDEX(HwyTransitModelGroup,A114,1)=PARAMETERS!$J$11,0.00000110231131*((C133-D133)*PARAMETERS!$CW$37),0)</f>
        <v>0</v>
      </c>
      <c r="BF133" s="729">
        <f t="shared" si="50"/>
        <v>8.1896953290610011</v>
      </c>
      <c r="BG133" s="867">
        <f t="shared" si="51"/>
        <v>-1833.7104997488132</v>
      </c>
      <c r="BH133" s="867">
        <f t="shared" si="52"/>
        <v>-844.58529533100091</v>
      </c>
      <c r="BI133" s="867">
        <f t="shared" si="53"/>
        <v>-264.75974559846389</v>
      </c>
      <c r="BJ133" s="867">
        <f t="shared" si="54"/>
        <v>-16.752647388338147</v>
      </c>
      <c r="BK133" s="869">
        <f t="shared" si="55"/>
        <v>-0.13552501538696629</v>
      </c>
      <c r="BL133" s="392"/>
      <c r="BN133" s="375">
        <f t="shared" si="60"/>
        <v>2033</v>
      </c>
      <c r="BO133" s="871">
        <f t="shared" ca="1" si="58"/>
        <v>-1.8533564129286826E-3</v>
      </c>
      <c r="BP133" s="871">
        <f t="shared" ca="1" si="59"/>
        <v>-7.5566940216070973E-3</v>
      </c>
      <c r="BQ133" s="871">
        <f t="shared" ca="1" si="59"/>
        <v>1.7651113988724935E-2</v>
      </c>
      <c r="BR133" s="871">
        <f t="shared" ca="1" si="59"/>
        <v>-9.3560838583796019E-2</v>
      </c>
      <c r="BS133" s="871">
        <f t="shared" ca="1" si="59"/>
        <v>0.4309961507014729</v>
      </c>
      <c r="BT133" s="871">
        <f t="shared" ca="1" si="59"/>
        <v>0.55910044433470141</v>
      </c>
    </row>
    <row r="134" spans="2:72" x14ac:dyDescent="0.25">
      <c r="B134" s="375">
        <f t="shared" si="57"/>
        <v>2037</v>
      </c>
      <c r="C134" s="401">
        <f>MAX(TREND(C120:C121,B120:B121,B134),0)</f>
        <v>1047130.25</v>
      </c>
      <c r="D134" s="402">
        <f>MAX(TREND(D120:D121,B120:B121,B134),0)</f>
        <v>863079</v>
      </c>
      <c r="E134" s="401">
        <f>MAX(TREND(E120:E121,B120:B121,B134),0)</f>
        <v>24382</v>
      </c>
      <c r="F134" s="402">
        <f>MAX(TREND(F120:F121,B120:B121,B134),0)</f>
        <v>11461</v>
      </c>
      <c r="G134" s="401">
        <f>MAX(TREND(G120:G121,B120:B121,B134),0)</f>
        <v>0</v>
      </c>
      <c r="H134" s="402">
        <f>MAX(TREND(H120:H121,B120:B121,B134),0)</f>
        <v>0</v>
      </c>
      <c r="I134" s="401">
        <f>MAX(TREND(I120:I121,B120:B121,B134),0)</f>
        <v>0</v>
      </c>
      <c r="J134" s="402">
        <f>MAX(TREND(J120:J121,B120:B121,B134),0)</f>
        <v>0</v>
      </c>
      <c r="K134" s="435">
        <f>IFERROR(IF(INDEX(HwyTransitModelGroup,A114,1)=Hwy,MAX(5,ROUND(C134/E134,1)),MAX(5,ROUND(G134/I134,1))),55)</f>
        <v>42.9</v>
      </c>
      <c r="L134" s="436">
        <f>IFERROR(IF(INDEX(HwyTransitModelGroup,A114,1)=Hwy,MAX(5,ROUND(D134/F134,1)),MAX(5,ROUND(H134/J134,1))),55)</f>
        <v>75.3</v>
      </c>
      <c r="M134" s="405">
        <f>MIN(MAX(TREND(M120:M121,B120:B121,B134),0),1)</f>
        <v>0.24</v>
      </c>
      <c r="N134" s="406">
        <f>MIN(MAX(TREND(N120:N121,B120:B121,B134),0),1)</f>
        <v>0.24</v>
      </c>
      <c r="O134" s="401">
        <f>MAX(TREND(O120:O121,B120:B121,B134),0)</f>
        <v>0</v>
      </c>
      <c r="P134" s="402">
        <f>MAX(TREND(P120:P121,B120:B121,B134),0)</f>
        <v>0</v>
      </c>
      <c r="Q134" s="729">
        <f>IF(INDEX(HwyTransitModelGroup,A114,1)=Hwy,C134*(1-M134)*0.00000110231131*(VLOOKUP(K134,EmAuto20,2)*VLOOKUP(ProjLoc,EmCost,2)+VLOOKUP(K134,EmAuto20,3)*VLOOKUP(ProjLoc,EmCost,3)*(1+CO2Uprater)^($B134-YearCurrent)+VLOOKUP(K134,EmAuto20,4)*VLOOKUP(ProjLoc,EmCost,4)+VLOOKUP(K134,EmAuto20,5)*VLOOKUP(ProjLoc,EmCost,5)+VLOOKUP(K134,EmAuto20,6)*VLOOKUP(ProjLoc,EmCost,6)+VLOOKUP(K134,EmAuto20,7)*VLOOKUP(ProjLoc,EmCost,7))+C134*M134*0.00000110231131*(VLOOKUP(K134,EmTruck20,2)*VLOOKUP(ProjLoc,EmCost,2)+VLOOKUP(K134,EmTruck20,3)*VLOOKUP(ProjLoc,EmCost,3)*(1+CO2Uprater)^($B134-YearCurrent)+VLOOKUP(K134,EmTruck20,4)*VLOOKUP(ProjLoc,EmCost,4)+VLOOKUP(K134,EmTruck20,5)*VLOOKUP(ProjLoc,EmCost,5)+VLOOKUP(K134,EmTruck20,6)*VLOOKUP(ProjLoc,EmCost,6)+VLOOKUP(K134,EmTruck20,7)*VLOOKUP(ProjLoc,EmCost,7)),0)</f>
        <v>25898.28696671022</v>
      </c>
      <c r="R134" s="802">
        <f>IF(INDEX(HwyTransitModelGroup,A114,1)=Hwy,D134*(1-N134)*0.00000110231131*(VLOOKUP(L134,EmAuto20,2)*VLOOKUP(ProjLoc,EmCost,2)+VLOOKUP(L134,EmAuto20,3)*VLOOKUP(ProjLoc,EmCost,3)*(1+CO2Uprater)^($B134-YearCurrent)+VLOOKUP(L134,EmAuto20,4)*VLOOKUP(ProjLoc,EmCost,4)+VLOOKUP(L134,EmAuto20,5)*VLOOKUP(ProjLoc,EmCost,5)+VLOOKUP(L134,EmAuto20,6)*VLOOKUP(ProjLoc,EmCost,6)+VLOOKUP(L134,EmAuto20,7)*VLOOKUP(ProjLoc,EmCost,7))+D134*N134*0.00000110231131*(VLOOKUP(L134,EmTruck20,2)*VLOOKUP(ProjLoc,EmCost,2)+VLOOKUP(L134,EmTruck20,3)*VLOOKUP(ProjLoc,EmCost,3)*(1+CO2Uprater)^($B134-YearCurrent)+VLOOKUP(L134,EmTruck20,4)*VLOOKUP(ProjLoc,EmCost,4)+VLOOKUP(L134,EmTruck20,5)*VLOOKUP(ProjLoc,EmCost,5)+VLOOKUP(L134,EmTruck20,6)*VLOOKUP(ProjLoc,EmCost,6)+VLOOKUP(L134,EmTruck20,7)*VLOOKUP(ProjLoc,EmCost,7)),0)</f>
        <v>31239.566478596455</v>
      </c>
      <c r="S134" s="729">
        <f>IF(INDEX(HwyTransitModelGroup,A114,1)=Hwy,O134*(1-M134)*0.00000110231131*(VLOOKUP(0,EmAuto20,2)*VLOOKUP(ProjLoc,EmCost,2)+VLOOKUP(0,EmAuto20,3)*VLOOKUP(ProjLoc,EmCost,3)*(1+CO2Uprater)^($B134-YearCurrent)+VLOOKUP(0,EmAuto20,4)*VLOOKUP(ProjLoc,EmCost,4)+VLOOKUP(0,EmAuto20,5)*VLOOKUP(ProjLoc,EmCost,5)+VLOOKUP(0,EmAuto20,6)*VLOOKUP(ProjLoc,EmCost,6)+VLOOKUP(0,EmAuto20,7)*VLOOKUP(ProjLoc,EmCost,7))+O134*M134*0.00000110231131*(VLOOKUP(0,EmTruck20,2)*VLOOKUP(ProjLoc,EmCost,2)+VLOOKUP(0,EmTruck20,3)*VLOOKUP(ProjLoc,EmCost,3)*(1+CO2Uprater)^($B134-YearCurrent)+VLOOKUP(0,EmTruck20,4)*VLOOKUP(ProjLoc,EmCost,4)+VLOOKUP(0,EmTruck20,5)*VLOOKUP(ProjLoc,EmCost,5)+VLOOKUP(0,EmTruck20,6)*VLOOKUP(ProjLoc,EmCost,6)+VLOOKUP(0,EmTruck20,7)*VLOOKUP(ProjLoc,EmCost,7)),0)</f>
        <v>0</v>
      </c>
      <c r="T134" s="802">
        <f>IF(INDEX(HwyTransitModelGroup,A114,1)=Hwy,P134*(1-N134)*0.00000110231131*(VLOOKUP(0,EmAuto20,2)*VLOOKUP(ProjLoc,EmCost,2)+VLOOKUP(0,EmAuto20,3)*VLOOKUP(ProjLoc,EmCost,3)*(1+CO2Uprater)^($B134-YearCurrent)+VLOOKUP(0,EmAuto20,4)*VLOOKUP(ProjLoc,EmCost,4)+VLOOKUP(0,EmAuto20,5)*VLOOKUP(ProjLoc,EmCost,5)+VLOOKUP(0,EmAuto20,6)*VLOOKUP(ProjLoc,EmCost,6)+VLOOKUP(0,EmAuto20,7)*VLOOKUP(ProjLoc,EmCost,7))+P134*N134*0.00000110231131*(VLOOKUP(0,EmTruck20,2)*VLOOKUP(ProjLoc,EmCost,2)+VLOOKUP(0,EmTruck20,3)*VLOOKUP(ProjLoc,EmCost,3)*(1+CO2Uprater)^($B134-YearCurrent)+VLOOKUP(0,EmTruck20,4)*VLOOKUP(ProjLoc,EmCost,4)+VLOOKUP(0,EmTruck20,5)*VLOOKUP(ProjLoc,EmCost,5)+VLOOKUP(0,EmTruck20,6)*VLOOKUP(ProjLoc,EmCost,6)+VLOOKUP(0,EmTruck20,7)*VLOOKUP(ProjLoc,EmCost,7)),0)</f>
        <v>0</v>
      </c>
      <c r="U134" s="729">
        <f>IF(INDEX(HwyTransitModelGroup,A114,1)=PARAMETERS!$J$9,C134*0.00000110231131*(VLOOKUP(K134,EmBus20,2)*VLOOKUP(ProjLoc,EmCost,2)+VLOOKUP(K134,EmBus20,3)*VLOOKUP(ProjLoc,EmCost,3)*(1+CO2Uprater)^($B134-YearCurrent)+VLOOKUP(K134,EmBus20,4)*VLOOKUP(ProjLoc,EmCost,4)+VLOOKUP(K134,EmBus20,5)*VLOOKUP(ProjLoc,EmCost,5)+VLOOKUP(K134,EmBus20,6)*VLOOKUP(ProjLoc,EmCost,6)+VLOOKUP(K134,EmBus20,7)*VLOOKUP(ProjLoc,EmCost,7)),0)</f>
        <v>0</v>
      </c>
      <c r="V134" s="802">
        <f>IF(INDEX(HwyTransitModelGroup,A114,1)=PARAMETERS!$J$9,D134*0.00000110231131*(VLOOKUP(L134,EmBus20,2)*VLOOKUP(ProjLoc,EmCost,2)+VLOOKUP(L134,EmBus20,3)*VLOOKUP(ProjLoc,EmCost,3)*(1+CO2Uprater)^($B134-YearCurrent)+VLOOKUP(L134,EmBus20,4)*VLOOKUP(ProjLoc,EmCost,4)+VLOOKUP(L134,EmBus20,5)*VLOOKUP(ProjLoc,EmCost,5)+VLOOKUP(L134,EmBus20,6)*VLOOKUP(ProjLoc,EmCost,6)+VLOOKUP(L134,EmBus20,7)*VLOOKUP(ProjLoc,EmCost,7)),0)</f>
        <v>0</v>
      </c>
      <c r="W134" s="808">
        <f>IF(INDEX(HwyTransitModelGroup,A114,1)=PARAMETERS!$J$10,C134*0.00000110231131*(PARAMETERS!$CQ$29*VLOOKUP(ProjLoc,EmCost,2)+PARAMETERS!$CR$29*VLOOKUP(ProjLoc,EmCost,3)*(1+CO2Uprater)^($B134-YearCurrent)+PARAMETERS!$CS$29*VLOOKUP(ProjLoc,EmCost,4)+PARAMETERS!$CT$29*VLOOKUP(ProjLoc,EmCost,5)+PARAMETERS!$CU$29*VLOOKUP(ProjLoc,EmCost,6)+PARAMETERS!$CV$29*VLOOKUP(ProjLoc,EmCost,7)),0)</f>
        <v>0</v>
      </c>
      <c r="X134" s="844">
        <f>IF(INDEX(HwyTransitModelGroup,A114,1)=PARAMETERS!$J$10,D134*0.00000110231131*(PARAMETERS!$CQ$29*VLOOKUP(ProjLoc,EmCost,2)+PARAMETERS!$CR$29*VLOOKUP(ProjLoc,EmCost,3)*(1+CO2Uprater)^($B134-YearCurrent)+PARAMETERS!$CS$29*VLOOKUP(ProjLoc,EmCost,4)+PARAMETERS!$CT$29*VLOOKUP(ProjLoc,EmCost,5)+PARAMETERS!$CU$29*VLOOKUP(ProjLoc,EmCost,6)+PARAMETERS!$CV$29*VLOOKUP(ProjLoc,EmCost,7)),0)</f>
        <v>0</v>
      </c>
      <c r="Y134" s="808">
        <f>IF(INDEX(HwyTransitModelGroup,A114,1)=PARAMETERS!$J$11,C134*0.00000110231131*(PARAMETERS!$CQ$37*VLOOKUP(ProjLoc,EmCost,2)+PARAMETERS!$CR$37*VLOOKUP(ProjLoc,EmCost,3)*(1+CO2Uprater)^($B134-YearCurrent)+PARAMETERS!$CS$37*VLOOKUP(ProjLoc,EmCost,4)+PARAMETERS!$CT$37*VLOOKUP(ProjLoc,EmCost,5)+PARAMETERS!$CU$37*VLOOKUP(ProjLoc,EmCost,6)+PARAMETERS!$CV$37*VLOOKUP(ProjLoc,EmCost,7)),0)</f>
        <v>0</v>
      </c>
      <c r="Z134" s="844">
        <f>IF(INDEX(HwyTransitModelGroup,A114,1)=PARAMETERS!$J$11,D134*0.00000110231131*(PARAMETERS!$CQ$37*VLOOKUP(ProjLoc,EmCost,2)+PARAMETERS!$CR$37*VLOOKUP(ProjLoc,EmCost,3)*(1+CO2Uprater)^($B134-YearCurrent)+PARAMETERS!$CS$37*VLOOKUP(ProjLoc,EmCost,4)+PARAMETERS!$CT$37*VLOOKUP(ProjLoc,EmCost,5)+PARAMETERS!$CU$37*VLOOKUP(ProjLoc,EmCost,6)+PARAMETERS!$CV$37*VLOOKUP(ProjLoc,EmCost,7)),0)</f>
        <v>0</v>
      </c>
      <c r="AA134" s="369">
        <f t="shared" si="48"/>
        <v>-5341.2795118862341</v>
      </c>
      <c r="AB134" s="370">
        <f t="shared" si="49"/>
        <v>-2965.8229120201131</v>
      </c>
      <c r="AC134" s="371"/>
      <c r="AD134" s="401">
        <f>IF(INDEX(HwyTransitModelGroup,A114,1)=Hwy,0.00000110231131*(C134*(1-M134)*VLOOKUP(K134,EmAuto20,2)-D134*(1-N134)*VLOOKUP(L134,EmAuto20,2)+(O134*(1-M134)-P134*(1-N134))*VLOOKUP(0,EmAuto20,2))+0.00000110231131*(C134*M134*VLOOKUP(K134,EmTruck20,2)-D134*N134*VLOOKUP(L134,EmTruck20,2)+(O134*M134-P134*N134)*VLOOKUP(0,EmTruck20,2)),0)</f>
        <v>0.18670084914894622</v>
      </c>
      <c r="AE134" s="863">
        <f>IF(INDEX(HwyTransitModelGroup,A114,1)=Hwy,0.00000110231131*(C134*(1-M134)*VLOOKUP(K134,EmAuto20,3)-D134*(1-N134)*VLOOKUP(L134,EmAuto20,3)+(O134*(1-M134)-P134*(1-N134))*VLOOKUP(0,EmAuto20,3))+0.00000110231131*(C134*M134*VLOOKUP(K134,EmTruck20,3)-D134*N134*VLOOKUP(L134,EmTruck20,3)+(O134*M134-P134*N134)*VLOOKUP(0,EmTruck20,3)),0)</f>
        <v>-52.575332099082701</v>
      </c>
      <c r="AF134" s="861">
        <f>IF(INDEX(HwyTransitModelGroup,A114,1)=Hwy,0.00000110231131*(C134*(1-M134)*VLOOKUP(K134,EmAuto20,4)-D134*(1-N134)*VLOOKUP(L134,EmAuto20,4)+(O134*(1-M134)-P134*(1-N134))*VLOOKUP(0,EmAuto20,4))+0.00000110231131*(C134*M134*VLOOKUP(K134,EmTruck20,4)-D134*N134*VLOOKUP(L134,EmTruck20,4)+(O134*M134-P134*N134)*VLOOKUP(0,EmTruck20,4)),0)</f>
        <v>-9.6372756481423835E-2</v>
      </c>
      <c r="AG134" s="863">
        <f>IF(INDEX(HwyTransitModelGroup,A114,1)=Hwy,0.00000110231131*(C134*(1-M134)*VLOOKUP(K134,EmAuto20,5)-D134*(1-N134)*VLOOKUP(L134,EmAuto20,5)+(O134*(1-M134)-P134*(1-N134))*VLOOKUP(0,EmAuto20,5))+0.00000110231131*(C134*M134*VLOOKUP(K134,EmTruck20,5)-D134*N134*VLOOKUP(L134,EmTruck20,5)+(O134*M134-P134*N134)*VLOOKUP(0,EmTruck20,5)),0)</f>
        <v>-4.0564487371271586E-3</v>
      </c>
      <c r="AH134" s="861">
        <f>IF(INDEX(HwyTransitModelGroup,A114,1)=Hwy,0.00000110231131*(C134*(1-M134)*VLOOKUP(K134,EmAuto20,6)-D134*(1-N134)*VLOOKUP(L134,EmAuto20,6)+(O134*(1-M134)-P134*(1-N134))*VLOOKUP(0,EmAuto20,6))+0.00000110231131*(C134*M134*VLOOKUP(K134,EmTruck20,6)-D134*N134*VLOOKUP(L134,EmTruck20,6)+(O134*M134-P134*N134)*VLOOKUP(0,EmTruck20,6)),0)</f>
        <v>-5.2489749728449003E-4</v>
      </c>
      <c r="AI134" s="863">
        <f>IF(INDEX(HwyTransitModelGroup,A114,1)=Hwy,0.00000110231131*(C134*(1-M134)*VLOOKUP(K134,EmAuto20,7)-D134*(1-N134)*VLOOKUP(L134,EmAuto20,7)+(O134*(1-M134)-P134*(1-N134))*VLOOKUP(0,EmAuto20,7))+0.00000110231131*(C134*M134*VLOOKUP(K134,EmTruck20,7)-D134*N134*VLOOKUP(L134,EmTruck20,7)+(O134*M134-P134*N134)*VLOOKUP(0,EmTruck20,7)),0)</f>
        <v>-1.5823804739001704E-4</v>
      </c>
      <c r="AJ134" s="861">
        <f>IF(INDEX(HwyTransitModelGroup,A114,1)=Hwy,0.00000110231131*(C134*(1-M134)*VLOOKUP(K134,EmAuto20,8)-D134*(1-N134)*VLOOKUP(L134,EmAuto20,8)+(O134*(1-M134)-P134*(1-N134))*VLOOKUP(0,EmAuto20,8))+0.00000110231131*(C134*M134*VLOOKUP(K134,EmTruck20,8)-D134*N134*VLOOKUP(L134,EmTruck20,8)+(O134*M134-P134*N134)*VLOOKUP(0,EmTruck20,8)),0)</f>
        <v>-3.8835217676231916E-3</v>
      </c>
      <c r="AK134" s="401">
        <f>IF(INDEX(HwyTransitModelGroup,A114,1)=PARAMETERS!$J$9,0.00000110231131*(C134*VLOOKUP(K134,EmBus20,2)-D134*VLOOKUP(L134,EmBus20,2)+(O134-P134)*VLOOKUP(0,EmBus20,2)),0)</f>
        <v>0</v>
      </c>
      <c r="AL134" s="863">
        <f>IF(INDEX(HwyTransitModelGroup,A114,1)=PARAMETERS!$J$9,0.00000110231131*(C134*VLOOKUP(K134,EmBus20,3)-D134*VLOOKUP(L134,EmBus20,3)+(O134-P134)*VLOOKUP(0,EmBus20,3)),0)</f>
        <v>0</v>
      </c>
      <c r="AM134" s="861">
        <f>IF(INDEX(HwyTransitModelGroup,A114,1)=PARAMETERS!$J$9,0.00000110231131*(C134*VLOOKUP(K134,EmBus20,4)-D134*VLOOKUP(L134,EmBus20,4)+(O134-P134)*VLOOKUP(0,EmBus20,4)),0)</f>
        <v>0</v>
      </c>
      <c r="AN134" s="863">
        <f>IF(INDEX(HwyTransitModelGroup,A114,1)=PARAMETERS!$J$9,0.00000110231131*(C134*VLOOKUP(K134,EmBus20,5)-D134*VLOOKUP(L134,EmBus20,5)+(O134-P134)*VLOOKUP(0,EmBus20,5)),0)</f>
        <v>0</v>
      </c>
      <c r="AO134" s="861">
        <f>IF(INDEX(HwyTransitModelGroup,A114,1)=PARAMETERS!$J$9,0.00000110231131*(C134*VLOOKUP(K134,EmBus20,6)-D134*VLOOKUP(L134,EmBus20,6)+(O134-P134)*VLOOKUP(0,EmBus20,6)),0)</f>
        <v>0</v>
      </c>
      <c r="AP134" s="863">
        <f>IF(INDEX(HwyTransitModelGroup,A114,1)=PARAMETERS!$J$9,0.00000110231131*(C134*VLOOKUP(K134,EmBus20,7)-D134*VLOOKUP(L134,EmBus20,7)+(O134-P134)*VLOOKUP(0,EmBus20,7)),0)</f>
        <v>0</v>
      </c>
      <c r="AQ134" s="861">
        <f>IF(INDEX(HwyTransitModelGroup,A114,1)=PARAMETERS!$J$9,0.00000110231131*(C134*VLOOKUP(K134,EmBus20,8)-D134*VLOOKUP(L134,EmBus20,8)+(O134-P134)*VLOOKUP(0,EmBus20,8)),0)</f>
        <v>0</v>
      </c>
      <c r="AR134" s="401">
        <f>IF(INDEX(HwyTransitModelGroup,A114,1)=PARAMETERS!$J$10,0.00000110231131*((C134-D134)*PARAMETERS!$CQ$29),0)</f>
        <v>0</v>
      </c>
      <c r="AS134" s="863">
        <f>IF(INDEX(HwyTransitModelGroup,A114,1)=PARAMETERS!$J$10,0.00000110231131*((C134-D134)*PARAMETERS!$CR$29),0)</f>
        <v>0</v>
      </c>
      <c r="AT134" s="861">
        <f>IF(INDEX(HwyTransitModelGroup,A114,1)=PARAMETERS!$J$10,0.00000110231131*((C134-D134)*PARAMETERS!$CS$29),0)</f>
        <v>0</v>
      </c>
      <c r="AU134" s="863">
        <f>IF(INDEX(HwyTransitModelGroup,A114,1)=PARAMETERS!$J$10,0.00000110231131*((C134-D134)*PARAMETERS!$CT$29),0)</f>
        <v>0</v>
      </c>
      <c r="AV134" s="861">
        <f>IF(INDEX(HwyTransitModelGroup,A114,1)=PARAMETERS!$J$10,0.00000110231131*((C134-D134)*PARAMETERS!$CU$29),0)</f>
        <v>0</v>
      </c>
      <c r="AW134" s="863">
        <f>IF(INDEX(HwyTransitModelGroup,A114,1)=PARAMETERS!$J$10,0.00000110231131*((C134-D134)*PARAMETERS!$CV$29),0)</f>
        <v>0</v>
      </c>
      <c r="AX134" s="861">
        <f>IF(INDEX(HwyTransitModelGroup,A114,1)=PARAMETERS!$J$10,0.00000110231131*((C134-D134)*PARAMETERS!$CW$29),0)</f>
        <v>0</v>
      </c>
      <c r="AY134" s="401">
        <f>IF(INDEX(HwyTransitModelGroup,A114,1)=PARAMETERS!$J$11,0.00000110231131*((C134-D134)*PARAMETERS!$CQ$37),0)</f>
        <v>0</v>
      </c>
      <c r="AZ134" s="863">
        <f>IF(INDEX(HwyTransitModelGroup,A114,1)=PARAMETERS!$J$11,0.00000110231131*((C134-D134)*PARAMETERS!$CR$37),0)</f>
        <v>0</v>
      </c>
      <c r="BA134" s="861">
        <f>IF(INDEX(HwyTransitModelGroup,A114,1)=PARAMETERS!$J$11,0.00000110231131*((C134-D134)*PARAMETERS!$CS$37),0)</f>
        <v>0</v>
      </c>
      <c r="BB134" s="863">
        <f>IF(INDEX(HwyTransitModelGroup,A114,1)=PARAMETERS!$J$11,0.00000110231131*((C134-D134)*PARAMETERS!$CT$37),0)</f>
        <v>0</v>
      </c>
      <c r="BC134" s="861">
        <f>IF(INDEX(HwyTransitModelGroup,A114,1)=PARAMETERS!$J$11,0.00000110231131*((C134-D134)*PARAMETERS!$CU$37),0)</f>
        <v>0</v>
      </c>
      <c r="BD134" s="863">
        <f>IF(INDEX(HwyTransitModelGroup,A114,1)=PARAMETERS!$J$11,0.00000110231131*((C134-D134)*PARAMETERS!$CV$37),0)</f>
        <v>0</v>
      </c>
      <c r="BE134" s="865">
        <f>IF(INDEX(HwyTransitModelGroup,A114,1)=PARAMETERS!$J$11,0.00000110231131*((C134-D134)*PARAMETERS!$CW$37),0)</f>
        <v>0</v>
      </c>
      <c r="BF134" s="729">
        <f t="shared" si="50"/>
        <v>8.2934683327068601</v>
      </c>
      <c r="BG134" s="867">
        <f t="shared" si="51"/>
        <v>-1885.9307814864028</v>
      </c>
      <c r="BH134" s="867">
        <f t="shared" si="52"/>
        <v>-808.03679761175658</v>
      </c>
      <c r="BI134" s="867">
        <f t="shared" si="53"/>
        <v>-262.85531232668717</v>
      </c>
      <c r="BJ134" s="867">
        <f t="shared" si="54"/>
        <v>-17.195959920501778</v>
      </c>
      <c r="BK134" s="869">
        <f t="shared" si="55"/>
        <v>-9.7529007470714538E-2</v>
      </c>
      <c r="BL134" s="392"/>
      <c r="BN134" s="375">
        <f t="shared" si="60"/>
        <v>2034</v>
      </c>
      <c r="BO134" s="871">
        <f t="shared" ca="1" si="58"/>
        <v>-2.5560790915149637E-3</v>
      </c>
      <c r="BP134" s="871">
        <f t="shared" ca="1" si="59"/>
        <v>-7.684270507189242E-3</v>
      </c>
      <c r="BQ134" s="871">
        <f t="shared" ca="1" si="59"/>
        <v>1.7948275979979247E-2</v>
      </c>
      <c r="BR134" s="871">
        <f t="shared" ca="1" si="59"/>
        <v>-9.465973044474596E-2</v>
      </c>
      <c r="BS134" s="871">
        <f t="shared" ca="1" si="59"/>
        <v>0.44832531229629591</v>
      </c>
      <c r="BT134" s="871">
        <f t="shared" ca="1" si="59"/>
        <v>0.57320824408480275</v>
      </c>
    </row>
    <row r="135" spans="2:72" x14ac:dyDescent="0.25">
      <c r="B135" s="375">
        <f t="shared" si="57"/>
        <v>2038</v>
      </c>
      <c r="C135" s="401">
        <f>MAX(TREND(C120:C121,B120:B121,B135),0)</f>
        <v>1058938</v>
      </c>
      <c r="D135" s="402">
        <f>MAX(TREND(D120:D121,B120:B121,B135),0)</f>
        <v>872788</v>
      </c>
      <c r="E135" s="401">
        <f>MAX(TREND(E120:E121,B120:B121,B135),0)</f>
        <v>24674</v>
      </c>
      <c r="F135" s="402">
        <f>MAX(TREND(F120:F121,B120:B121,B135),0)</f>
        <v>11607</v>
      </c>
      <c r="G135" s="401">
        <f>MAX(TREND(G120:G121,B120:B121,B135),0)</f>
        <v>0</v>
      </c>
      <c r="H135" s="402">
        <f>MAX(TREND(H120:H121,B120:B121,B135),0)</f>
        <v>0</v>
      </c>
      <c r="I135" s="401">
        <f>MAX(TREND(I120:I121,B120:B121,B135),0)</f>
        <v>0</v>
      </c>
      <c r="J135" s="402">
        <f>MAX(TREND(J120:J121,B120:B121,B135),0)</f>
        <v>0</v>
      </c>
      <c r="K135" s="435">
        <f>IFERROR(IF(INDEX(HwyTransitModelGroup,A114,1)=Hwy,MAX(5,ROUND(C135/E135,1)),MAX(5,ROUND(G135/I135,1))),55)</f>
        <v>42.9</v>
      </c>
      <c r="L135" s="436">
        <f>IFERROR(IF(INDEX(HwyTransitModelGroup,A114,1)=Hwy,MAX(5,ROUND(D135/F135,1)),MAX(5,ROUND(H135/J135,1))),55)</f>
        <v>75.2</v>
      </c>
      <c r="M135" s="405">
        <f>MIN(MAX(TREND(M120:M121,B120:B121,B135),0),1)</f>
        <v>0.24</v>
      </c>
      <c r="N135" s="406">
        <f>MIN(MAX(TREND(N120:N121,B120:B121,B135),0),1)</f>
        <v>0.24</v>
      </c>
      <c r="O135" s="401">
        <f>MAX(TREND(O120:O121,B120:B121,B135),0)</f>
        <v>0</v>
      </c>
      <c r="P135" s="402">
        <f>MAX(TREND(P120:P121,B120:B121,B135),0)</f>
        <v>0</v>
      </c>
      <c r="Q135" s="729">
        <f>IF(INDEX(HwyTransitModelGroup,A114,1)=Hwy,C135*(1-M135)*0.00000110231131*(VLOOKUP(K135,EmAuto20,2)*VLOOKUP(ProjLoc,EmCost,2)+VLOOKUP(K135,EmAuto20,3)*VLOOKUP(ProjLoc,EmCost,3)*(1+CO2Uprater)^($B135-YearCurrent)+VLOOKUP(K135,EmAuto20,4)*VLOOKUP(ProjLoc,EmCost,4)+VLOOKUP(K135,EmAuto20,5)*VLOOKUP(ProjLoc,EmCost,5)+VLOOKUP(K135,EmAuto20,6)*VLOOKUP(ProjLoc,EmCost,6)+VLOOKUP(K135,EmAuto20,7)*VLOOKUP(ProjLoc,EmCost,7))+C135*M135*0.00000110231131*(VLOOKUP(K135,EmTruck20,2)*VLOOKUP(ProjLoc,EmCost,2)+VLOOKUP(K135,EmTruck20,3)*VLOOKUP(ProjLoc,EmCost,3)*(1+CO2Uprater)^($B135-YearCurrent)+VLOOKUP(K135,EmTruck20,4)*VLOOKUP(ProjLoc,EmCost,4)+VLOOKUP(K135,EmTruck20,5)*VLOOKUP(ProjLoc,EmCost,5)+VLOOKUP(K135,EmTruck20,6)*VLOOKUP(ProjLoc,EmCost,6)+VLOOKUP(K135,EmTruck20,7)*VLOOKUP(ProjLoc,EmCost,7)),0)</f>
        <v>26670.244636276791</v>
      </c>
      <c r="R135" s="802">
        <f>IF(INDEX(HwyTransitModelGroup,A114,1)=Hwy,D135*(1-N135)*0.00000110231131*(VLOOKUP(L135,EmAuto20,2)*VLOOKUP(ProjLoc,EmCost,2)+VLOOKUP(L135,EmAuto20,3)*VLOOKUP(ProjLoc,EmCost,3)*(1+CO2Uprater)^($B135-YearCurrent)+VLOOKUP(L135,EmAuto20,4)*VLOOKUP(ProjLoc,EmCost,4)+VLOOKUP(L135,EmAuto20,5)*VLOOKUP(ProjLoc,EmCost,5)+VLOOKUP(L135,EmAuto20,6)*VLOOKUP(ProjLoc,EmCost,6)+VLOOKUP(L135,EmAuto20,7)*VLOOKUP(ProjLoc,EmCost,7))+D135*N135*0.00000110231131*(VLOOKUP(L135,EmTruck20,2)*VLOOKUP(ProjLoc,EmCost,2)+VLOOKUP(L135,EmTruck20,3)*VLOOKUP(ProjLoc,EmCost,3)*(1+CO2Uprater)^($B135-YearCurrent)+VLOOKUP(L135,EmTruck20,4)*VLOOKUP(ProjLoc,EmCost,4)+VLOOKUP(L135,EmTruck20,5)*VLOOKUP(ProjLoc,EmCost,5)+VLOOKUP(L135,EmTruck20,6)*VLOOKUP(ProjLoc,EmCost,6)+VLOOKUP(L135,EmTruck20,7)*VLOOKUP(ProjLoc,EmCost,7)),0)</f>
        <v>32139.589835217208</v>
      </c>
      <c r="S135" s="729">
        <f>IF(INDEX(HwyTransitModelGroup,A114,1)=Hwy,O135*(1-M135)*0.00000110231131*(VLOOKUP(0,EmAuto20,2)*VLOOKUP(ProjLoc,EmCost,2)+VLOOKUP(0,EmAuto20,3)*VLOOKUP(ProjLoc,EmCost,3)*(1+CO2Uprater)^($B135-YearCurrent)+VLOOKUP(0,EmAuto20,4)*VLOOKUP(ProjLoc,EmCost,4)+VLOOKUP(0,EmAuto20,5)*VLOOKUP(ProjLoc,EmCost,5)+VLOOKUP(0,EmAuto20,6)*VLOOKUP(ProjLoc,EmCost,6)+VLOOKUP(0,EmAuto20,7)*VLOOKUP(ProjLoc,EmCost,7))+O135*M135*0.00000110231131*(VLOOKUP(0,EmTruck20,2)*VLOOKUP(ProjLoc,EmCost,2)+VLOOKUP(0,EmTruck20,3)*VLOOKUP(ProjLoc,EmCost,3)*(1+CO2Uprater)^($B135-YearCurrent)+VLOOKUP(0,EmTruck20,4)*VLOOKUP(ProjLoc,EmCost,4)+VLOOKUP(0,EmTruck20,5)*VLOOKUP(ProjLoc,EmCost,5)+VLOOKUP(0,EmTruck20,6)*VLOOKUP(ProjLoc,EmCost,6)+VLOOKUP(0,EmTruck20,7)*VLOOKUP(ProjLoc,EmCost,7)),0)</f>
        <v>0</v>
      </c>
      <c r="T135" s="802">
        <f>IF(INDEX(HwyTransitModelGroup,A114,1)=Hwy,P135*(1-N135)*0.00000110231131*(VLOOKUP(0,EmAuto20,2)*VLOOKUP(ProjLoc,EmCost,2)+VLOOKUP(0,EmAuto20,3)*VLOOKUP(ProjLoc,EmCost,3)*(1+CO2Uprater)^($B135-YearCurrent)+VLOOKUP(0,EmAuto20,4)*VLOOKUP(ProjLoc,EmCost,4)+VLOOKUP(0,EmAuto20,5)*VLOOKUP(ProjLoc,EmCost,5)+VLOOKUP(0,EmAuto20,6)*VLOOKUP(ProjLoc,EmCost,6)+VLOOKUP(0,EmAuto20,7)*VLOOKUP(ProjLoc,EmCost,7))+P135*N135*0.00000110231131*(VLOOKUP(0,EmTruck20,2)*VLOOKUP(ProjLoc,EmCost,2)+VLOOKUP(0,EmTruck20,3)*VLOOKUP(ProjLoc,EmCost,3)*(1+CO2Uprater)^($B135-YearCurrent)+VLOOKUP(0,EmTruck20,4)*VLOOKUP(ProjLoc,EmCost,4)+VLOOKUP(0,EmTruck20,5)*VLOOKUP(ProjLoc,EmCost,5)+VLOOKUP(0,EmTruck20,6)*VLOOKUP(ProjLoc,EmCost,6)+VLOOKUP(0,EmTruck20,7)*VLOOKUP(ProjLoc,EmCost,7)),0)</f>
        <v>0</v>
      </c>
      <c r="U135" s="729">
        <f>IF(INDEX(HwyTransitModelGroup,A114,1)=PARAMETERS!$J$9,C135*0.00000110231131*(VLOOKUP(K135,EmBus20,2)*VLOOKUP(ProjLoc,EmCost,2)+VLOOKUP(K135,EmBus20,3)*VLOOKUP(ProjLoc,EmCost,3)*(1+CO2Uprater)^($B135-YearCurrent)+VLOOKUP(K135,EmBus20,4)*VLOOKUP(ProjLoc,EmCost,4)+VLOOKUP(K135,EmBus20,5)*VLOOKUP(ProjLoc,EmCost,5)+VLOOKUP(K135,EmBus20,6)*VLOOKUP(ProjLoc,EmCost,6)+VLOOKUP(K135,EmBus20,7)*VLOOKUP(ProjLoc,EmCost,7)),0)</f>
        <v>0</v>
      </c>
      <c r="V135" s="802">
        <f>IF(INDEX(HwyTransitModelGroup,A114,1)=PARAMETERS!$J$9,D135*0.00000110231131*(VLOOKUP(L135,EmBus20,2)*VLOOKUP(ProjLoc,EmCost,2)+VLOOKUP(L135,EmBus20,3)*VLOOKUP(ProjLoc,EmCost,3)*(1+CO2Uprater)^($B135-YearCurrent)+VLOOKUP(L135,EmBus20,4)*VLOOKUP(ProjLoc,EmCost,4)+VLOOKUP(L135,EmBus20,5)*VLOOKUP(ProjLoc,EmCost,5)+VLOOKUP(L135,EmBus20,6)*VLOOKUP(ProjLoc,EmCost,6)+VLOOKUP(L135,EmBus20,7)*VLOOKUP(ProjLoc,EmCost,7)),0)</f>
        <v>0</v>
      </c>
      <c r="W135" s="808">
        <f>IF(INDEX(HwyTransitModelGroup,A114,1)=PARAMETERS!$J$10,C135*0.00000110231131*(PARAMETERS!$CQ$29*VLOOKUP(ProjLoc,EmCost,2)+PARAMETERS!$CR$29*VLOOKUP(ProjLoc,EmCost,3)*(1+CO2Uprater)^($B135-YearCurrent)+PARAMETERS!$CS$29*VLOOKUP(ProjLoc,EmCost,4)+PARAMETERS!$CT$29*VLOOKUP(ProjLoc,EmCost,5)+PARAMETERS!$CU$29*VLOOKUP(ProjLoc,EmCost,6)+PARAMETERS!$CV$29*VLOOKUP(ProjLoc,EmCost,7)),0)</f>
        <v>0</v>
      </c>
      <c r="X135" s="844">
        <f>IF(INDEX(HwyTransitModelGroup,A114,1)=PARAMETERS!$J$10,D135*0.00000110231131*(PARAMETERS!$CQ$29*VLOOKUP(ProjLoc,EmCost,2)+PARAMETERS!$CR$29*VLOOKUP(ProjLoc,EmCost,3)*(1+CO2Uprater)^($B135-YearCurrent)+PARAMETERS!$CS$29*VLOOKUP(ProjLoc,EmCost,4)+PARAMETERS!$CT$29*VLOOKUP(ProjLoc,EmCost,5)+PARAMETERS!$CU$29*VLOOKUP(ProjLoc,EmCost,6)+PARAMETERS!$CV$29*VLOOKUP(ProjLoc,EmCost,7)),0)</f>
        <v>0</v>
      </c>
      <c r="Y135" s="808">
        <f>IF(INDEX(HwyTransitModelGroup,A114,1)=PARAMETERS!$J$11,C135*0.00000110231131*(PARAMETERS!$CQ$37*VLOOKUP(ProjLoc,EmCost,2)+PARAMETERS!$CR$37*VLOOKUP(ProjLoc,EmCost,3)*(1+CO2Uprater)^($B135-YearCurrent)+PARAMETERS!$CS$37*VLOOKUP(ProjLoc,EmCost,4)+PARAMETERS!$CT$37*VLOOKUP(ProjLoc,EmCost,5)+PARAMETERS!$CU$37*VLOOKUP(ProjLoc,EmCost,6)+PARAMETERS!$CV$37*VLOOKUP(ProjLoc,EmCost,7)),0)</f>
        <v>0</v>
      </c>
      <c r="Z135" s="844">
        <f>IF(INDEX(HwyTransitModelGroup,A114,1)=PARAMETERS!$J$11,D135*0.00000110231131*(PARAMETERS!$CQ$37*VLOOKUP(ProjLoc,EmCost,2)+PARAMETERS!$CR$37*VLOOKUP(ProjLoc,EmCost,3)*(1+CO2Uprater)^($B135-YearCurrent)+PARAMETERS!$CS$37*VLOOKUP(ProjLoc,EmCost,4)+PARAMETERS!$CT$37*VLOOKUP(ProjLoc,EmCost,5)+PARAMETERS!$CU$37*VLOOKUP(ProjLoc,EmCost,6)+PARAMETERS!$CV$37*VLOOKUP(ProjLoc,EmCost,7)),0)</f>
        <v>0</v>
      </c>
      <c r="AA135" s="369">
        <f t="shared" si="48"/>
        <v>-5469.3451989404166</v>
      </c>
      <c r="AB135" s="370">
        <f t="shared" si="49"/>
        <v>-2920.1281173623911</v>
      </c>
      <c r="AC135" s="371"/>
      <c r="AD135" s="401">
        <f>IF(INDEX(HwyTransitModelGroup,A114,1)=Hwy,0.00000110231131*(C135*(1-M135)*VLOOKUP(K135,EmAuto20,2)-D135*(1-N135)*VLOOKUP(L135,EmAuto20,2)+(O135*(1-M135)-P135*(1-N135))*VLOOKUP(0,EmAuto20,2))+0.00000110231131*(C135*M135*VLOOKUP(K135,EmTruck20,2)-D135*N135*VLOOKUP(L135,EmTruck20,2)+(O135*M135-P135*N135)*VLOOKUP(0,EmTruck20,2)),0)</f>
        <v>0.18881480159857827</v>
      </c>
      <c r="AE135" s="863">
        <f>IF(INDEX(HwyTransitModelGroup,A114,1)=Hwy,0.00000110231131*(C135*(1-M135)*VLOOKUP(K135,EmAuto20,3)-D135*(1-N135)*VLOOKUP(L135,EmAuto20,3)+(O135*(1-M135)-P135*(1-N135))*VLOOKUP(0,EmAuto20,3))+0.00000110231131*(C135*M135*VLOOKUP(K135,EmTruck20,3)-D135*N135*VLOOKUP(L135,EmTruck20,3)+(O135*M135-P135*N135)*VLOOKUP(0,EmTruck20,3)),0)</f>
        <v>-53.156835432377946</v>
      </c>
      <c r="AF135" s="861">
        <f>IF(INDEX(HwyTransitModelGroup,A114,1)=Hwy,0.00000110231131*(C135*(1-M135)*VLOOKUP(K135,EmAuto20,4)-D135*(1-N135)*VLOOKUP(L135,EmAuto20,4)+(O135*(1-M135)-P135*(1-N135))*VLOOKUP(0,EmAuto20,4))+0.00000110231131*(C135*M135*VLOOKUP(K135,EmTruck20,4)-D135*N135*VLOOKUP(L135,EmTruck20,4)+(O135*M135-P135*N135)*VLOOKUP(0,EmTruck20,4)),0)</f>
        <v>-9.745379064231327E-2</v>
      </c>
      <c r="AG135" s="863">
        <f>IF(INDEX(HwyTransitModelGroup,A114,1)=Hwy,0.00000110231131*(C135*(1-M135)*VLOOKUP(K135,EmAuto20,5)-D135*(1-N135)*VLOOKUP(L135,EmAuto20,5)+(O135*(1-M135)-P135*(1-N135))*VLOOKUP(0,EmAuto20,5))+0.00000110231131*(C135*M135*VLOOKUP(K135,EmTruck20,5)-D135*N135*VLOOKUP(L135,EmTruck20,5)+(O135*M135-P135*N135)*VLOOKUP(0,EmTruck20,5)),0)</f>
        <v>-4.1020368451957744E-3</v>
      </c>
      <c r="AH135" s="861">
        <f>IF(INDEX(HwyTransitModelGroup,A114,1)=Hwy,0.00000110231131*(C135*(1-M135)*VLOOKUP(K135,EmAuto20,6)-D135*(1-N135)*VLOOKUP(L135,EmAuto20,6)+(O135*(1-M135)-P135*(1-N135))*VLOOKUP(0,EmAuto20,6))+0.00000110231131*(C135*M135*VLOOKUP(K135,EmTruck20,6)-D135*N135*VLOOKUP(L135,EmTruck20,6)+(O135*M135-P135*N135)*VLOOKUP(0,EmTruck20,6)),0)</f>
        <v>-5.307073392749759E-4</v>
      </c>
      <c r="AI135" s="863">
        <f>IF(INDEX(HwyTransitModelGroup,A114,1)=Hwy,0.00000110231131*(C135*(1-M135)*VLOOKUP(K135,EmAuto20,7)-D135*(1-N135)*VLOOKUP(L135,EmAuto20,7)+(O135*(1-M135)-P135*(1-N135))*VLOOKUP(0,EmAuto20,7))+0.00000110231131*(C135*M135*VLOOKUP(K135,EmTruck20,7)-D135*N135*VLOOKUP(L135,EmTruck20,7)+(O135*M135-P135*N135)*VLOOKUP(0,EmTruck20,7)),0)</f>
        <v>-1.5982762659611102E-4</v>
      </c>
      <c r="AJ135" s="861">
        <f>IF(INDEX(HwyTransitModelGroup,A114,1)=Hwy,0.00000110231131*(C135*(1-M135)*VLOOKUP(K135,EmAuto20,8)-D135*(1-N135)*VLOOKUP(L135,EmAuto20,8)+(O135*(1-M135)-P135*(1-N135))*VLOOKUP(0,EmAuto20,8))+0.00000110231131*(C135*M135*VLOOKUP(K135,EmTruck20,8)-D135*N135*VLOOKUP(L135,EmTruck20,8)+(O135*M135-P135*N135)*VLOOKUP(0,EmTruck20,8)),0)</f>
        <v>-3.9271660731554888E-3</v>
      </c>
      <c r="AK135" s="401">
        <f>IF(INDEX(HwyTransitModelGroup,A114,1)=PARAMETERS!$J$9,0.00000110231131*(C135*VLOOKUP(K135,EmBus20,2)-D135*VLOOKUP(L135,EmBus20,2)+(O135-P135)*VLOOKUP(0,EmBus20,2)),0)</f>
        <v>0</v>
      </c>
      <c r="AL135" s="863">
        <f>IF(INDEX(HwyTransitModelGroup,A114,1)=PARAMETERS!$J$9,0.00000110231131*(C135*VLOOKUP(K135,EmBus20,3)-D135*VLOOKUP(L135,EmBus20,3)+(O135-P135)*VLOOKUP(0,EmBus20,3)),0)</f>
        <v>0</v>
      </c>
      <c r="AM135" s="861">
        <f>IF(INDEX(HwyTransitModelGroup,A114,1)=PARAMETERS!$J$9,0.00000110231131*(C135*VLOOKUP(K135,EmBus20,4)-D135*VLOOKUP(L135,EmBus20,4)+(O135-P135)*VLOOKUP(0,EmBus20,4)),0)</f>
        <v>0</v>
      </c>
      <c r="AN135" s="863">
        <f>IF(INDEX(HwyTransitModelGroup,A114,1)=PARAMETERS!$J$9,0.00000110231131*(C135*VLOOKUP(K135,EmBus20,5)-D135*VLOOKUP(L135,EmBus20,5)+(O135-P135)*VLOOKUP(0,EmBus20,5)),0)</f>
        <v>0</v>
      </c>
      <c r="AO135" s="861">
        <f>IF(INDEX(HwyTransitModelGroup,A114,1)=PARAMETERS!$J$9,0.00000110231131*(C135*VLOOKUP(K135,EmBus20,6)-D135*VLOOKUP(L135,EmBus20,6)+(O135-P135)*VLOOKUP(0,EmBus20,6)),0)</f>
        <v>0</v>
      </c>
      <c r="AP135" s="863">
        <f>IF(INDEX(HwyTransitModelGroup,A114,1)=PARAMETERS!$J$9,0.00000110231131*(C135*VLOOKUP(K135,EmBus20,7)-D135*VLOOKUP(L135,EmBus20,7)+(O135-P135)*VLOOKUP(0,EmBus20,7)),0)</f>
        <v>0</v>
      </c>
      <c r="AQ135" s="861">
        <f>IF(INDEX(HwyTransitModelGroup,A114,1)=PARAMETERS!$J$9,0.00000110231131*(C135*VLOOKUP(K135,EmBus20,8)-D135*VLOOKUP(L135,EmBus20,8)+(O135-P135)*VLOOKUP(0,EmBus20,8)),0)</f>
        <v>0</v>
      </c>
      <c r="AR135" s="401">
        <f>IF(INDEX(HwyTransitModelGroup,A114,1)=PARAMETERS!$J$10,0.00000110231131*((C135-D135)*PARAMETERS!$CQ$29),0)</f>
        <v>0</v>
      </c>
      <c r="AS135" s="863">
        <f>IF(INDEX(HwyTransitModelGroup,A114,1)=PARAMETERS!$J$10,0.00000110231131*((C135-D135)*PARAMETERS!$CR$29),0)</f>
        <v>0</v>
      </c>
      <c r="AT135" s="861">
        <f>IF(INDEX(HwyTransitModelGroup,A114,1)=PARAMETERS!$J$10,0.00000110231131*((C135-D135)*PARAMETERS!$CS$29),0)</f>
        <v>0</v>
      </c>
      <c r="AU135" s="863">
        <f>IF(INDEX(HwyTransitModelGroup,A114,1)=PARAMETERS!$J$10,0.00000110231131*((C135-D135)*PARAMETERS!$CT$29),0)</f>
        <v>0</v>
      </c>
      <c r="AV135" s="861">
        <f>IF(INDEX(HwyTransitModelGroup,A114,1)=PARAMETERS!$J$10,0.00000110231131*((C135-D135)*PARAMETERS!$CU$29),0)</f>
        <v>0</v>
      </c>
      <c r="AW135" s="863">
        <f>IF(INDEX(HwyTransitModelGroup,A114,1)=PARAMETERS!$J$10,0.00000110231131*((C135-D135)*PARAMETERS!$CV$29),0)</f>
        <v>0</v>
      </c>
      <c r="AX135" s="861">
        <f>IF(INDEX(HwyTransitModelGroup,A114,1)=PARAMETERS!$J$10,0.00000110231131*((C135-D135)*PARAMETERS!$CW$29),0)</f>
        <v>0</v>
      </c>
      <c r="AY135" s="401">
        <f>IF(INDEX(HwyTransitModelGroup,A114,1)=PARAMETERS!$J$11,0.00000110231131*((C135-D135)*PARAMETERS!$CQ$37),0)</f>
        <v>0</v>
      </c>
      <c r="AZ135" s="863">
        <f>IF(INDEX(HwyTransitModelGroup,A114,1)=PARAMETERS!$J$11,0.00000110231131*((C135-D135)*PARAMETERS!$CR$37),0)</f>
        <v>0</v>
      </c>
      <c r="BA135" s="861">
        <f>IF(INDEX(HwyTransitModelGroup,A114,1)=PARAMETERS!$J$11,0.00000110231131*((C135-D135)*PARAMETERS!$CS$37),0)</f>
        <v>0</v>
      </c>
      <c r="BB135" s="863">
        <f>IF(INDEX(HwyTransitModelGroup,A114,1)=PARAMETERS!$J$11,0.00000110231131*((C135-D135)*PARAMETERS!$CT$37),0)</f>
        <v>0</v>
      </c>
      <c r="BC135" s="861">
        <f>IF(INDEX(HwyTransitModelGroup,A114,1)=PARAMETERS!$J$11,0.00000110231131*((C135-D135)*PARAMETERS!$CU$37),0)</f>
        <v>0</v>
      </c>
      <c r="BD135" s="863">
        <f>IF(INDEX(HwyTransitModelGroup,A114,1)=PARAMETERS!$J$11,0.00000110231131*((C135-D135)*PARAMETERS!$CV$37),0)</f>
        <v>0</v>
      </c>
      <c r="BE135" s="865">
        <f>IF(INDEX(HwyTransitModelGroup,A114,1)=PARAMETERS!$J$11,0.00000110231131*((C135-D135)*PARAMETERS!$CW$37),0)</f>
        <v>0</v>
      </c>
      <c r="BF135" s="729">
        <f t="shared" si="50"/>
        <v>8.0647813011184759</v>
      </c>
      <c r="BG135" s="867">
        <f t="shared" si="51"/>
        <v>-1870.120862578282</v>
      </c>
      <c r="BH135" s="867">
        <f t="shared" si="52"/>
        <v>-785.67377119016123</v>
      </c>
      <c r="BI135" s="867">
        <f t="shared" si="53"/>
        <v>-255.58595470532131</v>
      </c>
      <c r="BJ135" s="867">
        <f t="shared" si="54"/>
        <v>-16.717590252787957</v>
      </c>
      <c r="BK135" s="869">
        <f t="shared" si="55"/>
        <v>-9.4719936959541465E-2</v>
      </c>
      <c r="BL135" s="392"/>
      <c r="BN135" s="375">
        <f t="shared" si="60"/>
        <v>2035</v>
      </c>
      <c r="BO135" s="871">
        <f t="shared" ca="1" si="58"/>
        <v>-3.2588017701012449E-3</v>
      </c>
      <c r="BP135" s="871">
        <f t="shared" ca="1" si="59"/>
        <v>-7.8118469927713746E-3</v>
      </c>
      <c r="BQ135" s="871">
        <f t="shared" ca="1" si="59"/>
        <v>1.8245437971233576E-2</v>
      </c>
      <c r="BR135" s="871">
        <f t="shared" ca="1" si="59"/>
        <v>-9.5758622305695942E-2</v>
      </c>
      <c r="BS135" s="871">
        <f t="shared" ca="1" si="59"/>
        <v>0.46565447389111786</v>
      </c>
      <c r="BT135" s="871">
        <f t="shared" ca="1" si="59"/>
        <v>0.58731604383490321</v>
      </c>
    </row>
    <row r="136" spans="2:72" x14ac:dyDescent="0.25">
      <c r="B136" s="375">
        <f t="shared" si="57"/>
        <v>2039</v>
      </c>
      <c r="C136" s="401">
        <f>MAX(TREND(C120:C121,B120:B121,B136),0)</f>
        <v>1070745.75</v>
      </c>
      <c r="D136" s="402">
        <f>MAX(TREND(D120:D121,B120:B121,B136),0)</f>
        <v>882497</v>
      </c>
      <c r="E136" s="401">
        <f>MAX(TREND(E120:E121,B120:B121,B136),0)</f>
        <v>24966</v>
      </c>
      <c r="F136" s="402">
        <f>MAX(TREND(F120:F121,B120:B121,B136),0)</f>
        <v>11753</v>
      </c>
      <c r="G136" s="401">
        <f>MAX(TREND(G120:G121,B120:B121,B136),0)</f>
        <v>0</v>
      </c>
      <c r="H136" s="402">
        <f>MAX(TREND(H120:H121,B120:B121,B136),0)</f>
        <v>0</v>
      </c>
      <c r="I136" s="401">
        <f>MAX(TREND(I120:I121,B120:B121,B136),0)</f>
        <v>0</v>
      </c>
      <c r="J136" s="402">
        <f>MAX(TREND(J120:J121,B120:B121,B136),0)</f>
        <v>0</v>
      </c>
      <c r="K136" s="435">
        <f>IFERROR(IF(INDEX(HwyTransitModelGroup,A114,1)=Hwy,MAX(5,ROUND(C136/E136,1)),MAX(5,ROUND(G136/I136,1))),55)</f>
        <v>42.9</v>
      </c>
      <c r="L136" s="436">
        <f>IFERROR(IF(INDEX(HwyTransitModelGroup,A114,1)=Hwy,MAX(5,ROUND(D136/F136,1)),MAX(5,ROUND(H136/J136,1))),55)</f>
        <v>75.099999999999994</v>
      </c>
      <c r="M136" s="405">
        <f>MIN(MAX(TREND(M120:M121,B120:B121,B136),0),1)</f>
        <v>0.24</v>
      </c>
      <c r="N136" s="406">
        <f>MIN(MAX(TREND(N120:N121,B120:B121,B136),0),1)</f>
        <v>0.24</v>
      </c>
      <c r="O136" s="401">
        <f>MAX(TREND(O120:O121,B120:B121,B136),0)</f>
        <v>0</v>
      </c>
      <c r="P136" s="402">
        <f>MAX(TREND(P120:P121,B120:B121,B136),0)</f>
        <v>0</v>
      </c>
      <c r="Q136" s="729">
        <f>IF(INDEX(HwyTransitModelGroup,A114,1)=Hwy,C136*(1-M136)*0.00000110231131*(VLOOKUP(K136,EmAuto20,2)*VLOOKUP(ProjLoc,EmCost,2)+VLOOKUP(K136,EmAuto20,3)*VLOOKUP(ProjLoc,EmCost,3)*(1+CO2Uprater)^($B136-YearCurrent)+VLOOKUP(K136,EmAuto20,4)*VLOOKUP(ProjLoc,EmCost,4)+VLOOKUP(K136,EmAuto20,5)*VLOOKUP(ProjLoc,EmCost,5)+VLOOKUP(K136,EmAuto20,6)*VLOOKUP(ProjLoc,EmCost,6)+VLOOKUP(K136,EmAuto20,7)*VLOOKUP(ProjLoc,EmCost,7))+C136*M136*0.00000110231131*(VLOOKUP(K136,EmTruck20,2)*VLOOKUP(ProjLoc,EmCost,2)+VLOOKUP(K136,EmTruck20,3)*VLOOKUP(ProjLoc,EmCost,3)*(1+CO2Uprater)^($B136-YearCurrent)+VLOOKUP(K136,EmTruck20,4)*VLOOKUP(ProjLoc,EmCost,4)+VLOOKUP(K136,EmTruck20,5)*VLOOKUP(ProjLoc,EmCost,5)+VLOOKUP(K136,EmTruck20,6)*VLOOKUP(ProjLoc,EmCost,6)+VLOOKUP(K136,EmTruck20,7)*VLOOKUP(ProjLoc,EmCost,7)),0)</f>
        <v>27462.610525126132</v>
      </c>
      <c r="R136" s="802">
        <f>IF(INDEX(HwyTransitModelGroup,A114,1)=Hwy,D136*(1-N136)*0.00000110231131*(VLOOKUP(L136,EmAuto20,2)*VLOOKUP(ProjLoc,EmCost,2)+VLOOKUP(L136,EmAuto20,3)*VLOOKUP(ProjLoc,EmCost,3)*(1+CO2Uprater)^($B136-YearCurrent)+VLOOKUP(L136,EmAuto20,4)*VLOOKUP(ProjLoc,EmCost,4)+VLOOKUP(L136,EmAuto20,5)*VLOOKUP(ProjLoc,EmCost,5)+VLOOKUP(L136,EmAuto20,6)*VLOOKUP(ProjLoc,EmCost,6)+VLOOKUP(L136,EmAuto20,7)*VLOOKUP(ProjLoc,EmCost,7))+D136*N136*0.00000110231131*(VLOOKUP(L136,EmTruck20,2)*VLOOKUP(ProjLoc,EmCost,2)+VLOOKUP(L136,EmTruck20,3)*VLOOKUP(ProjLoc,EmCost,3)*(1+CO2Uprater)^($B136-YearCurrent)+VLOOKUP(L136,EmTruck20,4)*VLOOKUP(ProjLoc,EmCost,4)+VLOOKUP(L136,EmTruck20,5)*VLOOKUP(ProjLoc,EmCost,5)+VLOOKUP(L136,EmTruck20,6)*VLOOKUP(ProjLoc,EmCost,6)+VLOOKUP(L136,EmTruck20,7)*VLOOKUP(ProjLoc,EmCost,7)),0)</f>
        <v>33062.912689607598</v>
      </c>
      <c r="S136" s="729">
        <f>IF(INDEX(HwyTransitModelGroup,A114,1)=Hwy,O136*(1-M136)*0.00000110231131*(VLOOKUP(0,EmAuto20,2)*VLOOKUP(ProjLoc,EmCost,2)+VLOOKUP(0,EmAuto20,3)*VLOOKUP(ProjLoc,EmCost,3)*(1+CO2Uprater)^($B136-YearCurrent)+VLOOKUP(0,EmAuto20,4)*VLOOKUP(ProjLoc,EmCost,4)+VLOOKUP(0,EmAuto20,5)*VLOOKUP(ProjLoc,EmCost,5)+VLOOKUP(0,EmAuto20,6)*VLOOKUP(ProjLoc,EmCost,6)+VLOOKUP(0,EmAuto20,7)*VLOOKUP(ProjLoc,EmCost,7))+O136*M136*0.00000110231131*(VLOOKUP(0,EmTruck20,2)*VLOOKUP(ProjLoc,EmCost,2)+VLOOKUP(0,EmTruck20,3)*VLOOKUP(ProjLoc,EmCost,3)*(1+CO2Uprater)^($B136-YearCurrent)+VLOOKUP(0,EmTruck20,4)*VLOOKUP(ProjLoc,EmCost,4)+VLOOKUP(0,EmTruck20,5)*VLOOKUP(ProjLoc,EmCost,5)+VLOOKUP(0,EmTruck20,6)*VLOOKUP(ProjLoc,EmCost,6)+VLOOKUP(0,EmTruck20,7)*VLOOKUP(ProjLoc,EmCost,7)),0)</f>
        <v>0</v>
      </c>
      <c r="T136" s="802">
        <f>IF(INDEX(HwyTransitModelGroup,A114,1)=Hwy,P136*(1-N136)*0.00000110231131*(VLOOKUP(0,EmAuto20,2)*VLOOKUP(ProjLoc,EmCost,2)+VLOOKUP(0,EmAuto20,3)*VLOOKUP(ProjLoc,EmCost,3)*(1+CO2Uprater)^($B136-YearCurrent)+VLOOKUP(0,EmAuto20,4)*VLOOKUP(ProjLoc,EmCost,4)+VLOOKUP(0,EmAuto20,5)*VLOOKUP(ProjLoc,EmCost,5)+VLOOKUP(0,EmAuto20,6)*VLOOKUP(ProjLoc,EmCost,6)+VLOOKUP(0,EmAuto20,7)*VLOOKUP(ProjLoc,EmCost,7))+P136*N136*0.00000110231131*(VLOOKUP(0,EmTruck20,2)*VLOOKUP(ProjLoc,EmCost,2)+VLOOKUP(0,EmTruck20,3)*VLOOKUP(ProjLoc,EmCost,3)*(1+CO2Uprater)^($B136-YearCurrent)+VLOOKUP(0,EmTruck20,4)*VLOOKUP(ProjLoc,EmCost,4)+VLOOKUP(0,EmTruck20,5)*VLOOKUP(ProjLoc,EmCost,5)+VLOOKUP(0,EmTruck20,6)*VLOOKUP(ProjLoc,EmCost,6)+VLOOKUP(0,EmTruck20,7)*VLOOKUP(ProjLoc,EmCost,7)),0)</f>
        <v>0</v>
      </c>
      <c r="U136" s="729">
        <f>IF(INDEX(HwyTransitModelGroup,A114,1)=PARAMETERS!$J$9,C136*0.00000110231131*(VLOOKUP(K136,EmBus20,2)*VLOOKUP(ProjLoc,EmCost,2)+VLOOKUP(K136,EmBus20,3)*VLOOKUP(ProjLoc,EmCost,3)*(1+CO2Uprater)^($B136-YearCurrent)+VLOOKUP(K136,EmBus20,4)*VLOOKUP(ProjLoc,EmCost,4)+VLOOKUP(K136,EmBus20,5)*VLOOKUP(ProjLoc,EmCost,5)+VLOOKUP(K136,EmBus20,6)*VLOOKUP(ProjLoc,EmCost,6)+VLOOKUP(K136,EmBus20,7)*VLOOKUP(ProjLoc,EmCost,7)),0)</f>
        <v>0</v>
      </c>
      <c r="V136" s="802">
        <f>IF(INDEX(HwyTransitModelGroup,A114,1)=PARAMETERS!$J$9,D136*0.00000110231131*(VLOOKUP(L136,EmBus20,2)*VLOOKUP(ProjLoc,EmCost,2)+VLOOKUP(L136,EmBus20,3)*VLOOKUP(ProjLoc,EmCost,3)*(1+CO2Uprater)^($B136-YearCurrent)+VLOOKUP(L136,EmBus20,4)*VLOOKUP(ProjLoc,EmCost,4)+VLOOKUP(L136,EmBus20,5)*VLOOKUP(ProjLoc,EmCost,5)+VLOOKUP(L136,EmBus20,6)*VLOOKUP(ProjLoc,EmCost,6)+VLOOKUP(L136,EmBus20,7)*VLOOKUP(ProjLoc,EmCost,7)),0)</f>
        <v>0</v>
      </c>
      <c r="W136" s="808">
        <f>IF(INDEX(HwyTransitModelGroup,A114,1)=PARAMETERS!$J$10,C136*0.00000110231131*(PARAMETERS!$CQ$29*VLOOKUP(ProjLoc,EmCost,2)+PARAMETERS!$CR$29*VLOOKUP(ProjLoc,EmCost,3)*(1+CO2Uprater)^($B136-YearCurrent)+PARAMETERS!$CS$29*VLOOKUP(ProjLoc,EmCost,4)+PARAMETERS!$CT$29*VLOOKUP(ProjLoc,EmCost,5)+PARAMETERS!$CU$29*VLOOKUP(ProjLoc,EmCost,6)+PARAMETERS!$CV$29*VLOOKUP(ProjLoc,EmCost,7)),0)</f>
        <v>0</v>
      </c>
      <c r="X136" s="844">
        <f>IF(INDEX(HwyTransitModelGroup,A114,1)=PARAMETERS!$J$10,D136*0.00000110231131*(PARAMETERS!$CQ$29*VLOOKUP(ProjLoc,EmCost,2)+PARAMETERS!$CR$29*VLOOKUP(ProjLoc,EmCost,3)*(1+CO2Uprater)^($B136-YearCurrent)+PARAMETERS!$CS$29*VLOOKUP(ProjLoc,EmCost,4)+PARAMETERS!$CT$29*VLOOKUP(ProjLoc,EmCost,5)+PARAMETERS!$CU$29*VLOOKUP(ProjLoc,EmCost,6)+PARAMETERS!$CV$29*VLOOKUP(ProjLoc,EmCost,7)),0)</f>
        <v>0</v>
      </c>
      <c r="Y136" s="808">
        <f>IF(INDEX(HwyTransitModelGroup,A114,1)=PARAMETERS!$J$11,C136*0.00000110231131*(PARAMETERS!$CQ$37*VLOOKUP(ProjLoc,EmCost,2)+PARAMETERS!$CR$37*VLOOKUP(ProjLoc,EmCost,3)*(1+CO2Uprater)^($B136-YearCurrent)+PARAMETERS!$CS$37*VLOOKUP(ProjLoc,EmCost,4)+PARAMETERS!$CT$37*VLOOKUP(ProjLoc,EmCost,5)+PARAMETERS!$CU$37*VLOOKUP(ProjLoc,EmCost,6)+PARAMETERS!$CV$37*VLOOKUP(ProjLoc,EmCost,7)),0)</f>
        <v>0</v>
      </c>
      <c r="Z136" s="844">
        <f>IF(INDEX(HwyTransitModelGroup,A114,1)=PARAMETERS!$J$11,D136*0.00000110231131*(PARAMETERS!$CQ$37*VLOOKUP(ProjLoc,EmCost,2)+PARAMETERS!$CR$37*VLOOKUP(ProjLoc,EmCost,3)*(1+CO2Uprater)^($B136-YearCurrent)+PARAMETERS!$CS$37*VLOOKUP(ProjLoc,EmCost,4)+PARAMETERS!$CT$37*VLOOKUP(ProjLoc,EmCost,5)+PARAMETERS!$CU$37*VLOOKUP(ProjLoc,EmCost,6)+PARAMETERS!$CV$37*VLOOKUP(ProjLoc,EmCost,7)),0)</f>
        <v>0</v>
      </c>
      <c r="AA136" s="369">
        <f t="shared" si="48"/>
        <v>-5600.3021644814653</v>
      </c>
      <c r="AB136" s="370">
        <f t="shared" si="49"/>
        <v>-2875.0452999305444</v>
      </c>
      <c r="AC136" s="371"/>
      <c r="AD136" s="401">
        <f>IF(INDEX(HwyTransitModelGroup,A114,1)=Hwy,0.00000110231131*(C136*(1-M136)*VLOOKUP(K136,EmAuto20,2)-D136*(1-N136)*VLOOKUP(L136,EmAuto20,2)+(O136*(1-M136)-P136*(1-N136))*VLOOKUP(0,EmAuto20,2))+0.00000110231131*(C136*M136*VLOOKUP(K136,EmTruck20,2)-D136*N136*VLOOKUP(L136,EmTruck20,2)+(O136*M136-P136*N136)*VLOOKUP(0,EmTruck20,2)),0)</f>
        <v>0.19092875404821041</v>
      </c>
      <c r="AE136" s="863">
        <f>IF(INDEX(HwyTransitModelGroup,A114,1)=Hwy,0.00000110231131*(C136*(1-M136)*VLOOKUP(K136,EmAuto20,3)-D136*(1-N136)*VLOOKUP(L136,EmAuto20,3)+(O136*(1-M136)-P136*(1-N136))*VLOOKUP(0,EmAuto20,3))+0.00000110231131*(C136*M136*VLOOKUP(K136,EmTruck20,3)-D136*N136*VLOOKUP(L136,EmTruck20,3)+(O136*M136-P136*N136)*VLOOKUP(0,EmTruck20,3)),0)</f>
        <v>-53.738338765673227</v>
      </c>
      <c r="AF136" s="861">
        <f>IF(INDEX(HwyTransitModelGroup,A114,1)=Hwy,0.00000110231131*(C136*(1-M136)*VLOOKUP(K136,EmAuto20,4)-D136*(1-N136)*VLOOKUP(L136,EmAuto20,4)+(O136*(1-M136)-P136*(1-N136))*VLOOKUP(0,EmAuto20,4))+0.00000110231131*(C136*M136*VLOOKUP(K136,EmTruck20,4)-D136*N136*VLOOKUP(L136,EmTruck20,4)+(O136*M136-P136*N136)*VLOOKUP(0,EmTruck20,4)),0)</f>
        <v>-9.8534824803202678E-2</v>
      </c>
      <c r="AG136" s="863">
        <f>IF(INDEX(HwyTransitModelGroup,A114,1)=Hwy,0.00000110231131*(C136*(1-M136)*VLOOKUP(K136,EmAuto20,5)-D136*(1-N136)*VLOOKUP(L136,EmAuto20,5)+(O136*(1-M136)-P136*(1-N136))*VLOOKUP(0,EmAuto20,5))+0.00000110231131*(C136*M136*VLOOKUP(K136,EmTruck20,5)-D136*N136*VLOOKUP(L136,EmTruck20,5)+(O136*M136-P136*N136)*VLOOKUP(0,EmTruck20,5)),0)</f>
        <v>-4.1476249532643892E-3</v>
      </c>
      <c r="AH136" s="861">
        <f>IF(INDEX(HwyTransitModelGroup,A114,1)=Hwy,0.00000110231131*(C136*(1-M136)*VLOOKUP(K136,EmAuto20,6)-D136*(1-N136)*VLOOKUP(L136,EmAuto20,6)+(O136*(1-M136)-P136*(1-N136))*VLOOKUP(0,EmAuto20,6))+0.00000110231131*(C136*M136*VLOOKUP(K136,EmTruck20,6)-D136*N136*VLOOKUP(L136,EmTruck20,6)+(O136*M136-P136*N136)*VLOOKUP(0,EmTruck20,6)),0)</f>
        <v>-5.3651718126546198E-4</v>
      </c>
      <c r="AI136" s="863">
        <f>IF(INDEX(HwyTransitModelGroup,A114,1)=Hwy,0.00000110231131*(C136*(1-M136)*VLOOKUP(K136,EmAuto20,7)-D136*(1-N136)*VLOOKUP(L136,EmAuto20,7)+(O136*(1-M136)-P136*(1-N136))*VLOOKUP(0,EmAuto20,7))+0.00000110231131*(C136*M136*VLOOKUP(K136,EmTruck20,7)-D136*N136*VLOOKUP(L136,EmTruck20,7)+(O136*M136-P136*N136)*VLOOKUP(0,EmTruck20,7)),0)</f>
        <v>-1.6141720580220662E-4</v>
      </c>
      <c r="AJ136" s="861">
        <f>IF(INDEX(HwyTransitModelGroup,A114,1)=Hwy,0.00000110231131*(C136*(1-M136)*VLOOKUP(K136,EmAuto20,8)-D136*(1-N136)*VLOOKUP(L136,EmAuto20,8)+(O136*(1-M136)-P136*(1-N136))*VLOOKUP(0,EmAuto20,8))+0.00000110231131*(C136*M136*VLOOKUP(K136,EmTruck20,8)-D136*N136*VLOOKUP(L136,EmTruck20,8)+(O136*M136-P136*N136)*VLOOKUP(0,EmTruck20,8)),0)</f>
        <v>-3.9708103786877851E-3</v>
      </c>
      <c r="AK136" s="401">
        <f>IF(INDEX(HwyTransitModelGroup,A114,1)=PARAMETERS!$J$9,0.00000110231131*(C136*VLOOKUP(K136,EmBus20,2)-D136*VLOOKUP(L136,EmBus20,2)+(O136-P136)*VLOOKUP(0,EmBus20,2)),0)</f>
        <v>0</v>
      </c>
      <c r="AL136" s="863">
        <f>IF(INDEX(HwyTransitModelGroup,A114,1)=PARAMETERS!$J$9,0.00000110231131*(C136*VLOOKUP(K136,EmBus20,3)-D136*VLOOKUP(L136,EmBus20,3)+(O136-P136)*VLOOKUP(0,EmBus20,3)),0)</f>
        <v>0</v>
      </c>
      <c r="AM136" s="861">
        <f>IF(INDEX(HwyTransitModelGroup,A114,1)=PARAMETERS!$J$9,0.00000110231131*(C136*VLOOKUP(K136,EmBus20,4)-D136*VLOOKUP(L136,EmBus20,4)+(O136-P136)*VLOOKUP(0,EmBus20,4)),0)</f>
        <v>0</v>
      </c>
      <c r="AN136" s="863">
        <f>IF(INDEX(HwyTransitModelGroup,A114,1)=PARAMETERS!$J$9,0.00000110231131*(C136*VLOOKUP(K136,EmBus20,5)-D136*VLOOKUP(L136,EmBus20,5)+(O136-P136)*VLOOKUP(0,EmBus20,5)),0)</f>
        <v>0</v>
      </c>
      <c r="AO136" s="861">
        <f>IF(INDEX(HwyTransitModelGroup,A114,1)=PARAMETERS!$J$9,0.00000110231131*(C136*VLOOKUP(K136,EmBus20,6)-D136*VLOOKUP(L136,EmBus20,6)+(O136-P136)*VLOOKUP(0,EmBus20,6)),0)</f>
        <v>0</v>
      </c>
      <c r="AP136" s="863">
        <f>IF(INDEX(HwyTransitModelGroup,A114,1)=PARAMETERS!$J$9,0.00000110231131*(C136*VLOOKUP(K136,EmBus20,7)-D136*VLOOKUP(L136,EmBus20,7)+(O136-P136)*VLOOKUP(0,EmBus20,7)),0)</f>
        <v>0</v>
      </c>
      <c r="AQ136" s="861">
        <f>IF(INDEX(HwyTransitModelGroup,A114,1)=PARAMETERS!$J$9,0.00000110231131*(C136*VLOOKUP(K136,EmBus20,8)-D136*VLOOKUP(L136,EmBus20,8)+(O136-P136)*VLOOKUP(0,EmBus20,8)),0)</f>
        <v>0</v>
      </c>
      <c r="AR136" s="401">
        <f>IF(INDEX(HwyTransitModelGroup,A114,1)=PARAMETERS!$J$10,0.00000110231131*((C136-D136)*PARAMETERS!$CQ$29),0)</f>
        <v>0</v>
      </c>
      <c r="AS136" s="863">
        <f>IF(INDEX(HwyTransitModelGroup,A114,1)=PARAMETERS!$J$10,0.00000110231131*((C136-D136)*PARAMETERS!$CR$29),0)</f>
        <v>0</v>
      </c>
      <c r="AT136" s="861">
        <f>IF(INDEX(HwyTransitModelGroup,A114,1)=PARAMETERS!$J$10,0.00000110231131*((C136-D136)*PARAMETERS!$CS$29),0)</f>
        <v>0</v>
      </c>
      <c r="AU136" s="863">
        <f>IF(INDEX(HwyTransitModelGroup,A114,1)=PARAMETERS!$J$10,0.00000110231131*((C136-D136)*PARAMETERS!$CT$29),0)</f>
        <v>0</v>
      </c>
      <c r="AV136" s="861">
        <f>IF(INDEX(HwyTransitModelGroup,A114,1)=PARAMETERS!$J$10,0.00000110231131*((C136-D136)*PARAMETERS!$CU$29),0)</f>
        <v>0</v>
      </c>
      <c r="AW136" s="863">
        <f>IF(INDEX(HwyTransitModelGroup,A114,1)=PARAMETERS!$J$10,0.00000110231131*((C136-D136)*PARAMETERS!$CV$29),0)</f>
        <v>0</v>
      </c>
      <c r="AX136" s="861">
        <f>IF(INDEX(HwyTransitModelGroup,A114,1)=PARAMETERS!$J$10,0.00000110231131*((C136-D136)*PARAMETERS!$CW$29),0)</f>
        <v>0</v>
      </c>
      <c r="AY136" s="401">
        <f>IF(INDEX(HwyTransitModelGroup,A114,1)=PARAMETERS!$J$11,0.00000110231131*((C136-D136)*PARAMETERS!$CQ$37),0)</f>
        <v>0</v>
      </c>
      <c r="AZ136" s="863">
        <f>IF(INDEX(HwyTransitModelGroup,A114,1)=PARAMETERS!$J$11,0.00000110231131*((C136-D136)*PARAMETERS!$CR$37),0)</f>
        <v>0</v>
      </c>
      <c r="BA136" s="861">
        <f>IF(INDEX(HwyTransitModelGroup,A114,1)=PARAMETERS!$J$11,0.00000110231131*((C136-D136)*PARAMETERS!$CS$37),0)</f>
        <v>0</v>
      </c>
      <c r="BB136" s="863">
        <f>IF(INDEX(HwyTransitModelGroup,A114,1)=PARAMETERS!$J$11,0.00000110231131*((C136-D136)*PARAMETERS!$CT$37),0)</f>
        <v>0</v>
      </c>
      <c r="BC136" s="861">
        <f>IF(INDEX(HwyTransitModelGroup,A114,1)=PARAMETERS!$J$11,0.00000110231131*((C136-D136)*PARAMETERS!$CU$37),0)</f>
        <v>0</v>
      </c>
      <c r="BD136" s="863">
        <f>IF(INDEX(HwyTransitModelGroup,A114,1)=PARAMETERS!$J$11,0.00000110231131*((C136-D136)*PARAMETERS!$CV$37),0)</f>
        <v>0</v>
      </c>
      <c r="BE136" s="865">
        <f>IF(INDEX(HwyTransitModelGroup,A114,1)=PARAMETERS!$J$11,0.00000110231131*((C136-D136)*PARAMETERS!$CW$37),0)</f>
        <v>0</v>
      </c>
      <c r="BF136" s="729">
        <f t="shared" si="50"/>
        <v>7.8414171353731277</v>
      </c>
      <c r="BG136" s="867">
        <f t="shared" si="51"/>
        <v>-1854.2215578657826</v>
      </c>
      <c r="BH136" s="867">
        <f t="shared" si="52"/>
        <v>-763.83565686370071</v>
      </c>
      <c r="BI136" s="867">
        <f t="shared" si="53"/>
        <v>-248.48693922002701</v>
      </c>
      <c r="BJ136" s="867">
        <f t="shared" si="54"/>
        <v>-16.250580441288076</v>
      </c>
      <c r="BK136" s="869">
        <f t="shared" si="55"/>
        <v>-9.1982675115692233E-2</v>
      </c>
      <c r="BL136" s="392"/>
      <c r="BN136" s="375">
        <f t="shared" si="60"/>
        <v>2036</v>
      </c>
      <c r="BO136" s="871">
        <f t="shared" ca="1" si="58"/>
        <v>-3.9615244486875421E-3</v>
      </c>
      <c r="BP136" s="871">
        <f t="shared" ref="BP136:BT145" ca="1" si="61">OFFSET($AF19,MATCH(BP$122,$A:$A),0)+OFFSET($AM19,MATCH(BP$122,$A:$A),0)+OFFSET($AT19,MATCH(BP$122,$A:$A),0)+OFFSET($BA19,MATCH(BP$122,$A:$A),0)</f>
        <v>-7.9394234783535089E-3</v>
      </c>
      <c r="BQ136" s="871">
        <f t="shared" ca="1" si="61"/>
        <v>1.8542599962487888E-2</v>
      </c>
      <c r="BR136" s="871">
        <f t="shared" ca="1" si="61"/>
        <v>-9.6857514166645911E-2</v>
      </c>
      <c r="BS136" s="871">
        <f t="shared" ca="1" si="61"/>
        <v>0.48298363548594031</v>
      </c>
      <c r="BT136" s="871">
        <f t="shared" ca="1" si="61"/>
        <v>0.60142384358500411</v>
      </c>
    </row>
    <row r="137" spans="2:72" x14ac:dyDescent="0.25">
      <c r="B137" s="375">
        <f t="shared" si="57"/>
        <v>2040</v>
      </c>
      <c r="C137" s="401">
        <f>MAX(TREND(C120:C121,B120:B121,B137),0)</f>
        <v>1082553.5</v>
      </c>
      <c r="D137" s="402">
        <f>MAX(TREND(D120:D121,B120:B121,B137),0)</f>
        <v>892206</v>
      </c>
      <c r="E137" s="401">
        <f>MAX(TREND(E120:E121,B120:B121,B137),0)</f>
        <v>25258</v>
      </c>
      <c r="F137" s="402">
        <f>MAX(TREND(F120:F121,B120:B121,B137),0)</f>
        <v>11899</v>
      </c>
      <c r="G137" s="401">
        <f>MAX(TREND(G120:G121,B120:B121,B137),0)</f>
        <v>0</v>
      </c>
      <c r="H137" s="402">
        <f>MAX(TREND(H120:H121,B120:B121,B137),0)</f>
        <v>0</v>
      </c>
      <c r="I137" s="401">
        <f>MAX(TREND(I120:I121,B120:B121,B137),0)</f>
        <v>0</v>
      </c>
      <c r="J137" s="402">
        <f>MAX(TREND(J120:J121,B120:B121,B137),0)</f>
        <v>0</v>
      </c>
      <c r="K137" s="435">
        <f>IFERROR(IF(INDEX(HwyTransitModelGroup,A114,1)=Hwy,MAX(5,ROUND(C137/E137,1)),MAX(5,ROUND(G137/I137,1))),55)</f>
        <v>42.9</v>
      </c>
      <c r="L137" s="436">
        <f>IFERROR(IF(INDEX(HwyTransitModelGroup,A114,1)=Hwy,MAX(5,ROUND(D137/F137,1)),MAX(5,ROUND(H137/J137,1))),55)</f>
        <v>75</v>
      </c>
      <c r="M137" s="405">
        <f>MIN(MAX(TREND(M120:M121,B120:B121,B137),0),1)</f>
        <v>0.24</v>
      </c>
      <c r="N137" s="406">
        <f>MIN(MAX(TREND(N120:N121,B120:B121,B137),0),1)</f>
        <v>0.24</v>
      </c>
      <c r="O137" s="401">
        <f>MAX(TREND(O120:O121,B120:B121,B137),0)</f>
        <v>0</v>
      </c>
      <c r="P137" s="402">
        <f>MAX(TREND(P120:P121,B120:B121,B137),0)</f>
        <v>0</v>
      </c>
      <c r="Q137" s="729">
        <f>IF(INDEX(HwyTransitModelGroup,A114,1)=Hwy,C137*(1-M137)*0.00000110231131*(VLOOKUP(K137,EmAuto20,2)*VLOOKUP(ProjLoc,EmCost,2)+VLOOKUP(K137,EmAuto20,3)*VLOOKUP(ProjLoc,EmCost,3)*(1+CO2Uprater)^($B137-YearCurrent)+VLOOKUP(K137,EmAuto20,4)*VLOOKUP(ProjLoc,EmCost,4)+VLOOKUP(K137,EmAuto20,5)*VLOOKUP(ProjLoc,EmCost,5)+VLOOKUP(K137,EmAuto20,6)*VLOOKUP(ProjLoc,EmCost,6)+VLOOKUP(K137,EmAuto20,7)*VLOOKUP(ProjLoc,EmCost,7))+C137*M137*0.00000110231131*(VLOOKUP(K137,EmTruck20,2)*VLOOKUP(ProjLoc,EmCost,2)+VLOOKUP(K137,EmTruck20,3)*VLOOKUP(ProjLoc,EmCost,3)*(1+CO2Uprater)^($B137-YearCurrent)+VLOOKUP(K137,EmTruck20,4)*VLOOKUP(ProjLoc,EmCost,4)+VLOOKUP(K137,EmTruck20,5)*VLOOKUP(ProjLoc,EmCost,5)+VLOOKUP(K137,EmTruck20,6)*VLOOKUP(ProjLoc,EmCost,6)+VLOOKUP(K137,EmTruck20,7)*VLOOKUP(ProjLoc,EmCost,7)),0)</f>
        <v>28275.901965926831</v>
      </c>
      <c r="R137" s="802">
        <f>IF(INDEX(HwyTransitModelGroup,A114,1)=Hwy,D137*(1-N137)*0.00000110231131*(VLOOKUP(L137,EmAuto20,2)*VLOOKUP(ProjLoc,EmCost,2)+VLOOKUP(L137,EmAuto20,3)*VLOOKUP(ProjLoc,EmCost,3)*(1+CO2Uprater)^($B137-YearCurrent)+VLOOKUP(L137,EmAuto20,4)*VLOOKUP(ProjLoc,EmCost,4)+VLOOKUP(L137,EmAuto20,5)*VLOOKUP(ProjLoc,EmCost,5)+VLOOKUP(L137,EmAuto20,6)*VLOOKUP(ProjLoc,EmCost,6)+VLOOKUP(L137,EmAuto20,7)*VLOOKUP(ProjLoc,EmCost,7))+D137*N137*0.00000110231131*(VLOOKUP(L137,EmTruck20,2)*VLOOKUP(ProjLoc,EmCost,2)+VLOOKUP(L137,EmTruck20,3)*VLOOKUP(ProjLoc,EmCost,3)*(1+CO2Uprater)^($B137-YearCurrent)+VLOOKUP(L137,EmTruck20,4)*VLOOKUP(ProjLoc,EmCost,4)+VLOOKUP(L137,EmTruck20,5)*VLOOKUP(ProjLoc,EmCost,5)+VLOOKUP(L137,EmTruck20,6)*VLOOKUP(ProjLoc,EmCost,6)+VLOOKUP(L137,EmTruck20,7)*VLOOKUP(ProjLoc,EmCost,7)),0)</f>
        <v>34010.12552697162</v>
      </c>
      <c r="S137" s="729">
        <f>IF(INDEX(HwyTransitModelGroup,A114,1)=Hwy,O137*(1-M137)*0.00000110231131*(VLOOKUP(0,EmAuto20,2)*VLOOKUP(ProjLoc,EmCost,2)+VLOOKUP(0,EmAuto20,3)*VLOOKUP(ProjLoc,EmCost,3)*(1+CO2Uprater)^($B137-YearCurrent)+VLOOKUP(0,EmAuto20,4)*VLOOKUP(ProjLoc,EmCost,4)+VLOOKUP(0,EmAuto20,5)*VLOOKUP(ProjLoc,EmCost,5)+VLOOKUP(0,EmAuto20,6)*VLOOKUP(ProjLoc,EmCost,6)+VLOOKUP(0,EmAuto20,7)*VLOOKUP(ProjLoc,EmCost,7))+O137*M137*0.00000110231131*(VLOOKUP(0,EmTruck20,2)*VLOOKUP(ProjLoc,EmCost,2)+VLOOKUP(0,EmTruck20,3)*VLOOKUP(ProjLoc,EmCost,3)*(1+CO2Uprater)^($B137-YearCurrent)+VLOOKUP(0,EmTruck20,4)*VLOOKUP(ProjLoc,EmCost,4)+VLOOKUP(0,EmTruck20,5)*VLOOKUP(ProjLoc,EmCost,5)+VLOOKUP(0,EmTruck20,6)*VLOOKUP(ProjLoc,EmCost,6)+VLOOKUP(0,EmTruck20,7)*VLOOKUP(ProjLoc,EmCost,7)),0)</f>
        <v>0</v>
      </c>
      <c r="T137" s="802">
        <f>IF(INDEX(HwyTransitModelGroup,A114,1)=Hwy,P137*(1-N137)*0.00000110231131*(VLOOKUP(0,EmAuto20,2)*VLOOKUP(ProjLoc,EmCost,2)+VLOOKUP(0,EmAuto20,3)*VLOOKUP(ProjLoc,EmCost,3)*(1+CO2Uprater)^($B137-YearCurrent)+VLOOKUP(0,EmAuto20,4)*VLOOKUP(ProjLoc,EmCost,4)+VLOOKUP(0,EmAuto20,5)*VLOOKUP(ProjLoc,EmCost,5)+VLOOKUP(0,EmAuto20,6)*VLOOKUP(ProjLoc,EmCost,6)+VLOOKUP(0,EmAuto20,7)*VLOOKUP(ProjLoc,EmCost,7))+P137*N137*0.00000110231131*(VLOOKUP(0,EmTruck20,2)*VLOOKUP(ProjLoc,EmCost,2)+VLOOKUP(0,EmTruck20,3)*VLOOKUP(ProjLoc,EmCost,3)*(1+CO2Uprater)^($B137-YearCurrent)+VLOOKUP(0,EmTruck20,4)*VLOOKUP(ProjLoc,EmCost,4)+VLOOKUP(0,EmTruck20,5)*VLOOKUP(ProjLoc,EmCost,5)+VLOOKUP(0,EmTruck20,6)*VLOOKUP(ProjLoc,EmCost,6)+VLOOKUP(0,EmTruck20,7)*VLOOKUP(ProjLoc,EmCost,7)),0)</f>
        <v>0</v>
      </c>
      <c r="U137" s="729">
        <f>IF(INDEX(HwyTransitModelGroup,A114,1)=PARAMETERS!$J$9,C137*0.00000110231131*(VLOOKUP(K137,EmBus20,2)*VLOOKUP(ProjLoc,EmCost,2)+VLOOKUP(K137,EmBus20,3)*VLOOKUP(ProjLoc,EmCost,3)*(1+CO2Uprater)^($B137-YearCurrent)+VLOOKUP(K137,EmBus20,4)*VLOOKUP(ProjLoc,EmCost,4)+VLOOKUP(K137,EmBus20,5)*VLOOKUP(ProjLoc,EmCost,5)+VLOOKUP(K137,EmBus20,6)*VLOOKUP(ProjLoc,EmCost,6)+VLOOKUP(K137,EmBus20,7)*VLOOKUP(ProjLoc,EmCost,7)),0)</f>
        <v>0</v>
      </c>
      <c r="V137" s="802">
        <f>IF(INDEX(HwyTransitModelGroup,A114,1)=PARAMETERS!$J$9,D137*0.00000110231131*(VLOOKUP(L137,EmBus20,2)*VLOOKUP(ProjLoc,EmCost,2)+VLOOKUP(L137,EmBus20,3)*VLOOKUP(ProjLoc,EmCost,3)*(1+CO2Uprater)^($B137-YearCurrent)+VLOOKUP(L137,EmBus20,4)*VLOOKUP(ProjLoc,EmCost,4)+VLOOKUP(L137,EmBus20,5)*VLOOKUP(ProjLoc,EmCost,5)+VLOOKUP(L137,EmBus20,6)*VLOOKUP(ProjLoc,EmCost,6)+VLOOKUP(L137,EmBus20,7)*VLOOKUP(ProjLoc,EmCost,7)),0)</f>
        <v>0</v>
      </c>
      <c r="W137" s="808">
        <f>IF(INDEX(HwyTransitModelGroup,A114,1)=PARAMETERS!$J$10,C137*0.00000110231131*(PARAMETERS!$CQ$29*VLOOKUP(ProjLoc,EmCost,2)+PARAMETERS!$CR$29*VLOOKUP(ProjLoc,EmCost,3)*(1+CO2Uprater)^($B137-YearCurrent)+PARAMETERS!$CS$29*VLOOKUP(ProjLoc,EmCost,4)+PARAMETERS!$CT$29*VLOOKUP(ProjLoc,EmCost,5)+PARAMETERS!$CU$29*VLOOKUP(ProjLoc,EmCost,6)+PARAMETERS!$CV$29*VLOOKUP(ProjLoc,EmCost,7)),0)</f>
        <v>0</v>
      </c>
      <c r="X137" s="844">
        <f>IF(INDEX(HwyTransitModelGroup,A114,1)=PARAMETERS!$J$10,D137*0.00000110231131*(PARAMETERS!$CQ$29*VLOOKUP(ProjLoc,EmCost,2)+PARAMETERS!$CR$29*VLOOKUP(ProjLoc,EmCost,3)*(1+CO2Uprater)^($B137-YearCurrent)+PARAMETERS!$CS$29*VLOOKUP(ProjLoc,EmCost,4)+PARAMETERS!$CT$29*VLOOKUP(ProjLoc,EmCost,5)+PARAMETERS!$CU$29*VLOOKUP(ProjLoc,EmCost,6)+PARAMETERS!$CV$29*VLOOKUP(ProjLoc,EmCost,7)),0)</f>
        <v>0</v>
      </c>
      <c r="Y137" s="808">
        <f>IF(INDEX(HwyTransitModelGroup,A114,1)=PARAMETERS!$J$11,C137*0.00000110231131*(PARAMETERS!$CQ$37*VLOOKUP(ProjLoc,EmCost,2)+PARAMETERS!$CR$37*VLOOKUP(ProjLoc,EmCost,3)*(1+CO2Uprater)^($B137-YearCurrent)+PARAMETERS!$CS$37*VLOOKUP(ProjLoc,EmCost,4)+PARAMETERS!$CT$37*VLOOKUP(ProjLoc,EmCost,5)+PARAMETERS!$CU$37*VLOOKUP(ProjLoc,EmCost,6)+PARAMETERS!$CV$37*VLOOKUP(ProjLoc,EmCost,7)),0)</f>
        <v>0</v>
      </c>
      <c r="Z137" s="844">
        <f>IF(INDEX(HwyTransitModelGroup,A114,1)=PARAMETERS!$J$11,D137*0.00000110231131*(PARAMETERS!$CQ$37*VLOOKUP(ProjLoc,EmCost,2)+PARAMETERS!$CR$37*VLOOKUP(ProjLoc,EmCost,3)*(1+CO2Uprater)^($B137-YearCurrent)+PARAMETERS!$CS$37*VLOOKUP(ProjLoc,EmCost,4)+PARAMETERS!$CT$37*VLOOKUP(ProjLoc,EmCost,5)+PARAMETERS!$CU$37*VLOOKUP(ProjLoc,EmCost,6)+PARAMETERS!$CV$37*VLOOKUP(ProjLoc,EmCost,7)),0)</f>
        <v>0</v>
      </c>
      <c r="AA137" s="369">
        <f t="shared" si="48"/>
        <v>-5734.2235610447897</v>
      </c>
      <c r="AB137" s="370">
        <f t="shared" si="49"/>
        <v>-2830.5740018973652</v>
      </c>
      <c r="AC137" s="371"/>
      <c r="AD137" s="401">
        <f>IF(INDEX(HwyTransitModelGroup,A114,1)=Hwy,0.00000110231131*(C137*(1-M137)*VLOOKUP(K137,EmAuto20,2)-D137*(1-N137)*VLOOKUP(L137,EmAuto20,2)+(O137*(1-M137)-P137*(1-N137))*VLOOKUP(0,EmAuto20,2))+0.00000110231131*(C137*M137*VLOOKUP(K137,EmTruck20,2)-D137*N137*VLOOKUP(L137,EmTruck20,2)+(O137*M137-P137*N137)*VLOOKUP(0,EmTruck20,2)),0)</f>
        <v>0.19304270649784239</v>
      </c>
      <c r="AE137" s="863">
        <f>IF(INDEX(HwyTransitModelGroup,A114,1)=Hwy,0.00000110231131*(C137*(1-M137)*VLOOKUP(K137,EmAuto20,3)-D137*(1-N137)*VLOOKUP(L137,EmAuto20,3)+(O137*(1-M137)-P137*(1-N137))*VLOOKUP(0,EmAuto20,3))+0.00000110231131*(C137*M137*VLOOKUP(K137,EmTruck20,3)-D137*N137*VLOOKUP(L137,EmTruck20,3)+(O137*M137-P137*N137)*VLOOKUP(0,EmTruck20,3)),0)</f>
        <v>-54.319842098968536</v>
      </c>
      <c r="AF137" s="861">
        <f>IF(INDEX(HwyTransitModelGroup,A114,1)=Hwy,0.00000110231131*(C137*(1-M137)*VLOOKUP(K137,EmAuto20,4)-D137*(1-N137)*VLOOKUP(L137,EmAuto20,4)+(O137*(1-M137)-P137*(1-N137))*VLOOKUP(0,EmAuto20,4))+0.00000110231131*(C137*M137*VLOOKUP(K137,EmTruck20,4)-D137*N137*VLOOKUP(L137,EmTruck20,4)+(O137*M137-P137*N137)*VLOOKUP(0,EmTruck20,4)),0)</f>
        <v>-9.9615858964092099E-2</v>
      </c>
      <c r="AG137" s="863">
        <f>IF(INDEX(HwyTransitModelGroup,A114,1)=Hwy,0.00000110231131*(C137*(1-M137)*VLOOKUP(K137,EmAuto20,5)-D137*(1-N137)*VLOOKUP(L137,EmAuto20,5)+(O137*(1-M137)-P137*(1-N137))*VLOOKUP(0,EmAuto20,5))+0.00000110231131*(C137*M137*VLOOKUP(K137,EmTruck20,5)-D137*N137*VLOOKUP(L137,EmTruck20,5)+(O137*M137-P137*N137)*VLOOKUP(0,EmTruck20,5)),0)</f>
        <v>-4.193213061333005E-3</v>
      </c>
      <c r="AH137" s="861">
        <f>IF(INDEX(HwyTransitModelGroup,A114,1)=Hwy,0.00000110231131*(C137*(1-M137)*VLOOKUP(K137,EmAuto20,6)-D137*(1-N137)*VLOOKUP(L137,EmAuto20,6)+(O137*(1-M137)-P137*(1-N137))*VLOOKUP(0,EmAuto20,6))+0.00000110231131*(C137*M137*VLOOKUP(K137,EmTruck20,6)-D137*N137*VLOOKUP(L137,EmTruck20,6)+(O137*M137-P137*N137)*VLOOKUP(0,EmTruck20,6)),0)</f>
        <v>-5.4232702325594827E-4</v>
      </c>
      <c r="AI137" s="863">
        <f>IF(INDEX(HwyTransitModelGroup,A114,1)=Hwy,0.00000110231131*(C137*(1-M137)*VLOOKUP(K137,EmAuto20,7)-D137*(1-N137)*VLOOKUP(L137,EmAuto20,7)+(O137*(1-M137)-P137*(1-N137))*VLOOKUP(0,EmAuto20,7))+0.00000110231131*(C137*M137*VLOOKUP(K137,EmTruck20,7)-D137*N137*VLOOKUP(L137,EmTruck20,7)+(O137*M137-P137*N137)*VLOOKUP(0,EmTruck20,7)),0)</f>
        <v>-1.6300678500830179E-4</v>
      </c>
      <c r="AJ137" s="861">
        <f>IF(INDEX(HwyTransitModelGroup,A114,1)=Hwy,0.00000110231131*(C137*(1-M137)*VLOOKUP(K137,EmAuto20,8)-D137*(1-N137)*VLOOKUP(L137,EmAuto20,8)+(O137*(1-M137)-P137*(1-N137))*VLOOKUP(0,EmAuto20,8))+0.00000110231131*(C137*M137*VLOOKUP(K137,EmTruck20,8)-D137*N137*VLOOKUP(L137,EmTruck20,8)+(O137*M137-P137*N137)*VLOOKUP(0,EmTruck20,8)),0)</f>
        <v>-4.0144546842200814E-3</v>
      </c>
      <c r="AK137" s="401">
        <f>IF(INDEX(HwyTransitModelGroup,A114,1)=PARAMETERS!$J$9,0.00000110231131*(C137*VLOOKUP(K137,EmBus20,2)-D137*VLOOKUP(L137,EmBus20,2)+(O137-P137)*VLOOKUP(0,EmBus20,2)),0)</f>
        <v>0</v>
      </c>
      <c r="AL137" s="863">
        <f>IF(INDEX(HwyTransitModelGroup,A114,1)=PARAMETERS!$J$9,0.00000110231131*(C137*VLOOKUP(K137,EmBus20,3)-D137*VLOOKUP(L137,EmBus20,3)+(O137-P137)*VLOOKUP(0,EmBus20,3)),0)</f>
        <v>0</v>
      </c>
      <c r="AM137" s="861">
        <f>IF(INDEX(HwyTransitModelGroup,A114,1)=PARAMETERS!$J$9,0.00000110231131*(C137*VLOOKUP(K137,EmBus20,4)-D137*VLOOKUP(L137,EmBus20,4)+(O137-P137)*VLOOKUP(0,EmBus20,4)),0)</f>
        <v>0</v>
      </c>
      <c r="AN137" s="863">
        <f>IF(INDEX(HwyTransitModelGroup,A114,1)=PARAMETERS!$J$9,0.00000110231131*(C137*VLOOKUP(K137,EmBus20,5)-D137*VLOOKUP(L137,EmBus20,5)+(O137-P137)*VLOOKUP(0,EmBus20,5)),0)</f>
        <v>0</v>
      </c>
      <c r="AO137" s="861">
        <f>IF(INDEX(HwyTransitModelGroup,A114,1)=PARAMETERS!$J$9,0.00000110231131*(C137*VLOOKUP(K137,EmBus20,6)-D137*VLOOKUP(L137,EmBus20,6)+(O137-P137)*VLOOKUP(0,EmBus20,6)),0)</f>
        <v>0</v>
      </c>
      <c r="AP137" s="863">
        <f>IF(INDEX(HwyTransitModelGroup,A114,1)=PARAMETERS!$J$9,0.00000110231131*(C137*VLOOKUP(K137,EmBus20,7)-D137*VLOOKUP(L137,EmBus20,7)+(O137-P137)*VLOOKUP(0,EmBus20,7)),0)</f>
        <v>0</v>
      </c>
      <c r="AQ137" s="861">
        <f>IF(INDEX(HwyTransitModelGroup,A114,1)=PARAMETERS!$J$9,0.00000110231131*(C137*VLOOKUP(K137,EmBus20,8)-D137*VLOOKUP(L137,EmBus20,8)+(O137-P137)*VLOOKUP(0,EmBus20,8)),0)</f>
        <v>0</v>
      </c>
      <c r="AR137" s="401">
        <f>IF(INDEX(HwyTransitModelGroup,A114,1)=PARAMETERS!$J$10,0.00000110231131*((C137-D137)*PARAMETERS!$CQ$29),0)</f>
        <v>0</v>
      </c>
      <c r="AS137" s="863">
        <f>IF(INDEX(HwyTransitModelGroup,A114,1)=PARAMETERS!$J$10,0.00000110231131*((C137-D137)*PARAMETERS!$CR$29),0)</f>
        <v>0</v>
      </c>
      <c r="AT137" s="861">
        <f>IF(INDEX(HwyTransitModelGroup,A114,1)=PARAMETERS!$J$10,0.00000110231131*((C137-D137)*PARAMETERS!$CS$29),0)</f>
        <v>0</v>
      </c>
      <c r="AU137" s="863">
        <f>IF(INDEX(HwyTransitModelGroup,A114,1)=PARAMETERS!$J$10,0.00000110231131*((C137-D137)*PARAMETERS!$CT$29),0)</f>
        <v>0</v>
      </c>
      <c r="AV137" s="861">
        <f>IF(INDEX(HwyTransitModelGroup,A114,1)=PARAMETERS!$J$10,0.00000110231131*((C137-D137)*PARAMETERS!$CU$29),0)</f>
        <v>0</v>
      </c>
      <c r="AW137" s="863">
        <f>IF(INDEX(HwyTransitModelGroup,A114,1)=PARAMETERS!$J$10,0.00000110231131*((C137-D137)*PARAMETERS!$CV$29),0)</f>
        <v>0</v>
      </c>
      <c r="AX137" s="861">
        <f>IF(INDEX(HwyTransitModelGroup,A114,1)=PARAMETERS!$J$10,0.00000110231131*((C137-D137)*PARAMETERS!$CW$29),0)</f>
        <v>0</v>
      </c>
      <c r="AY137" s="401">
        <f>IF(INDEX(HwyTransitModelGroup,A114,1)=PARAMETERS!$J$11,0.00000110231131*((C137-D137)*PARAMETERS!$CQ$37),0)</f>
        <v>0</v>
      </c>
      <c r="AZ137" s="863">
        <f>IF(INDEX(HwyTransitModelGroup,A114,1)=PARAMETERS!$J$11,0.00000110231131*((C137-D137)*PARAMETERS!$CR$37),0)</f>
        <v>0</v>
      </c>
      <c r="BA137" s="861">
        <f>IF(INDEX(HwyTransitModelGroup,A114,1)=PARAMETERS!$J$11,0.00000110231131*((C137-D137)*PARAMETERS!$CS$37),0)</f>
        <v>0</v>
      </c>
      <c r="BB137" s="863">
        <f>IF(INDEX(HwyTransitModelGroup,A114,1)=PARAMETERS!$J$11,0.00000110231131*((C137-D137)*PARAMETERS!$CT$37),0)</f>
        <v>0</v>
      </c>
      <c r="BC137" s="861">
        <f>IF(INDEX(HwyTransitModelGroup,A114,1)=PARAMETERS!$J$11,0.00000110231131*((C137-D137)*PARAMETERS!$CU$37),0)</f>
        <v>0</v>
      </c>
      <c r="BD137" s="863">
        <f>IF(INDEX(HwyTransitModelGroup,A114,1)=PARAMETERS!$J$11,0.00000110231131*((C137-D137)*PARAMETERS!$CV$37),0)</f>
        <v>0</v>
      </c>
      <c r="BE137" s="865">
        <f>IF(INDEX(HwyTransitModelGroup,A114,1)=PARAMETERS!$J$11,0.00000110231131*((C137-D137)*PARAMETERS!$CW$37),0)</f>
        <v>0</v>
      </c>
      <c r="BF137" s="729">
        <f t="shared" si="50"/>
        <v>7.6233046786775347</v>
      </c>
      <c r="BG137" s="867">
        <f t="shared" si="51"/>
        <v>-1838.2421521279596</v>
      </c>
      <c r="BH137" s="867">
        <f t="shared" si="52"/>
        <v>-742.51515817893517</v>
      </c>
      <c r="BI137" s="867">
        <f t="shared" si="53"/>
        <v>-241.55591611717352</v>
      </c>
      <c r="BJ137" s="867">
        <f t="shared" si="54"/>
        <v>-15.794764298346195</v>
      </c>
      <c r="BK137" s="869">
        <f t="shared" si="55"/>
        <v>-8.9315853625275624E-2</v>
      </c>
      <c r="BL137" s="392"/>
      <c r="BN137" s="375">
        <f t="shared" si="60"/>
        <v>2037</v>
      </c>
      <c r="BO137" s="871">
        <f t="shared" ca="1" si="58"/>
        <v>-4.6642471272738198E-3</v>
      </c>
      <c r="BP137" s="871">
        <f t="shared" ca="1" si="61"/>
        <v>-8.0669999639356518E-3</v>
      </c>
      <c r="BQ137" s="871">
        <f t="shared" ca="1" si="61"/>
        <v>1.8839761953742207E-2</v>
      </c>
      <c r="BR137" s="871">
        <f t="shared" ca="1" si="61"/>
        <v>-9.6372756481423835E-2</v>
      </c>
      <c r="BS137" s="871">
        <f t="shared" ca="1" si="61"/>
        <v>0.50031279708076226</v>
      </c>
      <c r="BT137" s="871">
        <f t="shared" ca="1" si="61"/>
        <v>0.61553164333510557</v>
      </c>
    </row>
    <row r="138" spans="2:72" x14ac:dyDescent="0.25">
      <c r="B138" s="375">
        <f t="shared" si="57"/>
        <v>2041</v>
      </c>
      <c r="C138" s="401">
        <f>MAX(TREND(C120:C121,B120:B121,B138),0)</f>
        <v>1094361.25</v>
      </c>
      <c r="D138" s="402">
        <f>MAX(TREND(D120:D121,B120:B121,B138),0)</f>
        <v>901915</v>
      </c>
      <c r="E138" s="401">
        <f>MAX(TREND(E120:E121,B120:B121,B138),0)</f>
        <v>25550</v>
      </c>
      <c r="F138" s="402">
        <f>MAX(TREND(F120:F121,B120:B121,B138),0)</f>
        <v>12045</v>
      </c>
      <c r="G138" s="401">
        <f>MAX(TREND(G120:G121,B120:B121,B138),0)</f>
        <v>0</v>
      </c>
      <c r="H138" s="402">
        <f>MAX(TREND(H120:H121,B120:B121,B138),0)</f>
        <v>0</v>
      </c>
      <c r="I138" s="401">
        <f>MAX(TREND(I120:I121,B120:B121,B138),0)</f>
        <v>0</v>
      </c>
      <c r="J138" s="402">
        <f>MAX(TREND(J120:J121,B120:B121,B138),0)</f>
        <v>0</v>
      </c>
      <c r="K138" s="435">
        <f>IFERROR(IF(INDEX(HwyTransitModelGroup,A114,1)=Hwy,MAX(5,ROUND(C138/E138,1)),MAX(5,ROUND(G138/I138,1))),55)</f>
        <v>42.8</v>
      </c>
      <c r="L138" s="436">
        <f>IFERROR(IF(INDEX(HwyTransitModelGroup,A114,1)=Hwy,MAX(5,ROUND(D138/F138,1)),MAX(5,ROUND(H138/J138,1))),55)</f>
        <v>74.900000000000006</v>
      </c>
      <c r="M138" s="405">
        <f>MIN(MAX(TREND(M120:M121,B120:B121,B138),0),1)</f>
        <v>0.24</v>
      </c>
      <c r="N138" s="406">
        <f>MIN(MAX(TREND(N120:N121,B120:B121,B138),0),1)</f>
        <v>0.24</v>
      </c>
      <c r="O138" s="401">
        <f>MAX(TREND(O120:O121,B120:B121,B138),0)</f>
        <v>0</v>
      </c>
      <c r="P138" s="402">
        <f>MAX(TREND(P120:P121,B120:B121,B138),0)</f>
        <v>0</v>
      </c>
      <c r="Q138" s="729">
        <f>IF(INDEX(HwyTransitModelGroup,A114,1)=Hwy,C138*(1-M138)*0.00000110231131*(VLOOKUP(K138,EmAuto20,2)*VLOOKUP(ProjLoc,EmCost,2)+VLOOKUP(K138,EmAuto20,3)*VLOOKUP(ProjLoc,EmCost,3)*(1+CO2Uprater)^($B138-YearCurrent)+VLOOKUP(K138,EmAuto20,4)*VLOOKUP(ProjLoc,EmCost,4)+VLOOKUP(K138,EmAuto20,5)*VLOOKUP(ProjLoc,EmCost,5)+VLOOKUP(K138,EmAuto20,6)*VLOOKUP(ProjLoc,EmCost,6)+VLOOKUP(K138,EmAuto20,7)*VLOOKUP(ProjLoc,EmCost,7))+C138*M138*0.00000110231131*(VLOOKUP(K138,EmTruck20,2)*VLOOKUP(ProjLoc,EmCost,2)+VLOOKUP(K138,EmTruck20,3)*VLOOKUP(ProjLoc,EmCost,3)*(1+CO2Uprater)^($B138-YearCurrent)+VLOOKUP(K138,EmTruck20,4)*VLOOKUP(ProjLoc,EmCost,4)+VLOOKUP(K138,EmTruck20,5)*VLOOKUP(ProjLoc,EmCost,5)+VLOOKUP(K138,EmTruck20,6)*VLOOKUP(ProjLoc,EmCost,6)+VLOOKUP(K138,EmTruck20,7)*VLOOKUP(ProjLoc,EmCost,7)),0)</f>
        <v>29110.648821366514</v>
      </c>
      <c r="R138" s="802">
        <f>IF(INDEX(HwyTransitModelGroup,A114,1)=Hwy,D138*(1-N138)*0.00000110231131*(VLOOKUP(L138,EmAuto20,2)*VLOOKUP(ProjLoc,EmCost,2)+VLOOKUP(L138,EmAuto20,3)*VLOOKUP(ProjLoc,EmCost,3)*(1+CO2Uprater)^($B138-YearCurrent)+VLOOKUP(L138,EmAuto20,4)*VLOOKUP(ProjLoc,EmCost,4)+VLOOKUP(L138,EmAuto20,5)*VLOOKUP(ProjLoc,EmCost,5)+VLOOKUP(L138,EmAuto20,6)*VLOOKUP(ProjLoc,EmCost,6)+VLOOKUP(L138,EmAuto20,7)*VLOOKUP(ProjLoc,EmCost,7))+D138*N138*0.00000110231131*(VLOOKUP(L138,EmTruck20,2)*VLOOKUP(ProjLoc,EmCost,2)+VLOOKUP(L138,EmTruck20,3)*VLOOKUP(ProjLoc,EmCost,3)*(1+CO2Uprater)^($B138-YearCurrent)+VLOOKUP(L138,EmTruck20,4)*VLOOKUP(ProjLoc,EmCost,4)+VLOOKUP(L138,EmTruck20,5)*VLOOKUP(ProjLoc,EmCost,5)+VLOOKUP(L138,EmTruck20,6)*VLOOKUP(ProjLoc,EmCost,6)+VLOOKUP(L138,EmTruck20,7)*VLOOKUP(ProjLoc,EmCost,7)),0)</f>
        <v>34981.83313212236</v>
      </c>
      <c r="S138" s="729">
        <f>IF(INDEX(HwyTransitModelGroup,A114,1)=Hwy,O138*(1-M138)*0.00000110231131*(VLOOKUP(0,EmAuto20,2)*VLOOKUP(ProjLoc,EmCost,2)+VLOOKUP(0,EmAuto20,3)*VLOOKUP(ProjLoc,EmCost,3)*(1+CO2Uprater)^($B138-YearCurrent)+VLOOKUP(0,EmAuto20,4)*VLOOKUP(ProjLoc,EmCost,4)+VLOOKUP(0,EmAuto20,5)*VLOOKUP(ProjLoc,EmCost,5)+VLOOKUP(0,EmAuto20,6)*VLOOKUP(ProjLoc,EmCost,6)+VLOOKUP(0,EmAuto20,7)*VLOOKUP(ProjLoc,EmCost,7))+O138*M138*0.00000110231131*(VLOOKUP(0,EmTruck20,2)*VLOOKUP(ProjLoc,EmCost,2)+VLOOKUP(0,EmTruck20,3)*VLOOKUP(ProjLoc,EmCost,3)*(1+CO2Uprater)^($B138-YearCurrent)+VLOOKUP(0,EmTruck20,4)*VLOOKUP(ProjLoc,EmCost,4)+VLOOKUP(0,EmTruck20,5)*VLOOKUP(ProjLoc,EmCost,5)+VLOOKUP(0,EmTruck20,6)*VLOOKUP(ProjLoc,EmCost,6)+VLOOKUP(0,EmTruck20,7)*VLOOKUP(ProjLoc,EmCost,7)),0)</f>
        <v>0</v>
      </c>
      <c r="T138" s="802">
        <f>IF(INDEX(HwyTransitModelGroup,A114,1)=Hwy,P138*(1-N138)*0.00000110231131*(VLOOKUP(0,EmAuto20,2)*VLOOKUP(ProjLoc,EmCost,2)+VLOOKUP(0,EmAuto20,3)*VLOOKUP(ProjLoc,EmCost,3)*(1+CO2Uprater)^($B138-YearCurrent)+VLOOKUP(0,EmAuto20,4)*VLOOKUP(ProjLoc,EmCost,4)+VLOOKUP(0,EmAuto20,5)*VLOOKUP(ProjLoc,EmCost,5)+VLOOKUP(0,EmAuto20,6)*VLOOKUP(ProjLoc,EmCost,6)+VLOOKUP(0,EmAuto20,7)*VLOOKUP(ProjLoc,EmCost,7))+P138*N138*0.00000110231131*(VLOOKUP(0,EmTruck20,2)*VLOOKUP(ProjLoc,EmCost,2)+VLOOKUP(0,EmTruck20,3)*VLOOKUP(ProjLoc,EmCost,3)*(1+CO2Uprater)^($B138-YearCurrent)+VLOOKUP(0,EmTruck20,4)*VLOOKUP(ProjLoc,EmCost,4)+VLOOKUP(0,EmTruck20,5)*VLOOKUP(ProjLoc,EmCost,5)+VLOOKUP(0,EmTruck20,6)*VLOOKUP(ProjLoc,EmCost,6)+VLOOKUP(0,EmTruck20,7)*VLOOKUP(ProjLoc,EmCost,7)),0)</f>
        <v>0</v>
      </c>
      <c r="U138" s="729">
        <f>IF(INDEX(HwyTransitModelGroup,A114,1)=PARAMETERS!$J$9,C138*0.00000110231131*(VLOOKUP(K138,EmBus20,2)*VLOOKUP(ProjLoc,EmCost,2)+VLOOKUP(K138,EmBus20,3)*VLOOKUP(ProjLoc,EmCost,3)*(1+CO2Uprater)^($B138-YearCurrent)+VLOOKUP(K138,EmBus20,4)*VLOOKUP(ProjLoc,EmCost,4)+VLOOKUP(K138,EmBus20,5)*VLOOKUP(ProjLoc,EmCost,5)+VLOOKUP(K138,EmBus20,6)*VLOOKUP(ProjLoc,EmCost,6)+VLOOKUP(K138,EmBus20,7)*VLOOKUP(ProjLoc,EmCost,7)),0)</f>
        <v>0</v>
      </c>
      <c r="V138" s="802">
        <f>IF(INDEX(HwyTransitModelGroup,A114,1)=PARAMETERS!$J$9,D138*0.00000110231131*(VLOOKUP(L138,EmBus20,2)*VLOOKUP(ProjLoc,EmCost,2)+VLOOKUP(L138,EmBus20,3)*VLOOKUP(ProjLoc,EmCost,3)*(1+CO2Uprater)^($B138-YearCurrent)+VLOOKUP(L138,EmBus20,4)*VLOOKUP(ProjLoc,EmCost,4)+VLOOKUP(L138,EmBus20,5)*VLOOKUP(ProjLoc,EmCost,5)+VLOOKUP(L138,EmBus20,6)*VLOOKUP(ProjLoc,EmCost,6)+VLOOKUP(L138,EmBus20,7)*VLOOKUP(ProjLoc,EmCost,7)),0)</f>
        <v>0</v>
      </c>
      <c r="W138" s="808">
        <f>IF(INDEX(HwyTransitModelGroup,A114,1)=PARAMETERS!$J$10,C138*0.00000110231131*(PARAMETERS!$CQ$29*VLOOKUP(ProjLoc,EmCost,2)+PARAMETERS!$CR$29*VLOOKUP(ProjLoc,EmCost,3)*(1+CO2Uprater)^($B138-YearCurrent)+PARAMETERS!$CS$29*VLOOKUP(ProjLoc,EmCost,4)+PARAMETERS!$CT$29*VLOOKUP(ProjLoc,EmCost,5)+PARAMETERS!$CU$29*VLOOKUP(ProjLoc,EmCost,6)+PARAMETERS!$CV$29*VLOOKUP(ProjLoc,EmCost,7)),0)</f>
        <v>0</v>
      </c>
      <c r="X138" s="844">
        <f>IF(INDEX(HwyTransitModelGroup,A114,1)=PARAMETERS!$J$10,D138*0.00000110231131*(PARAMETERS!$CQ$29*VLOOKUP(ProjLoc,EmCost,2)+PARAMETERS!$CR$29*VLOOKUP(ProjLoc,EmCost,3)*(1+CO2Uprater)^($B138-YearCurrent)+PARAMETERS!$CS$29*VLOOKUP(ProjLoc,EmCost,4)+PARAMETERS!$CT$29*VLOOKUP(ProjLoc,EmCost,5)+PARAMETERS!$CU$29*VLOOKUP(ProjLoc,EmCost,6)+PARAMETERS!$CV$29*VLOOKUP(ProjLoc,EmCost,7)),0)</f>
        <v>0</v>
      </c>
      <c r="Y138" s="808">
        <f>IF(INDEX(HwyTransitModelGroup,A114,1)=PARAMETERS!$J$11,C138*0.00000110231131*(PARAMETERS!$CQ$37*VLOOKUP(ProjLoc,EmCost,2)+PARAMETERS!$CR$37*VLOOKUP(ProjLoc,EmCost,3)*(1+CO2Uprater)^($B138-YearCurrent)+PARAMETERS!$CS$37*VLOOKUP(ProjLoc,EmCost,4)+PARAMETERS!$CT$37*VLOOKUP(ProjLoc,EmCost,5)+PARAMETERS!$CU$37*VLOOKUP(ProjLoc,EmCost,6)+PARAMETERS!$CV$37*VLOOKUP(ProjLoc,EmCost,7)),0)</f>
        <v>0</v>
      </c>
      <c r="Z138" s="844">
        <f>IF(INDEX(HwyTransitModelGroup,A114,1)=PARAMETERS!$J$11,D138*0.00000110231131*(PARAMETERS!$CQ$37*VLOOKUP(ProjLoc,EmCost,2)+PARAMETERS!$CR$37*VLOOKUP(ProjLoc,EmCost,3)*(1+CO2Uprater)^($B138-YearCurrent)+PARAMETERS!$CS$37*VLOOKUP(ProjLoc,EmCost,4)+PARAMETERS!$CT$37*VLOOKUP(ProjLoc,EmCost,5)+PARAMETERS!$CU$37*VLOOKUP(ProjLoc,EmCost,6)+PARAMETERS!$CV$37*VLOOKUP(ProjLoc,EmCost,7)),0)</f>
        <v>0</v>
      </c>
      <c r="AA138" s="369">
        <f t="shared" si="48"/>
        <v>-5871.1843107558452</v>
      </c>
      <c r="AB138" s="370">
        <f t="shared" si="49"/>
        <v>-2786.71315329763</v>
      </c>
      <c r="AC138" s="371"/>
      <c r="AD138" s="401">
        <f>IF(INDEX(HwyTransitModelGroup,A114,1)=Hwy,0.00000110231131*(C138*(1-M138)*VLOOKUP(K138,EmAuto20,2)-D138*(1-N138)*VLOOKUP(L138,EmAuto20,2)+(O138*(1-M138)-P138*(1-N138))*VLOOKUP(0,EmAuto20,2))+0.00000110231131*(C138*M138*VLOOKUP(K138,EmTruck20,2)-D138*N138*VLOOKUP(L138,EmTruck20,2)+(O138*M138-P138*N138)*VLOOKUP(0,EmTruck20,2)),0)</f>
        <v>0.19515665894747444</v>
      </c>
      <c r="AE138" s="863">
        <f>IF(INDEX(HwyTransitModelGroup,A114,1)=Hwy,0.00000110231131*(C138*(1-M138)*VLOOKUP(K138,EmAuto20,3)-D138*(1-N138)*VLOOKUP(L138,EmAuto20,3)+(O138*(1-M138)-P138*(1-N138))*VLOOKUP(0,EmAuto20,3))+0.00000110231131*(C138*M138*VLOOKUP(K138,EmTruck20,3)-D138*N138*VLOOKUP(L138,EmTruck20,3)+(O138*M138-P138*N138)*VLOOKUP(0,EmTruck20,3)),0)</f>
        <v>-54.901345432263852</v>
      </c>
      <c r="AF138" s="861">
        <f>IF(INDEX(HwyTransitModelGroup,A114,1)=Hwy,0.00000110231131*(C138*(1-M138)*VLOOKUP(K138,EmAuto20,4)-D138*(1-N138)*VLOOKUP(L138,EmAuto20,4)+(O138*(1-M138)-P138*(1-N138))*VLOOKUP(0,EmAuto20,4))+0.00000110231131*(C138*M138*VLOOKUP(K138,EmTruck20,4)-D138*N138*VLOOKUP(L138,EmTruck20,4)+(O138*M138-P138*N138)*VLOOKUP(0,EmTruck20,4)),0)</f>
        <v>-0.10069689312498153</v>
      </c>
      <c r="AG138" s="863">
        <f>IF(INDEX(HwyTransitModelGroup,A114,1)=Hwy,0.00000110231131*(C138*(1-M138)*VLOOKUP(K138,EmAuto20,5)-D138*(1-N138)*VLOOKUP(L138,EmAuto20,5)+(O138*(1-M138)-P138*(1-N138))*VLOOKUP(0,EmAuto20,5))+0.00000110231131*(C138*M138*VLOOKUP(K138,EmTruck20,5)-D138*N138*VLOOKUP(L138,EmTruck20,5)+(O138*M138-P138*N138)*VLOOKUP(0,EmTruck20,5)),0)</f>
        <v>-4.2388011694016198E-3</v>
      </c>
      <c r="AH138" s="861">
        <f>IF(INDEX(HwyTransitModelGroup,A114,1)=Hwy,0.00000110231131*(C138*(1-M138)*VLOOKUP(K138,EmAuto20,6)-D138*(1-N138)*VLOOKUP(L138,EmAuto20,6)+(O138*(1-M138)-P138*(1-N138))*VLOOKUP(0,EmAuto20,6))+0.00000110231131*(C138*M138*VLOOKUP(K138,EmTruck20,6)-D138*N138*VLOOKUP(L138,EmTruck20,6)+(O138*M138-P138*N138)*VLOOKUP(0,EmTruck20,6)),0)</f>
        <v>-5.4813686524643381E-4</v>
      </c>
      <c r="AI138" s="863">
        <f>IF(INDEX(HwyTransitModelGroup,A114,1)=Hwy,0.00000110231131*(C138*(1-M138)*VLOOKUP(K138,EmAuto20,7)-D138*(1-N138)*VLOOKUP(L138,EmAuto20,7)+(O138*(1-M138)-P138*(1-N138))*VLOOKUP(0,EmAuto20,7))+0.00000110231131*(C138*M138*VLOOKUP(K138,EmTruck20,7)-D138*N138*VLOOKUP(L138,EmTruck20,7)+(O138*M138-P138*N138)*VLOOKUP(0,EmTruck20,7)),0)</f>
        <v>-1.6459636421439647E-4</v>
      </c>
      <c r="AJ138" s="861">
        <f>IF(INDEX(HwyTransitModelGroup,A114,1)=Hwy,0.00000110231131*(C138*(1-M138)*VLOOKUP(K138,EmAuto20,8)-D138*(1-N138)*VLOOKUP(L138,EmAuto20,8)+(O138*(1-M138)-P138*(1-N138))*VLOOKUP(0,EmAuto20,8))+0.00000110231131*(C138*M138*VLOOKUP(K138,EmTruck20,8)-D138*N138*VLOOKUP(L138,EmTruck20,8)+(O138*M138-P138*N138)*VLOOKUP(0,EmTruck20,8)),0)</f>
        <v>-4.0580989897523786E-3</v>
      </c>
      <c r="AK138" s="401">
        <f>IF(INDEX(HwyTransitModelGroup,A114,1)=PARAMETERS!$J$9,0.00000110231131*(C138*VLOOKUP(K138,EmBus20,2)-D138*VLOOKUP(L138,EmBus20,2)+(O138-P138)*VLOOKUP(0,EmBus20,2)),0)</f>
        <v>0</v>
      </c>
      <c r="AL138" s="863">
        <f>IF(INDEX(HwyTransitModelGroup,A114,1)=PARAMETERS!$J$9,0.00000110231131*(C138*VLOOKUP(K138,EmBus20,3)-D138*VLOOKUP(L138,EmBus20,3)+(O138-P138)*VLOOKUP(0,EmBus20,3)),0)</f>
        <v>0</v>
      </c>
      <c r="AM138" s="861">
        <f>IF(INDEX(HwyTransitModelGroup,A114,1)=PARAMETERS!$J$9,0.00000110231131*(C138*VLOOKUP(K138,EmBus20,4)-D138*VLOOKUP(L138,EmBus20,4)+(O138-P138)*VLOOKUP(0,EmBus20,4)),0)</f>
        <v>0</v>
      </c>
      <c r="AN138" s="863">
        <f>IF(INDEX(HwyTransitModelGroup,A114,1)=PARAMETERS!$J$9,0.00000110231131*(C138*VLOOKUP(K138,EmBus20,5)-D138*VLOOKUP(L138,EmBus20,5)+(O138-P138)*VLOOKUP(0,EmBus20,5)),0)</f>
        <v>0</v>
      </c>
      <c r="AO138" s="861">
        <f>IF(INDEX(HwyTransitModelGroup,A114,1)=PARAMETERS!$J$9,0.00000110231131*(C138*VLOOKUP(K138,EmBus20,6)-D138*VLOOKUP(L138,EmBus20,6)+(O138-P138)*VLOOKUP(0,EmBus20,6)),0)</f>
        <v>0</v>
      </c>
      <c r="AP138" s="863">
        <f>IF(INDEX(HwyTransitModelGroup,A114,1)=PARAMETERS!$J$9,0.00000110231131*(C138*VLOOKUP(K138,EmBus20,7)-D138*VLOOKUP(L138,EmBus20,7)+(O138-P138)*VLOOKUP(0,EmBus20,7)),0)</f>
        <v>0</v>
      </c>
      <c r="AQ138" s="861">
        <f>IF(INDEX(HwyTransitModelGroup,A114,1)=PARAMETERS!$J$9,0.00000110231131*(C138*VLOOKUP(K138,EmBus20,8)-D138*VLOOKUP(L138,EmBus20,8)+(O138-P138)*VLOOKUP(0,EmBus20,8)),0)</f>
        <v>0</v>
      </c>
      <c r="AR138" s="401">
        <f>IF(INDEX(HwyTransitModelGroup,A114,1)=PARAMETERS!$J$10,0.00000110231131*((C138-D138)*PARAMETERS!$CQ$29),0)</f>
        <v>0</v>
      </c>
      <c r="AS138" s="863">
        <f>IF(INDEX(HwyTransitModelGroup,A114,1)=PARAMETERS!$J$10,0.00000110231131*((C138-D138)*PARAMETERS!$CR$29),0)</f>
        <v>0</v>
      </c>
      <c r="AT138" s="861">
        <f>IF(INDEX(HwyTransitModelGroup,A114,1)=PARAMETERS!$J$10,0.00000110231131*((C138-D138)*PARAMETERS!$CS$29),0)</f>
        <v>0</v>
      </c>
      <c r="AU138" s="863">
        <f>IF(INDEX(HwyTransitModelGroup,A114,1)=PARAMETERS!$J$10,0.00000110231131*((C138-D138)*PARAMETERS!$CT$29),0)</f>
        <v>0</v>
      </c>
      <c r="AV138" s="861">
        <f>IF(INDEX(HwyTransitModelGroup,A114,1)=PARAMETERS!$J$10,0.00000110231131*((C138-D138)*PARAMETERS!$CU$29),0)</f>
        <v>0</v>
      </c>
      <c r="AW138" s="863">
        <f>IF(INDEX(HwyTransitModelGroup,A114,1)=PARAMETERS!$J$10,0.00000110231131*((C138-D138)*PARAMETERS!$CV$29),0)</f>
        <v>0</v>
      </c>
      <c r="AX138" s="861">
        <f>IF(INDEX(HwyTransitModelGroup,A114,1)=PARAMETERS!$J$10,0.00000110231131*((C138-D138)*PARAMETERS!$CW$29),0)</f>
        <v>0</v>
      </c>
      <c r="AY138" s="401">
        <f>IF(INDEX(HwyTransitModelGroup,A114,1)=PARAMETERS!$J$11,0.00000110231131*((C138-D138)*PARAMETERS!$CQ$37),0)</f>
        <v>0</v>
      </c>
      <c r="AZ138" s="863">
        <f>IF(INDEX(HwyTransitModelGroup,A114,1)=PARAMETERS!$J$11,0.00000110231131*((C138-D138)*PARAMETERS!$CR$37),0)</f>
        <v>0</v>
      </c>
      <c r="BA138" s="861">
        <f>IF(INDEX(HwyTransitModelGroup,A114,1)=PARAMETERS!$J$11,0.00000110231131*((C138-D138)*PARAMETERS!$CS$37),0)</f>
        <v>0</v>
      </c>
      <c r="BB138" s="863">
        <f>IF(INDEX(HwyTransitModelGroup,A114,1)=PARAMETERS!$J$11,0.00000110231131*((C138-D138)*PARAMETERS!$CT$37),0)</f>
        <v>0</v>
      </c>
      <c r="BC138" s="861">
        <f>IF(INDEX(HwyTransitModelGroup,A114,1)=PARAMETERS!$J$11,0.00000110231131*((C138-D138)*PARAMETERS!$CU$37),0)</f>
        <v>0</v>
      </c>
      <c r="BD138" s="863">
        <f>IF(INDEX(HwyTransitModelGroup,A114,1)=PARAMETERS!$J$11,0.00000110231131*((C138-D138)*PARAMETERS!$CV$37),0)</f>
        <v>0</v>
      </c>
      <c r="BE138" s="865">
        <f>IF(INDEX(HwyTransitModelGroup,A114,1)=PARAMETERS!$J$11,0.00000110231131*((C138-D138)*PARAMETERS!$CW$37),0)</f>
        <v>0</v>
      </c>
      <c r="BF138" s="729">
        <f t="shared" si="50"/>
        <v>7.4103703737760256</v>
      </c>
      <c r="BG138" s="867">
        <f t="shared" si="51"/>
        <v>-1822.1916060938602</v>
      </c>
      <c r="BH138" s="867">
        <f t="shared" si="52"/>
        <v>-721.70476345089196</v>
      </c>
      <c r="BI138" s="867">
        <f t="shared" si="53"/>
        <v>-234.79046440800101</v>
      </c>
      <c r="BJ138" s="867">
        <f t="shared" si="54"/>
        <v>-15.349971615451173</v>
      </c>
      <c r="BK138" s="869">
        <f t="shared" si="55"/>
        <v>-8.6718103203477073E-2</v>
      </c>
      <c r="BL138" s="373"/>
      <c r="BN138" s="375">
        <f t="shared" si="60"/>
        <v>2038</v>
      </c>
      <c r="BO138" s="871">
        <f t="shared" ca="1" si="58"/>
        <v>-5.3669698058600992E-3</v>
      </c>
      <c r="BP138" s="871">
        <f t="shared" ca="1" si="61"/>
        <v>-8.1945764495177861E-3</v>
      </c>
      <c r="BQ138" s="871">
        <f t="shared" ca="1" si="61"/>
        <v>1.9136923944996526E-2</v>
      </c>
      <c r="BR138" s="871">
        <f t="shared" ca="1" si="61"/>
        <v>-9.745379064231327E-2</v>
      </c>
      <c r="BS138" s="871">
        <f t="shared" ca="1" si="61"/>
        <v>0.51764195867558471</v>
      </c>
      <c r="BT138" s="871">
        <f t="shared" ca="1" si="61"/>
        <v>0.62963944308520603</v>
      </c>
    </row>
    <row r="139" spans="2:72" x14ac:dyDescent="0.25">
      <c r="B139" s="375">
        <f t="shared" si="57"/>
        <v>2042</v>
      </c>
      <c r="C139" s="401">
        <f>MAX(TREND(C120:C121,B120:B121,B139),0)</f>
        <v>1106169</v>
      </c>
      <c r="D139" s="402">
        <f>MAX(TREND(D120:D121,B120:B121,B139),0)</f>
        <v>911624</v>
      </c>
      <c r="E139" s="401">
        <f>MAX(TREND(E120:E121,B120:B121,B139),0)</f>
        <v>25842</v>
      </c>
      <c r="F139" s="402">
        <f>MAX(TREND(F120:F121,B120:B121,B139),0)</f>
        <v>12191</v>
      </c>
      <c r="G139" s="401">
        <f>MAX(TREND(G120:G121,B120:B121,B139),0)</f>
        <v>0</v>
      </c>
      <c r="H139" s="402">
        <f>MAX(TREND(H120:H121,B120:B121,B139),0)</f>
        <v>0</v>
      </c>
      <c r="I139" s="401">
        <f>MAX(TREND(I120:I121,B120:B121,B139),0)</f>
        <v>0</v>
      </c>
      <c r="J139" s="402">
        <f>MAX(TREND(J120:J121,B120:B121,B139),0)</f>
        <v>0</v>
      </c>
      <c r="K139" s="435">
        <f>IFERROR(IF(INDEX(HwyTransitModelGroup,A114,1)=Hwy,MAX(5,ROUND(C139/E139,1)),MAX(5,ROUND(G139/I139,1))),55)</f>
        <v>42.8</v>
      </c>
      <c r="L139" s="436">
        <f>IFERROR(IF(INDEX(HwyTransitModelGroup,A114,1)=Hwy,MAX(5,ROUND(D139/F139,1)),MAX(5,ROUND(H139/J139,1))),55)</f>
        <v>74.8</v>
      </c>
      <c r="M139" s="405">
        <f>MIN(MAX(TREND(M120:M121,B120:B121,B139),0),1)</f>
        <v>0.24</v>
      </c>
      <c r="N139" s="406">
        <f>MIN(MAX(TREND(N120:N121,B120:B121,B139),0),1)</f>
        <v>0.24</v>
      </c>
      <c r="O139" s="401">
        <f>MAX(TREND(O120:O121,B120:B121,B139),0)</f>
        <v>0</v>
      </c>
      <c r="P139" s="402">
        <f>MAX(TREND(P120:P121,B120:B121,B139),0)</f>
        <v>0</v>
      </c>
      <c r="Q139" s="729">
        <f>IF(INDEX(HwyTransitModelGroup,A114,1)=Hwy,C139*(1-M139)*0.00000110231131*(VLOOKUP(K139,EmAuto20,2)*VLOOKUP(ProjLoc,EmCost,2)+VLOOKUP(K139,EmAuto20,3)*VLOOKUP(ProjLoc,EmCost,3)*(1+CO2Uprater)^($B139-YearCurrent)+VLOOKUP(K139,EmAuto20,4)*VLOOKUP(ProjLoc,EmCost,4)+VLOOKUP(K139,EmAuto20,5)*VLOOKUP(ProjLoc,EmCost,5)+VLOOKUP(K139,EmAuto20,6)*VLOOKUP(ProjLoc,EmCost,6)+VLOOKUP(K139,EmAuto20,7)*VLOOKUP(ProjLoc,EmCost,7))+C139*M139*0.00000110231131*(VLOOKUP(K139,EmTruck20,2)*VLOOKUP(ProjLoc,EmCost,2)+VLOOKUP(K139,EmTruck20,3)*VLOOKUP(ProjLoc,EmCost,3)*(1+CO2Uprater)^($B139-YearCurrent)+VLOOKUP(K139,EmTruck20,4)*VLOOKUP(ProjLoc,EmCost,4)+VLOOKUP(K139,EmTruck20,5)*VLOOKUP(ProjLoc,EmCost,5)+VLOOKUP(K139,EmTruck20,6)*VLOOKUP(ProjLoc,EmCost,6)+VLOOKUP(K139,EmTruck20,7)*VLOOKUP(ProjLoc,EmCost,7)),0)</f>
        <v>29967.393778419515</v>
      </c>
      <c r="R139" s="802">
        <f>IF(INDEX(HwyTransitModelGroup,A114,1)=Hwy,D139*(1-N139)*0.00000110231131*(VLOOKUP(L139,EmAuto20,2)*VLOOKUP(ProjLoc,EmCost,2)+VLOOKUP(L139,EmAuto20,3)*VLOOKUP(ProjLoc,EmCost,3)*(1+CO2Uprater)^($B139-YearCurrent)+VLOOKUP(L139,EmAuto20,4)*VLOOKUP(ProjLoc,EmCost,4)+VLOOKUP(L139,EmAuto20,5)*VLOOKUP(ProjLoc,EmCost,5)+VLOOKUP(L139,EmAuto20,6)*VLOOKUP(ProjLoc,EmCost,6)+VLOOKUP(L139,EmAuto20,7)*VLOOKUP(ProjLoc,EmCost,7))+D139*N139*0.00000110231131*(VLOOKUP(L139,EmTruck20,2)*VLOOKUP(ProjLoc,EmCost,2)+VLOOKUP(L139,EmTruck20,3)*VLOOKUP(ProjLoc,EmCost,3)*(1+CO2Uprater)^($B139-YearCurrent)+VLOOKUP(L139,EmTruck20,4)*VLOOKUP(ProjLoc,EmCost,4)+VLOOKUP(L139,EmTruck20,5)*VLOOKUP(ProjLoc,EmCost,5)+VLOOKUP(L139,EmTruck20,6)*VLOOKUP(ProjLoc,EmCost,6)+VLOOKUP(L139,EmTruck20,7)*VLOOKUP(ProjLoc,EmCost,7)),0)</f>
        <v>35978.654925272233</v>
      </c>
      <c r="S139" s="729">
        <f>IF(INDEX(HwyTransitModelGroup,A114,1)=Hwy,O139*(1-M139)*0.00000110231131*(VLOOKUP(0,EmAuto20,2)*VLOOKUP(ProjLoc,EmCost,2)+VLOOKUP(0,EmAuto20,3)*VLOOKUP(ProjLoc,EmCost,3)*(1+CO2Uprater)^($B139-YearCurrent)+VLOOKUP(0,EmAuto20,4)*VLOOKUP(ProjLoc,EmCost,4)+VLOOKUP(0,EmAuto20,5)*VLOOKUP(ProjLoc,EmCost,5)+VLOOKUP(0,EmAuto20,6)*VLOOKUP(ProjLoc,EmCost,6)+VLOOKUP(0,EmAuto20,7)*VLOOKUP(ProjLoc,EmCost,7))+O139*M139*0.00000110231131*(VLOOKUP(0,EmTruck20,2)*VLOOKUP(ProjLoc,EmCost,2)+VLOOKUP(0,EmTruck20,3)*VLOOKUP(ProjLoc,EmCost,3)*(1+CO2Uprater)^($B139-YearCurrent)+VLOOKUP(0,EmTruck20,4)*VLOOKUP(ProjLoc,EmCost,4)+VLOOKUP(0,EmTruck20,5)*VLOOKUP(ProjLoc,EmCost,5)+VLOOKUP(0,EmTruck20,6)*VLOOKUP(ProjLoc,EmCost,6)+VLOOKUP(0,EmTruck20,7)*VLOOKUP(ProjLoc,EmCost,7)),0)</f>
        <v>0</v>
      </c>
      <c r="T139" s="802">
        <f>IF(INDEX(HwyTransitModelGroup,A114,1)=Hwy,P139*(1-N139)*0.00000110231131*(VLOOKUP(0,EmAuto20,2)*VLOOKUP(ProjLoc,EmCost,2)+VLOOKUP(0,EmAuto20,3)*VLOOKUP(ProjLoc,EmCost,3)*(1+CO2Uprater)^($B139-YearCurrent)+VLOOKUP(0,EmAuto20,4)*VLOOKUP(ProjLoc,EmCost,4)+VLOOKUP(0,EmAuto20,5)*VLOOKUP(ProjLoc,EmCost,5)+VLOOKUP(0,EmAuto20,6)*VLOOKUP(ProjLoc,EmCost,6)+VLOOKUP(0,EmAuto20,7)*VLOOKUP(ProjLoc,EmCost,7))+P139*N139*0.00000110231131*(VLOOKUP(0,EmTruck20,2)*VLOOKUP(ProjLoc,EmCost,2)+VLOOKUP(0,EmTruck20,3)*VLOOKUP(ProjLoc,EmCost,3)*(1+CO2Uprater)^($B139-YearCurrent)+VLOOKUP(0,EmTruck20,4)*VLOOKUP(ProjLoc,EmCost,4)+VLOOKUP(0,EmTruck20,5)*VLOOKUP(ProjLoc,EmCost,5)+VLOOKUP(0,EmTruck20,6)*VLOOKUP(ProjLoc,EmCost,6)+VLOOKUP(0,EmTruck20,7)*VLOOKUP(ProjLoc,EmCost,7)),0)</f>
        <v>0</v>
      </c>
      <c r="U139" s="729">
        <f>IF(INDEX(HwyTransitModelGroup,A114,1)=PARAMETERS!$J$9,C139*0.00000110231131*(VLOOKUP(K139,EmBus20,2)*VLOOKUP(ProjLoc,EmCost,2)+VLOOKUP(K139,EmBus20,3)*VLOOKUP(ProjLoc,EmCost,3)*(1+CO2Uprater)^($B139-YearCurrent)+VLOOKUP(K139,EmBus20,4)*VLOOKUP(ProjLoc,EmCost,4)+VLOOKUP(K139,EmBus20,5)*VLOOKUP(ProjLoc,EmCost,5)+VLOOKUP(K139,EmBus20,6)*VLOOKUP(ProjLoc,EmCost,6)+VLOOKUP(K139,EmBus20,7)*VLOOKUP(ProjLoc,EmCost,7)),0)</f>
        <v>0</v>
      </c>
      <c r="V139" s="802">
        <f>IF(INDEX(HwyTransitModelGroup,A114,1)=PARAMETERS!$J$9,D139*0.00000110231131*(VLOOKUP(L139,EmBus20,2)*VLOOKUP(ProjLoc,EmCost,2)+VLOOKUP(L139,EmBus20,3)*VLOOKUP(ProjLoc,EmCost,3)*(1+CO2Uprater)^($B139-YearCurrent)+VLOOKUP(L139,EmBus20,4)*VLOOKUP(ProjLoc,EmCost,4)+VLOOKUP(L139,EmBus20,5)*VLOOKUP(ProjLoc,EmCost,5)+VLOOKUP(L139,EmBus20,6)*VLOOKUP(ProjLoc,EmCost,6)+VLOOKUP(L139,EmBus20,7)*VLOOKUP(ProjLoc,EmCost,7)),0)</f>
        <v>0</v>
      </c>
      <c r="W139" s="808">
        <f>IF(INDEX(HwyTransitModelGroup,A114,1)=PARAMETERS!$J$10,C139*0.00000110231131*(PARAMETERS!$CQ$29*VLOOKUP(ProjLoc,EmCost,2)+PARAMETERS!$CR$29*VLOOKUP(ProjLoc,EmCost,3)*(1+CO2Uprater)^($B139-YearCurrent)+PARAMETERS!$CS$29*VLOOKUP(ProjLoc,EmCost,4)+PARAMETERS!$CT$29*VLOOKUP(ProjLoc,EmCost,5)+PARAMETERS!$CU$29*VLOOKUP(ProjLoc,EmCost,6)+PARAMETERS!$CV$29*VLOOKUP(ProjLoc,EmCost,7)),0)</f>
        <v>0</v>
      </c>
      <c r="X139" s="844">
        <f>IF(INDEX(HwyTransitModelGroup,A114,1)=PARAMETERS!$J$10,D139*0.00000110231131*(PARAMETERS!$CQ$29*VLOOKUP(ProjLoc,EmCost,2)+PARAMETERS!$CR$29*VLOOKUP(ProjLoc,EmCost,3)*(1+CO2Uprater)^($B139-YearCurrent)+PARAMETERS!$CS$29*VLOOKUP(ProjLoc,EmCost,4)+PARAMETERS!$CT$29*VLOOKUP(ProjLoc,EmCost,5)+PARAMETERS!$CU$29*VLOOKUP(ProjLoc,EmCost,6)+PARAMETERS!$CV$29*VLOOKUP(ProjLoc,EmCost,7)),0)</f>
        <v>0</v>
      </c>
      <c r="Y139" s="808">
        <f>IF(INDEX(HwyTransitModelGroup,A114,1)=PARAMETERS!$J$11,C139*0.00000110231131*(PARAMETERS!$CQ$37*VLOOKUP(ProjLoc,EmCost,2)+PARAMETERS!$CR$37*VLOOKUP(ProjLoc,EmCost,3)*(1+CO2Uprater)^($B139-YearCurrent)+PARAMETERS!$CS$37*VLOOKUP(ProjLoc,EmCost,4)+PARAMETERS!$CT$37*VLOOKUP(ProjLoc,EmCost,5)+PARAMETERS!$CU$37*VLOOKUP(ProjLoc,EmCost,6)+PARAMETERS!$CV$37*VLOOKUP(ProjLoc,EmCost,7)),0)</f>
        <v>0</v>
      </c>
      <c r="Z139" s="844">
        <f>IF(INDEX(HwyTransitModelGroup,A114,1)=PARAMETERS!$J$11,D139*0.00000110231131*(PARAMETERS!$CQ$37*VLOOKUP(ProjLoc,EmCost,2)+PARAMETERS!$CR$37*VLOOKUP(ProjLoc,EmCost,3)*(1+CO2Uprater)^($B139-YearCurrent)+PARAMETERS!$CS$37*VLOOKUP(ProjLoc,EmCost,4)+PARAMETERS!$CT$37*VLOOKUP(ProjLoc,EmCost,5)+PARAMETERS!$CU$37*VLOOKUP(ProjLoc,EmCost,6)+PARAMETERS!$CV$37*VLOOKUP(ProjLoc,EmCost,7)),0)</f>
        <v>0</v>
      </c>
      <c r="AA139" s="369">
        <f t="shared" si="48"/>
        <v>-6011.2611468527175</v>
      </c>
      <c r="AB139" s="370">
        <f t="shared" si="49"/>
        <v>-2743.4611176305884</v>
      </c>
      <c r="AC139" s="371"/>
      <c r="AD139" s="401">
        <f>IF(INDEX(HwyTransitModelGroup,A114,1)=Hwy,0.00000110231131*(C139*(1-M139)*VLOOKUP(K139,EmAuto20,2)-D139*(1-N139)*VLOOKUP(L139,EmAuto20,2)+(O139*(1-M139)-P139*(1-N139))*VLOOKUP(0,EmAuto20,2))+0.00000110231131*(C139*M139*VLOOKUP(K139,EmTruck20,2)-D139*N139*VLOOKUP(L139,EmTruck20,2)+(O139*M139-P139*N139)*VLOOKUP(0,EmTruck20,2)),0)</f>
        <v>0.19727061139710647</v>
      </c>
      <c r="AE139" s="863">
        <f>IF(INDEX(HwyTransitModelGroup,A114,1)=Hwy,0.00000110231131*(C139*(1-M139)*VLOOKUP(K139,EmAuto20,3)-D139*(1-N139)*VLOOKUP(L139,EmAuto20,3)+(O139*(1-M139)-P139*(1-N139))*VLOOKUP(0,EmAuto20,3))+0.00000110231131*(C139*M139*VLOOKUP(K139,EmTruck20,3)-D139*N139*VLOOKUP(L139,EmTruck20,3)+(O139*M139-P139*N139)*VLOOKUP(0,EmTruck20,3)),0)</f>
        <v>-55.482848765559069</v>
      </c>
      <c r="AF139" s="861">
        <f>IF(INDEX(HwyTransitModelGroup,A114,1)=Hwy,0.00000110231131*(C139*(1-M139)*VLOOKUP(K139,EmAuto20,4)-D139*(1-N139)*VLOOKUP(L139,EmAuto20,4)+(O139*(1-M139)-P139*(1-N139))*VLOOKUP(0,EmAuto20,4))+0.00000110231131*(C139*M139*VLOOKUP(K139,EmTruck20,4)-D139*N139*VLOOKUP(L139,EmTruck20,4)+(O139*M139-P139*N139)*VLOOKUP(0,EmTruck20,4)),0)</f>
        <v>-0.10177792728587096</v>
      </c>
      <c r="AG139" s="863">
        <f>IF(INDEX(HwyTransitModelGroup,A114,1)=Hwy,0.00000110231131*(C139*(1-M139)*VLOOKUP(K139,EmAuto20,5)-D139*(1-N139)*VLOOKUP(L139,EmAuto20,5)+(O139*(1-M139)-P139*(1-N139))*VLOOKUP(0,EmAuto20,5))+0.00000110231131*(C139*M139*VLOOKUP(K139,EmTruck20,5)-D139*N139*VLOOKUP(L139,EmTruck20,5)+(O139*M139-P139*N139)*VLOOKUP(0,EmTruck20,5)),0)</f>
        <v>-4.2843892774702347E-3</v>
      </c>
      <c r="AH139" s="861">
        <f>IF(INDEX(HwyTransitModelGroup,A114,1)=Hwy,0.00000110231131*(C139*(1-M139)*VLOOKUP(K139,EmAuto20,6)-D139*(1-N139)*VLOOKUP(L139,EmAuto20,6)+(O139*(1-M139)-P139*(1-N139))*VLOOKUP(0,EmAuto20,6))+0.00000110231131*(C139*M139*VLOOKUP(K139,EmTruck20,6)-D139*N139*VLOOKUP(L139,EmTruck20,6)+(O139*M139-P139*N139)*VLOOKUP(0,EmTruck20,6)),0)</f>
        <v>-5.5394670723691967E-4</v>
      </c>
      <c r="AI139" s="863">
        <f>IF(INDEX(HwyTransitModelGroup,A114,1)=Hwy,0.00000110231131*(C139*(1-M139)*VLOOKUP(K139,EmAuto20,7)-D139*(1-N139)*VLOOKUP(L139,EmAuto20,7)+(O139*(1-M139)-P139*(1-N139))*VLOOKUP(0,EmAuto20,7))+0.00000110231131*(C139*M139*VLOOKUP(K139,EmTruck20,7)-D139*N139*VLOOKUP(L139,EmTruck20,7)+(O139*M139-P139*N139)*VLOOKUP(0,EmTruck20,7)),0)</f>
        <v>-1.6618594342049061E-4</v>
      </c>
      <c r="AJ139" s="861">
        <f>IF(INDEX(HwyTransitModelGroup,A114,1)=Hwy,0.00000110231131*(C139*(1-M139)*VLOOKUP(K139,EmAuto20,8)-D139*(1-N139)*VLOOKUP(L139,EmAuto20,8)+(O139*(1-M139)-P139*(1-N139))*VLOOKUP(0,EmAuto20,8))+0.00000110231131*(C139*M139*VLOOKUP(K139,EmTruck20,8)-D139*N139*VLOOKUP(L139,EmTruck20,8)+(O139*M139-P139*N139)*VLOOKUP(0,EmTruck20,8)),0)</f>
        <v>-4.1017432952846749E-3</v>
      </c>
      <c r="AK139" s="401">
        <f>IF(INDEX(HwyTransitModelGroup,A114,1)=PARAMETERS!$J$9,0.00000110231131*(C139*VLOOKUP(K139,EmBus20,2)-D139*VLOOKUP(L139,EmBus20,2)+(O139-P139)*VLOOKUP(0,EmBus20,2)),0)</f>
        <v>0</v>
      </c>
      <c r="AL139" s="863">
        <f>IF(INDEX(HwyTransitModelGroup,A114,1)=PARAMETERS!$J$9,0.00000110231131*(C139*VLOOKUP(K139,EmBus20,3)-D139*VLOOKUP(L139,EmBus20,3)+(O139-P139)*VLOOKUP(0,EmBus20,3)),0)</f>
        <v>0</v>
      </c>
      <c r="AM139" s="861">
        <f>IF(INDEX(HwyTransitModelGroup,A114,1)=PARAMETERS!$J$9,0.00000110231131*(C139*VLOOKUP(K139,EmBus20,4)-D139*VLOOKUP(L139,EmBus20,4)+(O139-P139)*VLOOKUP(0,EmBus20,4)),0)</f>
        <v>0</v>
      </c>
      <c r="AN139" s="863">
        <f>IF(INDEX(HwyTransitModelGroup,A114,1)=PARAMETERS!$J$9,0.00000110231131*(C139*VLOOKUP(K139,EmBus20,5)-D139*VLOOKUP(L139,EmBus20,5)+(O139-P139)*VLOOKUP(0,EmBus20,5)),0)</f>
        <v>0</v>
      </c>
      <c r="AO139" s="861">
        <f>IF(INDEX(HwyTransitModelGroup,A114,1)=PARAMETERS!$J$9,0.00000110231131*(C139*VLOOKUP(K139,EmBus20,6)-D139*VLOOKUP(L139,EmBus20,6)+(O139-P139)*VLOOKUP(0,EmBus20,6)),0)</f>
        <v>0</v>
      </c>
      <c r="AP139" s="863">
        <f>IF(INDEX(HwyTransitModelGroup,A114,1)=PARAMETERS!$J$9,0.00000110231131*(C139*VLOOKUP(K139,EmBus20,7)-D139*VLOOKUP(L139,EmBus20,7)+(O139-P139)*VLOOKUP(0,EmBus20,7)),0)</f>
        <v>0</v>
      </c>
      <c r="AQ139" s="861">
        <f>IF(INDEX(HwyTransitModelGroup,A114,1)=PARAMETERS!$J$9,0.00000110231131*(C139*VLOOKUP(K139,EmBus20,8)-D139*VLOOKUP(L139,EmBus20,8)+(O139-P139)*VLOOKUP(0,EmBus20,8)),0)</f>
        <v>0</v>
      </c>
      <c r="AR139" s="401">
        <f>IF(INDEX(HwyTransitModelGroup,A114,1)=PARAMETERS!$J$10,0.00000110231131*((C139-D139)*PARAMETERS!$CQ$29),0)</f>
        <v>0</v>
      </c>
      <c r="AS139" s="863">
        <f>IF(INDEX(HwyTransitModelGroup,A114,1)=PARAMETERS!$J$10,0.00000110231131*((C139-D139)*PARAMETERS!$CR$29),0)</f>
        <v>0</v>
      </c>
      <c r="AT139" s="861">
        <f>IF(INDEX(HwyTransitModelGroup,A114,1)=PARAMETERS!$J$10,0.00000110231131*((C139-D139)*PARAMETERS!$CS$29),0)</f>
        <v>0</v>
      </c>
      <c r="AU139" s="863">
        <f>IF(INDEX(HwyTransitModelGroup,A114,1)=PARAMETERS!$J$10,0.00000110231131*((C139-D139)*PARAMETERS!$CT$29),0)</f>
        <v>0</v>
      </c>
      <c r="AV139" s="861">
        <f>IF(INDEX(HwyTransitModelGroup,A114,1)=PARAMETERS!$J$10,0.00000110231131*((C139-D139)*PARAMETERS!$CU$29),0)</f>
        <v>0</v>
      </c>
      <c r="AW139" s="863">
        <f>IF(INDEX(HwyTransitModelGroup,A114,1)=PARAMETERS!$J$10,0.00000110231131*((C139-D139)*PARAMETERS!$CV$29),0)</f>
        <v>0</v>
      </c>
      <c r="AX139" s="861">
        <f>IF(INDEX(HwyTransitModelGroup,A114,1)=PARAMETERS!$J$10,0.00000110231131*((C139-D139)*PARAMETERS!$CW$29),0)</f>
        <v>0</v>
      </c>
      <c r="AY139" s="401">
        <f>IF(INDEX(HwyTransitModelGroup,A114,1)=PARAMETERS!$J$11,0.00000110231131*((C139-D139)*PARAMETERS!$CQ$37),0)</f>
        <v>0</v>
      </c>
      <c r="AZ139" s="863">
        <f>IF(INDEX(HwyTransitModelGroup,A114,1)=PARAMETERS!$J$11,0.00000110231131*((C139-D139)*PARAMETERS!$CR$37),0)</f>
        <v>0</v>
      </c>
      <c r="BA139" s="861">
        <f>IF(INDEX(HwyTransitModelGroup,A114,1)=PARAMETERS!$J$11,0.00000110231131*((C139-D139)*PARAMETERS!$CS$37),0)</f>
        <v>0</v>
      </c>
      <c r="BB139" s="863">
        <f>IF(INDEX(HwyTransitModelGroup,A114,1)=PARAMETERS!$J$11,0.00000110231131*((C139-D139)*PARAMETERS!$CT$37),0)</f>
        <v>0</v>
      </c>
      <c r="BC139" s="861">
        <f>IF(INDEX(HwyTransitModelGroup,A114,1)=PARAMETERS!$J$11,0.00000110231131*((C139-D139)*PARAMETERS!$CU$37),0)</f>
        <v>0</v>
      </c>
      <c r="BD139" s="863">
        <f>IF(INDEX(HwyTransitModelGroup,A114,1)=PARAMETERS!$J$11,0.00000110231131*((C139-D139)*PARAMETERS!$CV$37),0)</f>
        <v>0</v>
      </c>
      <c r="BE139" s="865">
        <f>IF(INDEX(HwyTransitModelGroup,A114,1)=PARAMETERS!$J$11,0.00000110231131*((C139-D139)*PARAMETERS!$CW$37),0)</f>
        <v>0</v>
      </c>
      <c r="BF139" s="729">
        <f t="shared" si="50"/>
        <v>7.2025385528629773</v>
      </c>
      <c r="BG139" s="867">
        <f t="shared" si="51"/>
        <v>-1806.0785654722642</v>
      </c>
      <c r="BH139" s="867">
        <f t="shared" si="52"/>
        <v>-701.39677311290666</v>
      </c>
      <c r="BI139" s="867">
        <f t="shared" si="53"/>
        <v>-228.1881008242128</v>
      </c>
      <c r="BJ139" s="867">
        <f t="shared" si="54"/>
        <v>-14.916028718373017</v>
      </c>
      <c r="BK139" s="869">
        <f t="shared" si="55"/>
        <v>-8.418805569337684E-2</v>
      </c>
      <c r="BL139" s="2"/>
      <c r="BN139" s="375">
        <f t="shared" si="60"/>
        <v>2039</v>
      </c>
      <c r="BO139" s="871">
        <f t="shared" ca="1" si="58"/>
        <v>-6.0696924844463786E-3</v>
      </c>
      <c r="BP139" s="871">
        <f t="shared" ca="1" si="61"/>
        <v>-8.3221529350999204E-3</v>
      </c>
      <c r="BQ139" s="871">
        <f t="shared" ca="1" si="61"/>
        <v>1.9434085936250841E-2</v>
      </c>
      <c r="BR139" s="871">
        <f t="shared" ca="1" si="61"/>
        <v>-9.8534824803202678E-2</v>
      </c>
      <c r="BS139" s="871">
        <f t="shared" ca="1" si="61"/>
        <v>0.53497112027040661</v>
      </c>
      <c r="BT139" s="871">
        <f t="shared" ca="1" si="61"/>
        <v>0.64374724283530749</v>
      </c>
    </row>
    <row r="140" spans="2:72" x14ac:dyDescent="0.25">
      <c r="B140" s="375">
        <f t="shared" si="57"/>
        <v>2043</v>
      </c>
      <c r="C140" s="401">
        <f>MAX(TREND(C120:C121,B120:B121,B140),0)</f>
        <v>1117976.75</v>
      </c>
      <c r="D140" s="402">
        <f>MAX(TREND(D120:D121,B120:B121,B140),0)</f>
        <v>921333</v>
      </c>
      <c r="E140" s="401">
        <f>MAX(TREND(E120:E121,B120:B121,B140),0)</f>
        <v>26134</v>
      </c>
      <c r="F140" s="402">
        <f>MAX(TREND(F120:F121,B120:B121,B140),0)</f>
        <v>12337</v>
      </c>
      <c r="G140" s="401">
        <f>MAX(TREND(G120:G121,B120:B121,B140),0)</f>
        <v>0</v>
      </c>
      <c r="H140" s="402">
        <f>MAX(TREND(H120:H121,B120:B121,B140),0)</f>
        <v>0</v>
      </c>
      <c r="I140" s="401">
        <f>MAX(TREND(I120:I121,B120:B121,B140),0)</f>
        <v>0</v>
      </c>
      <c r="J140" s="402">
        <f>MAX(TREND(J120:J121,B120:B121,B140),0)</f>
        <v>0</v>
      </c>
      <c r="K140" s="435">
        <f>IFERROR(IF(INDEX(HwyTransitModelGroup,A114,1)=Hwy,MAX(5,ROUND(C140/E140,1)),MAX(5,ROUND(G140/I140,1))),55)</f>
        <v>42.8</v>
      </c>
      <c r="L140" s="436">
        <f>IFERROR(IF(INDEX(HwyTransitModelGroup,A114,1)=Hwy,MAX(5,ROUND(D140/F140,1)),MAX(5,ROUND(H140/J140,1))),55)</f>
        <v>74.7</v>
      </c>
      <c r="M140" s="405">
        <f>MIN(MAX(TREND(M120:M121,B120:B121,B140),0),1)</f>
        <v>0.24</v>
      </c>
      <c r="N140" s="406">
        <f>MIN(MAX(TREND(N120:N121,B120:B121,B140),0),1)</f>
        <v>0.24</v>
      </c>
      <c r="O140" s="401">
        <f>MAX(TREND(O120:O121,B120:B121,B140),0)</f>
        <v>0</v>
      </c>
      <c r="P140" s="402">
        <f>MAX(TREND(P120:P121,B120:B121,B140),0)</f>
        <v>0</v>
      </c>
      <c r="Q140" s="729">
        <f>IF(INDEX(HwyTransitModelGroup,A114,1)=Hwy,C140*(1-M140)*0.00000110231131*(VLOOKUP(K140,EmAuto20,2)*VLOOKUP(ProjLoc,EmCost,2)+VLOOKUP(K140,EmAuto20,3)*VLOOKUP(ProjLoc,EmCost,3)*(1+CO2Uprater)^($B140-YearCurrent)+VLOOKUP(K140,EmAuto20,4)*VLOOKUP(ProjLoc,EmCost,4)+VLOOKUP(K140,EmAuto20,5)*VLOOKUP(ProjLoc,EmCost,5)+VLOOKUP(K140,EmAuto20,6)*VLOOKUP(ProjLoc,EmCost,6)+VLOOKUP(K140,EmAuto20,7)*VLOOKUP(ProjLoc,EmCost,7))+C140*M140*0.00000110231131*(VLOOKUP(K140,EmTruck20,2)*VLOOKUP(ProjLoc,EmCost,2)+VLOOKUP(K140,EmTruck20,3)*VLOOKUP(ProjLoc,EmCost,3)*(1+CO2Uprater)^($B140-YearCurrent)+VLOOKUP(K140,EmTruck20,4)*VLOOKUP(ProjLoc,EmCost,4)+VLOOKUP(K140,EmTruck20,5)*VLOOKUP(ProjLoc,EmCost,5)+VLOOKUP(K140,EmTruck20,6)*VLOOKUP(ProjLoc,EmCost,6)+VLOOKUP(K140,EmTruck20,7)*VLOOKUP(ProjLoc,EmCost,7)),0)</f>
        <v>30846.69264937329</v>
      </c>
      <c r="R140" s="802">
        <f>IF(INDEX(HwyTransitModelGroup,A114,1)=Hwy,D140*(1-N140)*0.00000110231131*(VLOOKUP(L140,EmAuto20,2)*VLOOKUP(ProjLoc,EmCost,2)+VLOOKUP(L140,EmAuto20,3)*VLOOKUP(ProjLoc,EmCost,3)*(1+CO2Uprater)^($B140-YearCurrent)+VLOOKUP(L140,EmAuto20,4)*VLOOKUP(ProjLoc,EmCost,4)+VLOOKUP(L140,EmAuto20,5)*VLOOKUP(ProjLoc,EmCost,5)+VLOOKUP(L140,EmAuto20,6)*VLOOKUP(ProjLoc,EmCost,6)+VLOOKUP(L140,EmAuto20,7)*VLOOKUP(ProjLoc,EmCost,7))+D140*N140*0.00000110231131*(VLOOKUP(L140,EmTruck20,2)*VLOOKUP(ProjLoc,EmCost,2)+VLOOKUP(L140,EmTruck20,3)*VLOOKUP(ProjLoc,EmCost,3)*(1+CO2Uprater)^($B140-YearCurrent)+VLOOKUP(L140,EmTruck20,4)*VLOOKUP(ProjLoc,EmCost,4)+VLOOKUP(L140,EmTruck20,5)*VLOOKUP(ProjLoc,EmCost,5)+VLOOKUP(L140,EmTruck20,6)*VLOOKUP(ProjLoc,EmCost,6)+VLOOKUP(L140,EmTruck20,7)*VLOOKUP(ProjLoc,EmCost,7)),0)</f>
        <v>37001.225305535023</v>
      </c>
      <c r="S140" s="729">
        <f>IF(INDEX(HwyTransitModelGroup,A114,1)=Hwy,O140*(1-M140)*0.00000110231131*(VLOOKUP(0,EmAuto20,2)*VLOOKUP(ProjLoc,EmCost,2)+VLOOKUP(0,EmAuto20,3)*VLOOKUP(ProjLoc,EmCost,3)*(1+CO2Uprater)^($B140-YearCurrent)+VLOOKUP(0,EmAuto20,4)*VLOOKUP(ProjLoc,EmCost,4)+VLOOKUP(0,EmAuto20,5)*VLOOKUP(ProjLoc,EmCost,5)+VLOOKUP(0,EmAuto20,6)*VLOOKUP(ProjLoc,EmCost,6)+VLOOKUP(0,EmAuto20,7)*VLOOKUP(ProjLoc,EmCost,7))+O140*M140*0.00000110231131*(VLOOKUP(0,EmTruck20,2)*VLOOKUP(ProjLoc,EmCost,2)+VLOOKUP(0,EmTruck20,3)*VLOOKUP(ProjLoc,EmCost,3)*(1+CO2Uprater)^($B140-YearCurrent)+VLOOKUP(0,EmTruck20,4)*VLOOKUP(ProjLoc,EmCost,4)+VLOOKUP(0,EmTruck20,5)*VLOOKUP(ProjLoc,EmCost,5)+VLOOKUP(0,EmTruck20,6)*VLOOKUP(ProjLoc,EmCost,6)+VLOOKUP(0,EmTruck20,7)*VLOOKUP(ProjLoc,EmCost,7)),0)</f>
        <v>0</v>
      </c>
      <c r="T140" s="802">
        <f>IF(INDEX(HwyTransitModelGroup,A114,1)=Hwy,P140*(1-N140)*0.00000110231131*(VLOOKUP(0,EmAuto20,2)*VLOOKUP(ProjLoc,EmCost,2)+VLOOKUP(0,EmAuto20,3)*VLOOKUP(ProjLoc,EmCost,3)*(1+CO2Uprater)^($B140-YearCurrent)+VLOOKUP(0,EmAuto20,4)*VLOOKUP(ProjLoc,EmCost,4)+VLOOKUP(0,EmAuto20,5)*VLOOKUP(ProjLoc,EmCost,5)+VLOOKUP(0,EmAuto20,6)*VLOOKUP(ProjLoc,EmCost,6)+VLOOKUP(0,EmAuto20,7)*VLOOKUP(ProjLoc,EmCost,7))+P140*N140*0.00000110231131*(VLOOKUP(0,EmTruck20,2)*VLOOKUP(ProjLoc,EmCost,2)+VLOOKUP(0,EmTruck20,3)*VLOOKUP(ProjLoc,EmCost,3)*(1+CO2Uprater)^($B140-YearCurrent)+VLOOKUP(0,EmTruck20,4)*VLOOKUP(ProjLoc,EmCost,4)+VLOOKUP(0,EmTruck20,5)*VLOOKUP(ProjLoc,EmCost,5)+VLOOKUP(0,EmTruck20,6)*VLOOKUP(ProjLoc,EmCost,6)+VLOOKUP(0,EmTruck20,7)*VLOOKUP(ProjLoc,EmCost,7)),0)</f>
        <v>0</v>
      </c>
      <c r="U140" s="729">
        <f>IF(INDEX(HwyTransitModelGroup,A114,1)=PARAMETERS!$J$9,C140*0.00000110231131*(VLOOKUP(K140,EmBus20,2)*VLOOKUP(ProjLoc,EmCost,2)+VLOOKUP(K140,EmBus20,3)*VLOOKUP(ProjLoc,EmCost,3)*(1+CO2Uprater)^($B140-YearCurrent)+VLOOKUP(K140,EmBus20,4)*VLOOKUP(ProjLoc,EmCost,4)+VLOOKUP(K140,EmBus20,5)*VLOOKUP(ProjLoc,EmCost,5)+VLOOKUP(K140,EmBus20,6)*VLOOKUP(ProjLoc,EmCost,6)+VLOOKUP(K140,EmBus20,7)*VLOOKUP(ProjLoc,EmCost,7)),0)</f>
        <v>0</v>
      </c>
      <c r="V140" s="802">
        <f>IF(INDEX(HwyTransitModelGroup,A114,1)=PARAMETERS!$J$9,D140*0.00000110231131*(VLOOKUP(L140,EmBus20,2)*VLOOKUP(ProjLoc,EmCost,2)+VLOOKUP(L140,EmBus20,3)*VLOOKUP(ProjLoc,EmCost,3)*(1+CO2Uprater)^($B140-YearCurrent)+VLOOKUP(L140,EmBus20,4)*VLOOKUP(ProjLoc,EmCost,4)+VLOOKUP(L140,EmBus20,5)*VLOOKUP(ProjLoc,EmCost,5)+VLOOKUP(L140,EmBus20,6)*VLOOKUP(ProjLoc,EmCost,6)+VLOOKUP(L140,EmBus20,7)*VLOOKUP(ProjLoc,EmCost,7)),0)</f>
        <v>0</v>
      </c>
      <c r="W140" s="808">
        <f>IF(INDEX(HwyTransitModelGroup,A114,1)=PARAMETERS!$J$10,C140*0.00000110231131*(PARAMETERS!$CQ$29*VLOOKUP(ProjLoc,EmCost,2)+PARAMETERS!$CR$29*VLOOKUP(ProjLoc,EmCost,3)*(1+CO2Uprater)^($B140-YearCurrent)+PARAMETERS!$CS$29*VLOOKUP(ProjLoc,EmCost,4)+PARAMETERS!$CT$29*VLOOKUP(ProjLoc,EmCost,5)+PARAMETERS!$CU$29*VLOOKUP(ProjLoc,EmCost,6)+PARAMETERS!$CV$29*VLOOKUP(ProjLoc,EmCost,7)),0)</f>
        <v>0</v>
      </c>
      <c r="X140" s="844">
        <f>IF(INDEX(HwyTransitModelGroup,A114,1)=PARAMETERS!$J$10,D140*0.00000110231131*(PARAMETERS!$CQ$29*VLOOKUP(ProjLoc,EmCost,2)+PARAMETERS!$CR$29*VLOOKUP(ProjLoc,EmCost,3)*(1+CO2Uprater)^($B140-YearCurrent)+PARAMETERS!$CS$29*VLOOKUP(ProjLoc,EmCost,4)+PARAMETERS!$CT$29*VLOOKUP(ProjLoc,EmCost,5)+PARAMETERS!$CU$29*VLOOKUP(ProjLoc,EmCost,6)+PARAMETERS!$CV$29*VLOOKUP(ProjLoc,EmCost,7)),0)</f>
        <v>0</v>
      </c>
      <c r="Y140" s="808">
        <f>IF(INDEX(HwyTransitModelGroup,A114,1)=PARAMETERS!$J$11,C140*0.00000110231131*(PARAMETERS!$CQ$37*VLOOKUP(ProjLoc,EmCost,2)+PARAMETERS!$CR$37*VLOOKUP(ProjLoc,EmCost,3)*(1+CO2Uprater)^($B140-YearCurrent)+PARAMETERS!$CS$37*VLOOKUP(ProjLoc,EmCost,4)+PARAMETERS!$CT$37*VLOOKUP(ProjLoc,EmCost,5)+PARAMETERS!$CU$37*VLOOKUP(ProjLoc,EmCost,6)+PARAMETERS!$CV$37*VLOOKUP(ProjLoc,EmCost,7)),0)</f>
        <v>0</v>
      </c>
      <c r="Z140" s="844">
        <f>IF(INDEX(HwyTransitModelGroup,A114,1)=PARAMETERS!$J$11,D140*0.00000110231131*(PARAMETERS!$CQ$37*VLOOKUP(ProjLoc,EmCost,2)+PARAMETERS!$CR$37*VLOOKUP(ProjLoc,EmCost,3)*(1+CO2Uprater)^($B140-YearCurrent)+PARAMETERS!$CS$37*VLOOKUP(ProjLoc,EmCost,4)+PARAMETERS!$CT$37*VLOOKUP(ProjLoc,EmCost,5)+PARAMETERS!$CU$37*VLOOKUP(ProjLoc,EmCost,6)+PARAMETERS!$CV$37*VLOOKUP(ProjLoc,EmCost,7)),0)</f>
        <v>0</v>
      </c>
      <c r="AA140" s="369">
        <f t="shared" si="48"/>
        <v>-6154.532656161733</v>
      </c>
      <c r="AB140" s="370">
        <f t="shared" si="49"/>
        <v>-2700.8157348478649</v>
      </c>
      <c r="AC140" s="371"/>
      <c r="AD140" s="401">
        <f>IF(INDEX(HwyTransitModelGroup,A114,1)=Hwy,0.00000110231131*(C140*(1-M140)*VLOOKUP(K140,EmAuto20,2)-D140*(1-N140)*VLOOKUP(L140,EmAuto20,2)+(O140*(1-M140)-P140*(1-N140))*VLOOKUP(0,EmAuto20,2))+0.00000110231131*(C140*M140*VLOOKUP(K140,EmTruck20,2)-D140*N140*VLOOKUP(L140,EmTruck20,2)+(O140*M140-P140*N140)*VLOOKUP(0,EmTruck20,2)),0)</f>
        <v>0.19938456384673842</v>
      </c>
      <c r="AE140" s="863">
        <f>IF(INDEX(HwyTransitModelGroup,A114,1)=Hwy,0.00000110231131*(C140*(1-M140)*VLOOKUP(K140,EmAuto20,3)-D140*(1-N140)*VLOOKUP(L140,EmAuto20,3)+(O140*(1-M140)-P140*(1-N140))*VLOOKUP(0,EmAuto20,3))+0.00000110231131*(C140*M140*VLOOKUP(K140,EmTruck20,3)-D140*N140*VLOOKUP(L140,EmTruck20,3)+(O140*M140-P140*N140)*VLOOKUP(0,EmTruck20,3)),0)</f>
        <v>-56.064352098854371</v>
      </c>
      <c r="AF140" s="861">
        <f>IF(INDEX(HwyTransitModelGroup,A114,1)=Hwy,0.00000110231131*(C140*(1-M140)*VLOOKUP(K140,EmAuto20,4)-D140*(1-N140)*VLOOKUP(L140,EmAuto20,4)+(O140*(1-M140)-P140*(1-N140))*VLOOKUP(0,EmAuto20,4))+0.00000110231131*(C140*M140*VLOOKUP(K140,EmTruck20,4)-D140*N140*VLOOKUP(L140,EmTruck20,4)+(O140*M140-P140*N140)*VLOOKUP(0,EmTruck20,4)),0)</f>
        <v>-0.10285896144676041</v>
      </c>
      <c r="AG140" s="863">
        <f>IF(INDEX(HwyTransitModelGroup,A114,1)=Hwy,0.00000110231131*(C140*(1-M140)*VLOOKUP(K140,EmAuto20,5)-D140*(1-N140)*VLOOKUP(L140,EmAuto20,5)+(O140*(1-M140)-P140*(1-N140))*VLOOKUP(0,EmAuto20,5))+0.00000110231131*(C140*M140*VLOOKUP(K140,EmTruck20,5)-D140*N140*VLOOKUP(L140,EmTruck20,5)+(O140*M140-P140*N140)*VLOOKUP(0,EmTruck20,5)),0)</f>
        <v>-4.3299773855388496E-3</v>
      </c>
      <c r="AH140" s="861">
        <f>IF(INDEX(HwyTransitModelGroup,A114,1)=Hwy,0.00000110231131*(C140*(1-M140)*VLOOKUP(K140,EmAuto20,6)-D140*(1-N140)*VLOOKUP(L140,EmAuto20,6)+(O140*(1-M140)-P140*(1-N140))*VLOOKUP(0,EmAuto20,6))+0.00000110231131*(C140*M140*VLOOKUP(K140,EmTruck20,6)-D140*N140*VLOOKUP(L140,EmTruck20,6)+(O140*M140-P140*N140)*VLOOKUP(0,EmTruck20,6)),0)</f>
        <v>-5.5975654922740565E-4</v>
      </c>
      <c r="AI140" s="863">
        <f>IF(INDEX(HwyTransitModelGroup,A114,1)=Hwy,0.00000110231131*(C140*(1-M140)*VLOOKUP(K140,EmAuto20,7)-D140*(1-N140)*VLOOKUP(L140,EmAuto20,7)+(O140*(1-M140)-P140*(1-N140))*VLOOKUP(0,EmAuto20,7))+0.00000110231131*(C140*M140*VLOOKUP(K140,EmTruck20,7)-D140*N140*VLOOKUP(L140,EmTruck20,7)+(O140*M140-P140*N140)*VLOOKUP(0,EmTruck20,7)),0)</f>
        <v>-1.6777552262658675E-4</v>
      </c>
      <c r="AJ140" s="861">
        <f>IF(INDEX(HwyTransitModelGroup,A114,1)=Hwy,0.00000110231131*(C140*(1-M140)*VLOOKUP(K140,EmAuto20,8)-D140*(1-N140)*VLOOKUP(L140,EmAuto20,8)+(O140*(1-M140)-P140*(1-N140))*VLOOKUP(0,EmAuto20,8))+0.00000110231131*(C140*M140*VLOOKUP(K140,EmTruck20,8)-D140*N140*VLOOKUP(L140,EmTruck20,8)+(O140*M140-P140*N140)*VLOOKUP(0,EmTruck20,8)),0)</f>
        <v>-4.1453876008169712E-3</v>
      </c>
      <c r="AK140" s="401">
        <f>IF(INDEX(HwyTransitModelGroup,A114,1)=PARAMETERS!$J$9,0.00000110231131*(C140*VLOOKUP(K140,EmBus20,2)-D140*VLOOKUP(L140,EmBus20,2)+(O140-P140)*VLOOKUP(0,EmBus20,2)),0)</f>
        <v>0</v>
      </c>
      <c r="AL140" s="863">
        <f>IF(INDEX(HwyTransitModelGroup,A114,1)=PARAMETERS!$J$9,0.00000110231131*(C140*VLOOKUP(K140,EmBus20,3)-D140*VLOOKUP(L140,EmBus20,3)+(O140-P140)*VLOOKUP(0,EmBus20,3)),0)</f>
        <v>0</v>
      </c>
      <c r="AM140" s="861">
        <f>IF(INDEX(HwyTransitModelGroup,A114,1)=PARAMETERS!$J$9,0.00000110231131*(C140*VLOOKUP(K140,EmBus20,4)-D140*VLOOKUP(L140,EmBus20,4)+(O140-P140)*VLOOKUP(0,EmBus20,4)),0)</f>
        <v>0</v>
      </c>
      <c r="AN140" s="863">
        <f>IF(INDEX(HwyTransitModelGroup,A114,1)=PARAMETERS!$J$9,0.00000110231131*(C140*VLOOKUP(K140,EmBus20,5)-D140*VLOOKUP(L140,EmBus20,5)+(O140-P140)*VLOOKUP(0,EmBus20,5)),0)</f>
        <v>0</v>
      </c>
      <c r="AO140" s="861">
        <f>IF(INDEX(HwyTransitModelGroup,A114,1)=PARAMETERS!$J$9,0.00000110231131*(C140*VLOOKUP(K140,EmBus20,6)-D140*VLOOKUP(L140,EmBus20,6)+(O140-P140)*VLOOKUP(0,EmBus20,6)),0)</f>
        <v>0</v>
      </c>
      <c r="AP140" s="863">
        <f>IF(INDEX(HwyTransitModelGroup,A114,1)=PARAMETERS!$J$9,0.00000110231131*(C140*VLOOKUP(K140,EmBus20,7)-D140*VLOOKUP(L140,EmBus20,7)+(O140-P140)*VLOOKUP(0,EmBus20,7)),0)</f>
        <v>0</v>
      </c>
      <c r="AQ140" s="861">
        <f>IF(INDEX(HwyTransitModelGroup,A114,1)=PARAMETERS!$J$9,0.00000110231131*(C140*VLOOKUP(K140,EmBus20,8)-D140*VLOOKUP(L140,EmBus20,8)+(O140-P140)*VLOOKUP(0,EmBus20,8)),0)</f>
        <v>0</v>
      </c>
      <c r="AR140" s="401">
        <f>IF(INDEX(HwyTransitModelGroup,A114,1)=PARAMETERS!$J$10,0.00000110231131*((C140-D140)*PARAMETERS!$CQ$29),0)</f>
        <v>0</v>
      </c>
      <c r="AS140" s="863">
        <f>IF(INDEX(HwyTransitModelGroup,A114,1)=PARAMETERS!$J$10,0.00000110231131*((C140-D140)*PARAMETERS!$CR$29),0)</f>
        <v>0</v>
      </c>
      <c r="AT140" s="861">
        <f>IF(INDEX(HwyTransitModelGroup,A114,1)=PARAMETERS!$J$10,0.00000110231131*((C140-D140)*PARAMETERS!$CS$29),0)</f>
        <v>0</v>
      </c>
      <c r="AU140" s="863">
        <f>IF(INDEX(HwyTransitModelGroup,A114,1)=PARAMETERS!$J$10,0.00000110231131*((C140-D140)*PARAMETERS!$CT$29),0)</f>
        <v>0</v>
      </c>
      <c r="AV140" s="861">
        <f>IF(INDEX(HwyTransitModelGroup,A114,1)=PARAMETERS!$J$10,0.00000110231131*((C140-D140)*PARAMETERS!$CU$29),0)</f>
        <v>0</v>
      </c>
      <c r="AW140" s="863">
        <f>IF(INDEX(HwyTransitModelGroup,A114,1)=PARAMETERS!$J$10,0.00000110231131*((C140-D140)*PARAMETERS!$CV$29),0)</f>
        <v>0</v>
      </c>
      <c r="AX140" s="861">
        <f>IF(INDEX(HwyTransitModelGroup,A114,1)=PARAMETERS!$J$10,0.00000110231131*((C140-D140)*PARAMETERS!$CW$29),0)</f>
        <v>0</v>
      </c>
      <c r="AY140" s="401">
        <f>IF(INDEX(HwyTransitModelGroup,A114,1)=PARAMETERS!$J$11,0.00000110231131*((C140-D140)*PARAMETERS!$CQ$37),0)</f>
        <v>0</v>
      </c>
      <c r="AZ140" s="863">
        <f>IF(INDEX(HwyTransitModelGroup,A114,1)=PARAMETERS!$J$11,0.00000110231131*((C140-D140)*PARAMETERS!$CR$37),0)</f>
        <v>0</v>
      </c>
      <c r="BA140" s="861">
        <f>IF(INDEX(HwyTransitModelGroup,A114,1)=PARAMETERS!$J$11,0.00000110231131*((C140-D140)*PARAMETERS!$CS$37),0)</f>
        <v>0</v>
      </c>
      <c r="BB140" s="863">
        <f>IF(INDEX(HwyTransitModelGroup,A114,1)=PARAMETERS!$J$11,0.00000110231131*((C140-D140)*PARAMETERS!$CT$37),0)</f>
        <v>0</v>
      </c>
      <c r="BC140" s="861">
        <f>IF(INDEX(HwyTransitModelGroup,A114,1)=PARAMETERS!$J$11,0.00000110231131*((C140-D140)*PARAMETERS!$CU$37),0)</f>
        <v>0</v>
      </c>
      <c r="BD140" s="863">
        <f>IF(INDEX(HwyTransitModelGroup,A114,1)=PARAMETERS!$J$11,0.00000110231131*((C140-D140)*PARAMETERS!$CV$37),0)</f>
        <v>0</v>
      </c>
      <c r="BE140" s="865">
        <f>IF(INDEX(HwyTransitModelGroup,A114,1)=PARAMETERS!$J$11,0.00000110231131*((C140-D140)*PARAMETERS!$CW$37),0)</f>
        <v>0</v>
      </c>
      <c r="BF140" s="729">
        <f t="shared" si="50"/>
        <v>6.9997317087453439</v>
      </c>
      <c r="BG140" s="867">
        <f t="shared" si="51"/>
        <v>-1789.9113697539813</v>
      </c>
      <c r="BH140" s="867">
        <f t="shared" si="52"/>
        <v>-681.58332528102244</v>
      </c>
      <c r="BI140" s="867">
        <f t="shared" si="53"/>
        <v>-221.74628819005324</v>
      </c>
      <c r="BJ140" s="867">
        <f t="shared" si="54"/>
        <v>-14.49275898554429</v>
      </c>
      <c r="BK140" s="869">
        <f t="shared" si="55"/>
        <v>-8.1724346004759418E-2</v>
      </c>
      <c r="BN140" s="375">
        <f t="shared" si="60"/>
        <v>2040</v>
      </c>
      <c r="BO140" s="871">
        <f t="shared" ca="1" si="58"/>
        <v>-6.7724151630326407E-3</v>
      </c>
      <c r="BP140" s="871">
        <f t="shared" ca="1" si="61"/>
        <v>-8.4497294206820634E-3</v>
      </c>
      <c r="BQ140" s="871">
        <f t="shared" ca="1" si="61"/>
        <v>1.9731247927505163E-2</v>
      </c>
      <c r="BR140" s="871">
        <f t="shared" ca="1" si="61"/>
        <v>-9.9615858964092099E-2</v>
      </c>
      <c r="BS140" s="871">
        <f t="shared" ca="1" si="61"/>
        <v>0.55230028186522806</v>
      </c>
      <c r="BT140" s="871">
        <f t="shared" ca="1" si="61"/>
        <v>0.65785504258540839</v>
      </c>
    </row>
    <row r="141" spans="2:72" x14ac:dyDescent="0.25">
      <c r="B141" s="375">
        <f t="shared" si="57"/>
        <v>2044</v>
      </c>
      <c r="C141" s="401">
        <f>MAX(TREND(C120:C121,B120:B121,B141),0)</f>
        <v>1129784.5</v>
      </c>
      <c r="D141" s="402">
        <f>MAX(TREND(D120:D121,B120:B121,B141),0)</f>
        <v>931042</v>
      </c>
      <c r="E141" s="401">
        <f>MAX(TREND(E120:E121,B120:B121,B141),0)</f>
        <v>26426</v>
      </c>
      <c r="F141" s="402">
        <f>MAX(TREND(F120:F121,B120:B121,B141),0)</f>
        <v>12483</v>
      </c>
      <c r="G141" s="401">
        <f>MAX(TREND(G120:G121,B120:B121,B141),0)</f>
        <v>0</v>
      </c>
      <c r="H141" s="402">
        <f>MAX(TREND(H120:H121,B120:B121,B141),0)</f>
        <v>0</v>
      </c>
      <c r="I141" s="401">
        <f>MAX(TREND(I120:I121,B120:B121,B141),0)</f>
        <v>0</v>
      </c>
      <c r="J141" s="402">
        <f>MAX(TREND(J120:J121,B120:B121,B141),0)</f>
        <v>0</v>
      </c>
      <c r="K141" s="435">
        <f>IFERROR(IF(INDEX(HwyTransitModelGroup,A114,1)=Hwy,MAX(5,ROUND(C141/E141,1)),MAX(5,ROUND(G141/I141,1))),55)</f>
        <v>42.8</v>
      </c>
      <c r="L141" s="436">
        <f>IFERROR(IF(INDEX(HwyTransitModelGroup,A114,1)=Hwy,MAX(5,ROUND(D141/F141,1)),MAX(5,ROUND(H141/J141,1))),55)</f>
        <v>74.599999999999994</v>
      </c>
      <c r="M141" s="405">
        <f>MIN(MAX(TREND(M120:M121,B120:B121,B141),0),1)</f>
        <v>0.24</v>
      </c>
      <c r="N141" s="406">
        <f>MIN(MAX(TREND(N120:N121,B120:B121,B141),0),1)</f>
        <v>0.24</v>
      </c>
      <c r="O141" s="401">
        <f>MAX(TREND(O120:O121,B120:B121,B141),0)</f>
        <v>0</v>
      </c>
      <c r="P141" s="402">
        <f>MAX(TREND(P120:P121,B120:B121,B141),0)</f>
        <v>0</v>
      </c>
      <c r="Q141" s="729">
        <f>IF(INDEX(HwyTransitModelGroup,A114,1)=Hwy,C141*(1-M141)*0.00000110231131*(VLOOKUP(K141,EmAuto20,2)*VLOOKUP(ProjLoc,EmCost,2)+VLOOKUP(K141,EmAuto20,3)*VLOOKUP(ProjLoc,EmCost,3)*(1+CO2Uprater)^($B141-YearCurrent)+VLOOKUP(K141,EmAuto20,4)*VLOOKUP(ProjLoc,EmCost,4)+VLOOKUP(K141,EmAuto20,5)*VLOOKUP(ProjLoc,EmCost,5)+VLOOKUP(K141,EmAuto20,6)*VLOOKUP(ProjLoc,EmCost,6)+VLOOKUP(K141,EmAuto20,7)*VLOOKUP(ProjLoc,EmCost,7))+C141*M141*0.00000110231131*(VLOOKUP(K141,EmTruck20,2)*VLOOKUP(ProjLoc,EmCost,2)+VLOOKUP(K141,EmTruck20,3)*VLOOKUP(ProjLoc,EmCost,3)*(1+CO2Uprater)^($B141-YearCurrent)+VLOOKUP(K141,EmTruck20,4)*VLOOKUP(ProjLoc,EmCost,4)+VLOOKUP(K141,EmTruck20,5)*VLOOKUP(ProjLoc,EmCost,5)+VLOOKUP(K141,EmTruck20,6)*VLOOKUP(ProjLoc,EmCost,6)+VLOOKUP(K141,EmTruck20,7)*VLOOKUP(ProjLoc,EmCost,7)),0)</f>
        <v>31749.114679766157</v>
      </c>
      <c r="R141" s="802">
        <f>IF(INDEX(HwyTransitModelGroup,A114,1)=Hwy,D141*(1-N141)*0.00000110231131*(VLOOKUP(L141,EmAuto20,2)*VLOOKUP(ProjLoc,EmCost,2)+VLOOKUP(L141,EmAuto20,3)*VLOOKUP(ProjLoc,EmCost,3)*(1+CO2Uprater)^($B141-YearCurrent)+VLOOKUP(L141,EmAuto20,4)*VLOOKUP(ProjLoc,EmCost,4)+VLOOKUP(L141,EmAuto20,5)*VLOOKUP(ProjLoc,EmCost,5)+VLOOKUP(L141,EmAuto20,6)*VLOOKUP(ProjLoc,EmCost,6)+VLOOKUP(L141,EmAuto20,7)*VLOOKUP(ProjLoc,EmCost,7))+D141*N141*0.00000110231131*(VLOOKUP(L141,EmTruck20,2)*VLOOKUP(ProjLoc,EmCost,2)+VLOOKUP(L141,EmTruck20,3)*VLOOKUP(ProjLoc,EmCost,3)*(1+CO2Uprater)^($B141-YearCurrent)+VLOOKUP(L141,EmTruck20,4)*VLOOKUP(ProjLoc,EmCost,4)+VLOOKUP(L141,EmTruck20,5)*VLOOKUP(ProjLoc,EmCost,5)+VLOOKUP(L141,EmTruck20,6)*VLOOKUP(ProjLoc,EmCost,6)+VLOOKUP(L141,EmTruck20,7)*VLOOKUP(ProjLoc,EmCost,7)),0)</f>
        <v>38050.19400231386</v>
      </c>
      <c r="S141" s="729">
        <f>IF(INDEX(HwyTransitModelGroup,A114,1)=Hwy,O141*(1-M141)*0.00000110231131*(VLOOKUP(0,EmAuto20,2)*VLOOKUP(ProjLoc,EmCost,2)+VLOOKUP(0,EmAuto20,3)*VLOOKUP(ProjLoc,EmCost,3)*(1+CO2Uprater)^($B141-YearCurrent)+VLOOKUP(0,EmAuto20,4)*VLOOKUP(ProjLoc,EmCost,4)+VLOOKUP(0,EmAuto20,5)*VLOOKUP(ProjLoc,EmCost,5)+VLOOKUP(0,EmAuto20,6)*VLOOKUP(ProjLoc,EmCost,6)+VLOOKUP(0,EmAuto20,7)*VLOOKUP(ProjLoc,EmCost,7))+O141*M141*0.00000110231131*(VLOOKUP(0,EmTruck20,2)*VLOOKUP(ProjLoc,EmCost,2)+VLOOKUP(0,EmTruck20,3)*VLOOKUP(ProjLoc,EmCost,3)*(1+CO2Uprater)^($B141-YearCurrent)+VLOOKUP(0,EmTruck20,4)*VLOOKUP(ProjLoc,EmCost,4)+VLOOKUP(0,EmTruck20,5)*VLOOKUP(ProjLoc,EmCost,5)+VLOOKUP(0,EmTruck20,6)*VLOOKUP(ProjLoc,EmCost,6)+VLOOKUP(0,EmTruck20,7)*VLOOKUP(ProjLoc,EmCost,7)),0)</f>
        <v>0</v>
      </c>
      <c r="T141" s="802">
        <f>IF(INDEX(HwyTransitModelGroup,A114,1)=Hwy,P141*(1-N141)*0.00000110231131*(VLOOKUP(0,EmAuto20,2)*VLOOKUP(ProjLoc,EmCost,2)+VLOOKUP(0,EmAuto20,3)*VLOOKUP(ProjLoc,EmCost,3)*(1+CO2Uprater)^($B141-YearCurrent)+VLOOKUP(0,EmAuto20,4)*VLOOKUP(ProjLoc,EmCost,4)+VLOOKUP(0,EmAuto20,5)*VLOOKUP(ProjLoc,EmCost,5)+VLOOKUP(0,EmAuto20,6)*VLOOKUP(ProjLoc,EmCost,6)+VLOOKUP(0,EmAuto20,7)*VLOOKUP(ProjLoc,EmCost,7))+P141*N141*0.00000110231131*(VLOOKUP(0,EmTruck20,2)*VLOOKUP(ProjLoc,EmCost,2)+VLOOKUP(0,EmTruck20,3)*VLOOKUP(ProjLoc,EmCost,3)*(1+CO2Uprater)^($B141-YearCurrent)+VLOOKUP(0,EmTruck20,4)*VLOOKUP(ProjLoc,EmCost,4)+VLOOKUP(0,EmTruck20,5)*VLOOKUP(ProjLoc,EmCost,5)+VLOOKUP(0,EmTruck20,6)*VLOOKUP(ProjLoc,EmCost,6)+VLOOKUP(0,EmTruck20,7)*VLOOKUP(ProjLoc,EmCost,7)),0)</f>
        <v>0</v>
      </c>
      <c r="U141" s="729">
        <f>IF(INDEX(HwyTransitModelGroup,A114,1)=PARAMETERS!$J$9,C141*0.00000110231131*(VLOOKUP(K141,EmBus20,2)*VLOOKUP(ProjLoc,EmCost,2)+VLOOKUP(K141,EmBus20,3)*VLOOKUP(ProjLoc,EmCost,3)*(1+CO2Uprater)^($B141-YearCurrent)+VLOOKUP(K141,EmBus20,4)*VLOOKUP(ProjLoc,EmCost,4)+VLOOKUP(K141,EmBus20,5)*VLOOKUP(ProjLoc,EmCost,5)+VLOOKUP(K141,EmBus20,6)*VLOOKUP(ProjLoc,EmCost,6)+VLOOKUP(K141,EmBus20,7)*VLOOKUP(ProjLoc,EmCost,7)),0)</f>
        <v>0</v>
      </c>
      <c r="V141" s="802">
        <f>IF(INDEX(HwyTransitModelGroup,A114,1)=PARAMETERS!$J$9,D141*0.00000110231131*(VLOOKUP(L141,EmBus20,2)*VLOOKUP(ProjLoc,EmCost,2)+VLOOKUP(L141,EmBus20,3)*VLOOKUP(ProjLoc,EmCost,3)*(1+CO2Uprater)^($B141-YearCurrent)+VLOOKUP(L141,EmBus20,4)*VLOOKUP(ProjLoc,EmCost,4)+VLOOKUP(L141,EmBus20,5)*VLOOKUP(ProjLoc,EmCost,5)+VLOOKUP(L141,EmBus20,6)*VLOOKUP(ProjLoc,EmCost,6)+VLOOKUP(L141,EmBus20,7)*VLOOKUP(ProjLoc,EmCost,7)),0)</f>
        <v>0</v>
      </c>
      <c r="W141" s="808">
        <f>IF(INDEX(HwyTransitModelGroup,A114,1)=PARAMETERS!$J$10,C141*0.00000110231131*(PARAMETERS!$CQ$29*VLOOKUP(ProjLoc,EmCost,2)+PARAMETERS!$CR$29*VLOOKUP(ProjLoc,EmCost,3)*(1+CO2Uprater)^($B141-YearCurrent)+PARAMETERS!$CS$29*VLOOKUP(ProjLoc,EmCost,4)+PARAMETERS!$CT$29*VLOOKUP(ProjLoc,EmCost,5)+PARAMETERS!$CU$29*VLOOKUP(ProjLoc,EmCost,6)+PARAMETERS!$CV$29*VLOOKUP(ProjLoc,EmCost,7)),0)</f>
        <v>0</v>
      </c>
      <c r="X141" s="844">
        <f>IF(INDEX(HwyTransitModelGroup,A114,1)=PARAMETERS!$J$10,D141*0.00000110231131*(PARAMETERS!$CQ$29*VLOOKUP(ProjLoc,EmCost,2)+PARAMETERS!$CR$29*VLOOKUP(ProjLoc,EmCost,3)*(1+CO2Uprater)^($B141-YearCurrent)+PARAMETERS!$CS$29*VLOOKUP(ProjLoc,EmCost,4)+PARAMETERS!$CT$29*VLOOKUP(ProjLoc,EmCost,5)+PARAMETERS!$CU$29*VLOOKUP(ProjLoc,EmCost,6)+PARAMETERS!$CV$29*VLOOKUP(ProjLoc,EmCost,7)),0)</f>
        <v>0</v>
      </c>
      <c r="Y141" s="808">
        <f>IF(INDEX(HwyTransitModelGroup,A114,1)=PARAMETERS!$J$11,C141*0.00000110231131*(PARAMETERS!$CQ$37*VLOOKUP(ProjLoc,EmCost,2)+PARAMETERS!$CR$37*VLOOKUP(ProjLoc,EmCost,3)*(1+CO2Uprater)^($B141-YearCurrent)+PARAMETERS!$CS$37*VLOOKUP(ProjLoc,EmCost,4)+PARAMETERS!$CT$37*VLOOKUP(ProjLoc,EmCost,5)+PARAMETERS!$CU$37*VLOOKUP(ProjLoc,EmCost,6)+PARAMETERS!$CV$37*VLOOKUP(ProjLoc,EmCost,7)),0)</f>
        <v>0</v>
      </c>
      <c r="Z141" s="844">
        <f>IF(INDEX(HwyTransitModelGroup,A114,1)=PARAMETERS!$J$11,D141*0.00000110231131*(PARAMETERS!$CQ$37*VLOOKUP(ProjLoc,EmCost,2)+PARAMETERS!$CR$37*VLOOKUP(ProjLoc,EmCost,3)*(1+CO2Uprater)^($B141-YearCurrent)+PARAMETERS!$CS$37*VLOOKUP(ProjLoc,EmCost,4)+PARAMETERS!$CT$37*VLOOKUP(ProjLoc,EmCost,5)+PARAMETERS!$CU$37*VLOOKUP(ProjLoc,EmCost,6)+PARAMETERS!$CV$37*VLOOKUP(ProjLoc,EmCost,7)),0)</f>
        <v>0</v>
      </c>
      <c r="AA141" s="369">
        <f t="shared" si="48"/>
        <v>-6301.0793225477028</v>
      </c>
      <c r="AB141" s="370">
        <f t="shared" si="49"/>
        <v>-2658.7743618617342</v>
      </c>
      <c r="AC141" s="371"/>
      <c r="AD141" s="401">
        <f>IF(INDEX(HwyTransitModelGroup,A114,1)=Hwy,0.00000110231131*(C141*(1-M141)*VLOOKUP(K141,EmAuto20,2)-D141*(1-N141)*VLOOKUP(L141,EmAuto20,2)+(O141*(1-M141)-P141*(1-N141))*VLOOKUP(0,EmAuto20,2))+0.00000110231131*(C141*M141*VLOOKUP(K141,EmTruck20,2)-D141*N141*VLOOKUP(L141,EmTruck20,2)+(O141*M141-P141*N141)*VLOOKUP(0,EmTruck20,2)),0)</f>
        <v>0.2014985162963705</v>
      </c>
      <c r="AE141" s="863">
        <f>IF(INDEX(HwyTransitModelGroup,A114,1)=Hwy,0.00000110231131*(C141*(1-M141)*VLOOKUP(K141,EmAuto20,3)-D141*(1-N141)*VLOOKUP(L141,EmAuto20,3)+(O141*(1-M141)-P141*(1-N141))*VLOOKUP(0,EmAuto20,3))+0.00000110231131*(C141*M141*VLOOKUP(K141,EmTruck20,3)-D141*N141*VLOOKUP(L141,EmTruck20,3)+(O141*M141-P141*N141)*VLOOKUP(0,EmTruck20,3)),0)</f>
        <v>-56.645855432149688</v>
      </c>
      <c r="AF141" s="861">
        <f>IF(INDEX(HwyTransitModelGroup,A114,1)=Hwy,0.00000110231131*(C141*(1-M141)*VLOOKUP(K141,EmAuto20,4)-D141*(1-N141)*VLOOKUP(L141,EmAuto20,4)+(O141*(1-M141)-P141*(1-N141))*VLOOKUP(0,EmAuto20,4))+0.00000110231131*(C141*M141*VLOOKUP(K141,EmTruck20,4)-D141*N141*VLOOKUP(L141,EmTruck20,4)+(O141*M141-P141*N141)*VLOOKUP(0,EmTruck20,4)),0)</f>
        <v>-0.10393999560764984</v>
      </c>
      <c r="AG141" s="863">
        <f>IF(INDEX(HwyTransitModelGroup,A114,1)=Hwy,0.00000110231131*(C141*(1-M141)*VLOOKUP(K141,EmAuto20,5)-D141*(1-N141)*VLOOKUP(L141,EmAuto20,5)+(O141*(1-M141)-P141*(1-N141))*VLOOKUP(0,EmAuto20,5))+0.00000110231131*(C141*M141*VLOOKUP(K141,EmTruck20,5)-D141*N141*VLOOKUP(L141,EmTruck20,5)+(O141*M141-P141*N141)*VLOOKUP(0,EmTruck20,5)),0)</f>
        <v>-4.3755654936074653E-3</v>
      </c>
      <c r="AH141" s="861">
        <f>IF(INDEX(HwyTransitModelGroup,A114,1)=Hwy,0.00000110231131*(C141*(1-M141)*VLOOKUP(K141,EmAuto20,6)-D141*(1-N141)*VLOOKUP(L141,EmAuto20,6)+(O141*(1-M141)-P141*(1-N141))*VLOOKUP(0,EmAuto20,6))+0.00000110231131*(C141*M141*VLOOKUP(K141,EmTruck20,6)-D141*N141*VLOOKUP(L141,EmTruck20,6)+(O141*M141-P141*N141)*VLOOKUP(0,EmTruck20,6)),0)</f>
        <v>-5.6556639121789205E-4</v>
      </c>
      <c r="AI141" s="863">
        <f>IF(INDEX(HwyTransitModelGroup,A114,1)=Hwy,0.00000110231131*(C141*(1-M141)*VLOOKUP(K141,EmAuto20,7)-D141*(1-N141)*VLOOKUP(L141,EmAuto20,7)+(O141*(1-M141)-P141*(1-N141))*VLOOKUP(0,EmAuto20,7))+0.00000110231131*(C141*M141*VLOOKUP(K141,EmTruck20,7)-D141*N141*VLOOKUP(L141,EmTruck20,7)+(O141*M141-P141*N141)*VLOOKUP(0,EmTruck20,7)),0)</f>
        <v>-1.6936510183268247E-4</v>
      </c>
      <c r="AJ141" s="861">
        <f>IF(INDEX(HwyTransitModelGroup,A114,1)=Hwy,0.00000110231131*(C141*(1-M141)*VLOOKUP(K141,EmAuto20,8)-D141*(1-N141)*VLOOKUP(L141,EmAuto20,8)+(O141*(1-M141)-P141*(1-N141))*VLOOKUP(0,EmAuto20,8))+0.00000110231131*(C141*M141*VLOOKUP(K141,EmTruck20,8)-D141*N141*VLOOKUP(L141,EmTruck20,8)+(O141*M141-P141*N141)*VLOOKUP(0,EmTruck20,8)),0)</f>
        <v>-4.1890319063492693E-3</v>
      </c>
      <c r="AK141" s="401">
        <f>IF(INDEX(HwyTransitModelGroup,A114,1)=PARAMETERS!$J$9,0.00000110231131*(C141*VLOOKUP(K141,EmBus20,2)-D141*VLOOKUP(L141,EmBus20,2)+(O141-P141)*VLOOKUP(0,EmBus20,2)),0)</f>
        <v>0</v>
      </c>
      <c r="AL141" s="863">
        <f>IF(INDEX(HwyTransitModelGroup,A114,1)=PARAMETERS!$J$9,0.00000110231131*(C141*VLOOKUP(K141,EmBus20,3)-D141*VLOOKUP(L141,EmBus20,3)+(O141-P141)*VLOOKUP(0,EmBus20,3)),0)</f>
        <v>0</v>
      </c>
      <c r="AM141" s="861">
        <f>IF(INDEX(HwyTransitModelGroup,A114,1)=PARAMETERS!$J$9,0.00000110231131*(C141*VLOOKUP(K141,EmBus20,4)-D141*VLOOKUP(L141,EmBus20,4)+(O141-P141)*VLOOKUP(0,EmBus20,4)),0)</f>
        <v>0</v>
      </c>
      <c r="AN141" s="863">
        <f>IF(INDEX(HwyTransitModelGroup,A114,1)=PARAMETERS!$J$9,0.00000110231131*(C141*VLOOKUP(K141,EmBus20,5)-D141*VLOOKUP(L141,EmBus20,5)+(O141-P141)*VLOOKUP(0,EmBus20,5)),0)</f>
        <v>0</v>
      </c>
      <c r="AO141" s="861">
        <f>IF(INDEX(HwyTransitModelGroup,A114,1)=PARAMETERS!$J$9,0.00000110231131*(C141*VLOOKUP(K141,EmBus20,6)-D141*VLOOKUP(L141,EmBus20,6)+(O141-P141)*VLOOKUP(0,EmBus20,6)),0)</f>
        <v>0</v>
      </c>
      <c r="AP141" s="863">
        <f>IF(INDEX(HwyTransitModelGroup,A114,1)=PARAMETERS!$J$9,0.00000110231131*(C141*VLOOKUP(K141,EmBus20,7)-D141*VLOOKUP(L141,EmBus20,7)+(O141-P141)*VLOOKUP(0,EmBus20,7)),0)</f>
        <v>0</v>
      </c>
      <c r="AQ141" s="861">
        <f>IF(INDEX(HwyTransitModelGroup,A114,1)=PARAMETERS!$J$9,0.00000110231131*(C141*VLOOKUP(K141,EmBus20,8)-D141*VLOOKUP(L141,EmBus20,8)+(O141-P141)*VLOOKUP(0,EmBus20,8)),0)</f>
        <v>0</v>
      </c>
      <c r="AR141" s="401">
        <f>IF(INDEX(HwyTransitModelGroup,A114,1)=PARAMETERS!$J$10,0.00000110231131*((C141-D141)*PARAMETERS!$CQ$29),0)</f>
        <v>0</v>
      </c>
      <c r="AS141" s="863">
        <f>IF(INDEX(HwyTransitModelGroup,A114,1)=PARAMETERS!$J$10,0.00000110231131*((C141-D141)*PARAMETERS!$CR$29),0)</f>
        <v>0</v>
      </c>
      <c r="AT141" s="861">
        <f>IF(INDEX(HwyTransitModelGroup,A114,1)=PARAMETERS!$J$10,0.00000110231131*((C141-D141)*PARAMETERS!$CS$29),0)</f>
        <v>0</v>
      </c>
      <c r="AU141" s="863">
        <f>IF(INDEX(HwyTransitModelGroup,A114,1)=PARAMETERS!$J$10,0.00000110231131*((C141-D141)*PARAMETERS!$CT$29),0)</f>
        <v>0</v>
      </c>
      <c r="AV141" s="861">
        <f>IF(INDEX(HwyTransitModelGroup,A114,1)=PARAMETERS!$J$10,0.00000110231131*((C141-D141)*PARAMETERS!$CU$29),0)</f>
        <v>0</v>
      </c>
      <c r="AW141" s="863">
        <f>IF(INDEX(HwyTransitModelGroup,A114,1)=PARAMETERS!$J$10,0.00000110231131*((C141-D141)*PARAMETERS!$CV$29),0)</f>
        <v>0</v>
      </c>
      <c r="AX141" s="861">
        <f>IF(INDEX(HwyTransitModelGroup,A114,1)=PARAMETERS!$J$10,0.00000110231131*((C141-D141)*PARAMETERS!$CW$29),0)</f>
        <v>0</v>
      </c>
      <c r="AY141" s="401">
        <f>IF(INDEX(HwyTransitModelGroup,A114,1)=PARAMETERS!$J$11,0.00000110231131*((C141-D141)*PARAMETERS!$CQ$37),0)</f>
        <v>0</v>
      </c>
      <c r="AZ141" s="863">
        <f>IF(INDEX(HwyTransitModelGroup,A114,1)=PARAMETERS!$J$11,0.00000110231131*((C141-D141)*PARAMETERS!$CR$37),0)</f>
        <v>0</v>
      </c>
      <c r="BA141" s="861">
        <f>IF(INDEX(HwyTransitModelGroup,A114,1)=PARAMETERS!$J$11,0.00000110231131*((C141-D141)*PARAMETERS!$CS$37),0)</f>
        <v>0</v>
      </c>
      <c r="BB141" s="863">
        <f>IF(INDEX(HwyTransitModelGroup,A114,1)=PARAMETERS!$J$11,0.00000110231131*((C141-D141)*PARAMETERS!$CT$37),0)</f>
        <v>0</v>
      </c>
      <c r="BC141" s="861">
        <f>IF(INDEX(HwyTransitModelGroup,A114,1)=PARAMETERS!$J$11,0.00000110231131*((C141-D141)*PARAMETERS!$CU$37),0)</f>
        <v>0</v>
      </c>
      <c r="BD141" s="863">
        <f>IF(INDEX(HwyTransitModelGroup,A114,1)=PARAMETERS!$J$11,0.00000110231131*((C141-D141)*PARAMETERS!$CV$37),0)</f>
        <v>0</v>
      </c>
      <c r="BE141" s="865">
        <f>IF(INDEX(HwyTransitModelGroup,A114,1)=PARAMETERS!$J$11,0.00000110231131*((C141-D141)*PARAMETERS!$CW$37),0)</f>
        <v>0</v>
      </c>
      <c r="BF141" s="729">
        <f t="shared" si="50"/>
        <v>6.801870748268624</v>
      </c>
      <c r="BG141" s="867">
        <f t="shared" si="51"/>
        <v>-1773.6980607920714</v>
      </c>
      <c r="BH141" s="867">
        <f t="shared" si="52"/>
        <v>-662.2564196298265</v>
      </c>
      <c r="BI141" s="867">
        <f t="shared" si="53"/>
        <v>-215.46244324250927</v>
      </c>
      <c r="BJ141" s="867">
        <f t="shared" si="54"/>
        <v>-14.079983331692972</v>
      </c>
      <c r="BK141" s="869">
        <f t="shared" si="55"/>
        <v>-7.9325613902110362E-2</v>
      </c>
      <c r="BN141" s="375">
        <f t="shared" si="60"/>
        <v>2041</v>
      </c>
      <c r="BO141" s="871">
        <f t="shared" ca="1" si="58"/>
        <v>-7.4751378416189366E-3</v>
      </c>
      <c r="BP141" s="871">
        <f t="shared" ca="1" si="61"/>
        <v>-1.2633523537211347E-2</v>
      </c>
      <c r="BQ141" s="871">
        <f t="shared" ca="1" si="61"/>
        <v>2.0028409918759489E-2</v>
      </c>
      <c r="BR141" s="871">
        <f t="shared" ca="1" si="61"/>
        <v>-0.10069689312498153</v>
      </c>
      <c r="BS141" s="871">
        <f t="shared" ca="1" si="61"/>
        <v>0.56962944346004996</v>
      </c>
      <c r="BT141" s="871">
        <f t="shared" ca="1" si="61"/>
        <v>0.67196284233550929</v>
      </c>
    </row>
    <row r="142" spans="2:72" x14ac:dyDescent="0.25">
      <c r="B142" s="375">
        <f t="shared" si="57"/>
        <v>2045</v>
      </c>
      <c r="C142" s="401">
        <f>MAX(TREND(C120:C121,B120:B121,B142),0)</f>
        <v>1141592.25</v>
      </c>
      <c r="D142" s="402">
        <f>MAX(TREND(D120:D121,B120:B121,B142),0)</f>
        <v>940751</v>
      </c>
      <c r="E142" s="401">
        <f>MAX(TREND(E120:E121,B120:B121,B142),0)</f>
        <v>26718</v>
      </c>
      <c r="F142" s="402">
        <f>MAX(TREND(F120:F121,B120:B121,B142),0)</f>
        <v>12629</v>
      </c>
      <c r="G142" s="401">
        <f>MAX(TREND(G120:G121,B120:B121,B142),0)</f>
        <v>0</v>
      </c>
      <c r="H142" s="402">
        <f>MAX(TREND(H120:H121,B120:B121,B142),0)</f>
        <v>0</v>
      </c>
      <c r="I142" s="401">
        <f>MAX(TREND(I120:I121,B120:B121,B142),0)</f>
        <v>0</v>
      </c>
      <c r="J142" s="402">
        <f>MAX(TREND(J120:J121,B120:B121,B142),0)</f>
        <v>0</v>
      </c>
      <c r="K142" s="435">
        <f>IFERROR(IF(INDEX(HwyTransitModelGroup,A114,1)=Hwy,MAX(5,ROUND(C142/E142,1)),MAX(5,ROUND(G142/I142,1))),55)</f>
        <v>42.7</v>
      </c>
      <c r="L142" s="436">
        <f>IFERROR(IF(INDEX(HwyTransitModelGroup,A114,1)=Hwy,MAX(5,ROUND(D142/F142,1)),MAX(5,ROUND(H142/J142,1))),55)</f>
        <v>74.5</v>
      </c>
      <c r="M142" s="405">
        <f>MIN(MAX(TREND(M120:M121,B120:B121,B142),0),1)</f>
        <v>0.24</v>
      </c>
      <c r="N142" s="406">
        <f>MIN(MAX(TREND(N120:N121,B120:B121,B142),0),1)</f>
        <v>0.24</v>
      </c>
      <c r="O142" s="401">
        <f>MAX(TREND(O120:O121,B120:B121,B142),0)</f>
        <v>0</v>
      </c>
      <c r="P142" s="402">
        <f>MAX(TREND(P120:P121,B120:B121,B142),0)</f>
        <v>0</v>
      </c>
      <c r="Q142" s="729">
        <f>IF(INDEX(HwyTransitModelGroup,A114,1)=Hwy,C142*(1-M142)*0.00000110231131*(VLOOKUP(K142,EmAuto20,2)*VLOOKUP(ProjLoc,EmCost,2)+VLOOKUP(K142,EmAuto20,3)*VLOOKUP(ProjLoc,EmCost,3)*(1+CO2Uprater)^($B142-YearCurrent)+VLOOKUP(K142,EmAuto20,4)*VLOOKUP(ProjLoc,EmCost,4)+VLOOKUP(K142,EmAuto20,5)*VLOOKUP(ProjLoc,EmCost,5)+VLOOKUP(K142,EmAuto20,6)*VLOOKUP(ProjLoc,EmCost,6)+VLOOKUP(K142,EmAuto20,7)*VLOOKUP(ProjLoc,EmCost,7))+C142*M142*0.00000110231131*(VLOOKUP(K142,EmTruck20,2)*VLOOKUP(ProjLoc,EmCost,2)+VLOOKUP(K142,EmTruck20,3)*VLOOKUP(ProjLoc,EmCost,3)*(1+CO2Uprater)^($B142-YearCurrent)+VLOOKUP(K142,EmTruck20,4)*VLOOKUP(ProjLoc,EmCost,4)+VLOOKUP(K142,EmTruck20,5)*VLOOKUP(ProjLoc,EmCost,5)+VLOOKUP(K142,EmTruck20,6)*VLOOKUP(ProjLoc,EmCost,6)+VLOOKUP(K142,EmTruck20,7)*VLOOKUP(ProjLoc,EmCost,7)),0)</f>
        <v>32675.242863392399</v>
      </c>
      <c r="R142" s="802">
        <f>IF(INDEX(HwyTransitModelGroup,A114,1)=Hwy,D142*(1-N142)*0.00000110231131*(VLOOKUP(L142,EmAuto20,2)*VLOOKUP(ProjLoc,EmCost,2)+VLOOKUP(L142,EmAuto20,3)*VLOOKUP(ProjLoc,EmCost,3)*(1+CO2Uprater)^($B142-YearCurrent)+VLOOKUP(L142,EmAuto20,4)*VLOOKUP(ProjLoc,EmCost,4)+VLOOKUP(L142,EmAuto20,5)*VLOOKUP(ProjLoc,EmCost,5)+VLOOKUP(L142,EmAuto20,6)*VLOOKUP(ProjLoc,EmCost,6)+VLOOKUP(L142,EmAuto20,7)*VLOOKUP(ProjLoc,EmCost,7))+D142*N142*0.00000110231131*(VLOOKUP(L142,EmTruck20,2)*VLOOKUP(ProjLoc,EmCost,2)+VLOOKUP(L142,EmTruck20,3)*VLOOKUP(ProjLoc,EmCost,3)*(1+CO2Uprater)^($B142-YearCurrent)+VLOOKUP(L142,EmTruck20,4)*VLOOKUP(ProjLoc,EmCost,4)+VLOOKUP(L142,EmTruck20,5)*VLOOKUP(ProjLoc,EmCost,5)+VLOOKUP(L142,EmTruck20,6)*VLOOKUP(ProjLoc,EmCost,6)+VLOOKUP(L142,EmTruck20,7)*VLOOKUP(ProjLoc,EmCost,7)),0)</f>
        <v>39126.226434753175</v>
      </c>
      <c r="S142" s="729">
        <f>IF(INDEX(HwyTransitModelGroup,A114,1)=Hwy,O142*(1-M142)*0.00000110231131*(VLOOKUP(0,EmAuto20,2)*VLOOKUP(ProjLoc,EmCost,2)+VLOOKUP(0,EmAuto20,3)*VLOOKUP(ProjLoc,EmCost,3)*(1+CO2Uprater)^($B142-YearCurrent)+VLOOKUP(0,EmAuto20,4)*VLOOKUP(ProjLoc,EmCost,4)+VLOOKUP(0,EmAuto20,5)*VLOOKUP(ProjLoc,EmCost,5)+VLOOKUP(0,EmAuto20,6)*VLOOKUP(ProjLoc,EmCost,6)+VLOOKUP(0,EmAuto20,7)*VLOOKUP(ProjLoc,EmCost,7))+O142*M142*0.00000110231131*(VLOOKUP(0,EmTruck20,2)*VLOOKUP(ProjLoc,EmCost,2)+VLOOKUP(0,EmTruck20,3)*VLOOKUP(ProjLoc,EmCost,3)*(1+CO2Uprater)^($B142-YearCurrent)+VLOOKUP(0,EmTruck20,4)*VLOOKUP(ProjLoc,EmCost,4)+VLOOKUP(0,EmTruck20,5)*VLOOKUP(ProjLoc,EmCost,5)+VLOOKUP(0,EmTruck20,6)*VLOOKUP(ProjLoc,EmCost,6)+VLOOKUP(0,EmTruck20,7)*VLOOKUP(ProjLoc,EmCost,7)),0)</f>
        <v>0</v>
      </c>
      <c r="T142" s="802">
        <f>IF(INDEX(HwyTransitModelGroup,A114,1)=Hwy,P142*(1-N142)*0.00000110231131*(VLOOKUP(0,EmAuto20,2)*VLOOKUP(ProjLoc,EmCost,2)+VLOOKUP(0,EmAuto20,3)*VLOOKUP(ProjLoc,EmCost,3)*(1+CO2Uprater)^($B142-YearCurrent)+VLOOKUP(0,EmAuto20,4)*VLOOKUP(ProjLoc,EmCost,4)+VLOOKUP(0,EmAuto20,5)*VLOOKUP(ProjLoc,EmCost,5)+VLOOKUP(0,EmAuto20,6)*VLOOKUP(ProjLoc,EmCost,6)+VLOOKUP(0,EmAuto20,7)*VLOOKUP(ProjLoc,EmCost,7))+P142*N142*0.00000110231131*(VLOOKUP(0,EmTruck20,2)*VLOOKUP(ProjLoc,EmCost,2)+VLOOKUP(0,EmTruck20,3)*VLOOKUP(ProjLoc,EmCost,3)*(1+CO2Uprater)^($B142-YearCurrent)+VLOOKUP(0,EmTruck20,4)*VLOOKUP(ProjLoc,EmCost,4)+VLOOKUP(0,EmTruck20,5)*VLOOKUP(ProjLoc,EmCost,5)+VLOOKUP(0,EmTruck20,6)*VLOOKUP(ProjLoc,EmCost,6)+VLOOKUP(0,EmTruck20,7)*VLOOKUP(ProjLoc,EmCost,7)),0)</f>
        <v>0</v>
      </c>
      <c r="U142" s="729">
        <f>IF(INDEX(HwyTransitModelGroup,A114,1)=PARAMETERS!$J$9,C142*0.00000110231131*(VLOOKUP(K142,EmBus20,2)*VLOOKUP(ProjLoc,EmCost,2)+VLOOKUP(K142,EmBus20,3)*VLOOKUP(ProjLoc,EmCost,3)*(1+CO2Uprater)^($B142-YearCurrent)+VLOOKUP(K142,EmBus20,4)*VLOOKUP(ProjLoc,EmCost,4)+VLOOKUP(K142,EmBus20,5)*VLOOKUP(ProjLoc,EmCost,5)+VLOOKUP(K142,EmBus20,6)*VLOOKUP(ProjLoc,EmCost,6)+VLOOKUP(K142,EmBus20,7)*VLOOKUP(ProjLoc,EmCost,7)),0)</f>
        <v>0</v>
      </c>
      <c r="V142" s="802">
        <f>IF(INDEX(HwyTransitModelGroup,A114,1)=PARAMETERS!$J$9,D142*0.00000110231131*(VLOOKUP(L142,EmBus20,2)*VLOOKUP(ProjLoc,EmCost,2)+VLOOKUP(L142,EmBus20,3)*VLOOKUP(ProjLoc,EmCost,3)*(1+CO2Uprater)^($B142-YearCurrent)+VLOOKUP(L142,EmBus20,4)*VLOOKUP(ProjLoc,EmCost,4)+VLOOKUP(L142,EmBus20,5)*VLOOKUP(ProjLoc,EmCost,5)+VLOOKUP(L142,EmBus20,6)*VLOOKUP(ProjLoc,EmCost,6)+VLOOKUP(L142,EmBus20,7)*VLOOKUP(ProjLoc,EmCost,7)),0)</f>
        <v>0</v>
      </c>
      <c r="W142" s="808">
        <f>IF(INDEX(HwyTransitModelGroup,A114,1)=PARAMETERS!$J$10,C142*0.00000110231131*(PARAMETERS!$CQ$29*VLOOKUP(ProjLoc,EmCost,2)+PARAMETERS!$CR$29*VLOOKUP(ProjLoc,EmCost,3)*(1+CO2Uprater)^($B142-YearCurrent)+PARAMETERS!$CS$29*VLOOKUP(ProjLoc,EmCost,4)+PARAMETERS!$CT$29*VLOOKUP(ProjLoc,EmCost,5)+PARAMETERS!$CU$29*VLOOKUP(ProjLoc,EmCost,6)+PARAMETERS!$CV$29*VLOOKUP(ProjLoc,EmCost,7)),0)</f>
        <v>0</v>
      </c>
      <c r="X142" s="844">
        <f>IF(INDEX(HwyTransitModelGroup,A114,1)=PARAMETERS!$J$10,D142*0.00000110231131*(PARAMETERS!$CQ$29*VLOOKUP(ProjLoc,EmCost,2)+PARAMETERS!$CR$29*VLOOKUP(ProjLoc,EmCost,3)*(1+CO2Uprater)^($B142-YearCurrent)+PARAMETERS!$CS$29*VLOOKUP(ProjLoc,EmCost,4)+PARAMETERS!$CT$29*VLOOKUP(ProjLoc,EmCost,5)+PARAMETERS!$CU$29*VLOOKUP(ProjLoc,EmCost,6)+PARAMETERS!$CV$29*VLOOKUP(ProjLoc,EmCost,7)),0)</f>
        <v>0</v>
      </c>
      <c r="Y142" s="808">
        <f>IF(INDEX(HwyTransitModelGroup,A114,1)=PARAMETERS!$J$11,C142*0.00000110231131*(PARAMETERS!$CQ$37*VLOOKUP(ProjLoc,EmCost,2)+PARAMETERS!$CR$37*VLOOKUP(ProjLoc,EmCost,3)*(1+CO2Uprater)^($B142-YearCurrent)+PARAMETERS!$CS$37*VLOOKUP(ProjLoc,EmCost,4)+PARAMETERS!$CT$37*VLOOKUP(ProjLoc,EmCost,5)+PARAMETERS!$CU$37*VLOOKUP(ProjLoc,EmCost,6)+PARAMETERS!$CV$37*VLOOKUP(ProjLoc,EmCost,7)),0)</f>
        <v>0</v>
      </c>
      <c r="Z142" s="844">
        <f>IF(INDEX(HwyTransitModelGroup,A114,1)=PARAMETERS!$J$11,D142*0.00000110231131*(PARAMETERS!$CQ$37*VLOOKUP(ProjLoc,EmCost,2)+PARAMETERS!$CR$37*VLOOKUP(ProjLoc,EmCost,3)*(1+CO2Uprater)^($B142-YearCurrent)+PARAMETERS!$CS$37*VLOOKUP(ProjLoc,EmCost,4)+PARAMETERS!$CT$37*VLOOKUP(ProjLoc,EmCost,5)+PARAMETERS!$CU$37*VLOOKUP(ProjLoc,EmCost,6)+PARAMETERS!$CV$37*VLOOKUP(ProjLoc,EmCost,7)),0)</f>
        <v>0</v>
      </c>
      <c r="AA142" s="369">
        <f t="shared" si="48"/>
        <v>-6450.9835713607754</v>
      </c>
      <c r="AB142" s="370">
        <f t="shared" si="49"/>
        <v>-2617.333910702137</v>
      </c>
      <c r="AC142" s="371"/>
      <c r="AD142" s="401">
        <f>IF(INDEX(HwyTransitModelGroup,A114,1)=Hwy,0.00000110231131*(C142*(1-M142)*VLOOKUP(K142,EmAuto20,2)-D142*(1-N142)*VLOOKUP(L142,EmAuto20,2)+(O142*(1-M142)-P142*(1-N142))*VLOOKUP(0,EmAuto20,2))+0.00000110231131*(C142*M142*VLOOKUP(K142,EmTruck20,2)-D142*N142*VLOOKUP(L142,EmTruck20,2)+(O142*M142-P142*N142)*VLOOKUP(0,EmTruck20,2)),0)</f>
        <v>0.20361246874600253</v>
      </c>
      <c r="AE142" s="863">
        <f>IF(INDEX(HwyTransitModelGroup,A114,1)=Hwy,0.00000110231131*(C142*(1-M142)*VLOOKUP(K142,EmAuto20,3)-D142*(1-N142)*VLOOKUP(L142,EmAuto20,3)+(O142*(1-M142)-P142*(1-N142))*VLOOKUP(0,EmAuto20,3))+0.00000110231131*(C142*M142*VLOOKUP(K142,EmTruck20,3)-D142*N142*VLOOKUP(L142,EmTruck20,3)+(O142*M142-P142*N142)*VLOOKUP(0,EmTruck20,3)),0)</f>
        <v>-57.227358765444933</v>
      </c>
      <c r="AF142" s="861">
        <f>IF(INDEX(HwyTransitModelGroup,A114,1)=Hwy,0.00000110231131*(C142*(1-M142)*VLOOKUP(K142,EmAuto20,4)-D142*(1-N142)*VLOOKUP(L142,EmAuto20,4)+(O142*(1-M142)-P142*(1-N142))*VLOOKUP(0,EmAuto20,4))+0.00000110231131*(C142*M142*VLOOKUP(K142,EmTruck20,4)-D142*N142*VLOOKUP(L142,EmTruck20,4)+(O142*M142-P142*N142)*VLOOKUP(0,EmTruck20,4)),0)</f>
        <v>-0.10502102976853925</v>
      </c>
      <c r="AG142" s="863">
        <f>IF(INDEX(HwyTransitModelGroup,A114,1)=Hwy,0.00000110231131*(C142*(1-M142)*VLOOKUP(K142,EmAuto20,5)-D142*(1-N142)*VLOOKUP(L142,EmAuto20,5)+(O142*(1-M142)-P142*(1-N142))*VLOOKUP(0,EmAuto20,5))+0.00000110231131*(C142*M142*VLOOKUP(K142,EmTruck20,5)-D142*N142*VLOOKUP(L142,EmTruck20,5)+(O142*M142-P142*N142)*VLOOKUP(0,EmTruck20,5)),0)</f>
        <v>-4.4211536016760802E-3</v>
      </c>
      <c r="AH142" s="861">
        <f>IF(INDEX(HwyTransitModelGroup,A114,1)=Hwy,0.00000110231131*(C142*(1-M142)*VLOOKUP(K142,EmAuto20,6)-D142*(1-N142)*VLOOKUP(L142,EmAuto20,6)+(O142*(1-M142)-P142*(1-N142))*VLOOKUP(0,EmAuto20,6))+0.00000110231131*(C142*M142*VLOOKUP(K142,EmTruck20,6)-D142*N142*VLOOKUP(L142,EmTruck20,6)+(O142*M142-P142*N142)*VLOOKUP(0,EmTruck20,6)),0)</f>
        <v>-5.7137623320837781E-4</v>
      </c>
      <c r="AI142" s="863">
        <f>IF(INDEX(HwyTransitModelGroup,A114,1)=Hwy,0.00000110231131*(C142*(1-M142)*VLOOKUP(K142,EmAuto20,7)-D142*(1-N142)*VLOOKUP(L142,EmAuto20,7)+(O142*(1-M142)-P142*(1-N142))*VLOOKUP(0,EmAuto20,7))+0.00000110231131*(C142*M142*VLOOKUP(K142,EmTruck20,7)-D142*N142*VLOOKUP(L142,EmTruck20,7)+(O142*M142-P142*N142)*VLOOKUP(0,EmTruck20,7)),0)</f>
        <v>-1.7095468103877552E-4</v>
      </c>
      <c r="AJ142" s="861">
        <f>IF(INDEX(HwyTransitModelGroup,A114,1)=Hwy,0.00000110231131*(C142*(1-M142)*VLOOKUP(K142,EmAuto20,8)-D142*(1-N142)*VLOOKUP(L142,EmAuto20,8)+(O142*(1-M142)-P142*(1-N142))*VLOOKUP(0,EmAuto20,8))+0.00000110231131*(C142*M142*VLOOKUP(K142,EmTruck20,8)-D142*N142*VLOOKUP(L142,EmTruck20,8)+(O142*M142-P142*N142)*VLOOKUP(0,EmTruck20,8)),0)</f>
        <v>-4.2326762118815656E-3</v>
      </c>
      <c r="AK142" s="401">
        <f>IF(INDEX(HwyTransitModelGroup,A114,1)=PARAMETERS!$J$9,0.00000110231131*(C142*VLOOKUP(K142,EmBus20,2)-D142*VLOOKUP(L142,EmBus20,2)+(O142-P142)*VLOOKUP(0,EmBus20,2)),0)</f>
        <v>0</v>
      </c>
      <c r="AL142" s="863">
        <f>IF(INDEX(HwyTransitModelGroup,A114,1)=PARAMETERS!$J$9,0.00000110231131*(C142*VLOOKUP(K142,EmBus20,3)-D142*VLOOKUP(L142,EmBus20,3)+(O142-P142)*VLOOKUP(0,EmBus20,3)),0)</f>
        <v>0</v>
      </c>
      <c r="AM142" s="861">
        <f>IF(INDEX(HwyTransitModelGroup,A114,1)=PARAMETERS!$J$9,0.00000110231131*(C142*VLOOKUP(K142,EmBus20,4)-D142*VLOOKUP(L142,EmBus20,4)+(O142-P142)*VLOOKUP(0,EmBus20,4)),0)</f>
        <v>0</v>
      </c>
      <c r="AN142" s="863">
        <f>IF(INDEX(HwyTransitModelGroup,A114,1)=PARAMETERS!$J$9,0.00000110231131*(C142*VLOOKUP(K142,EmBus20,5)-D142*VLOOKUP(L142,EmBus20,5)+(O142-P142)*VLOOKUP(0,EmBus20,5)),0)</f>
        <v>0</v>
      </c>
      <c r="AO142" s="861">
        <f>IF(INDEX(HwyTransitModelGroup,A114,1)=PARAMETERS!$J$9,0.00000110231131*(C142*VLOOKUP(K142,EmBus20,6)-D142*VLOOKUP(L142,EmBus20,6)+(O142-P142)*VLOOKUP(0,EmBus20,6)),0)</f>
        <v>0</v>
      </c>
      <c r="AP142" s="863">
        <f>IF(INDEX(HwyTransitModelGroup,A114,1)=PARAMETERS!$J$9,0.00000110231131*(C142*VLOOKUP(K142,EmBus20,7)-D142*VLOOKUP(L142,EmBus20,7)+(O142-P142)*VLOOKUP(0,EmBus20,7)),0)</f>
        <v>0</v>
      </c>
      <c r="AQ142" s="861">
        <f>IF(INDEX(HwyTransitModelGroup,A114,1)=PARAMETERS!$J$9,0.00000110231131*(C142*VLOOKUP(K142,EmBus20,8)-D142*VLOOKUP(L142,EmBus20,8)+(O142-P142)*VLOOKUP(0,EmBus20,8)),0)</f>
        <v>0</v>
      </c>
      <c r="AR142" s="401">
        <f>IF(INDEX(HwyTransitModelGroup,A114,1)=PARAMETERS!$J$10,0.00000110231131*((C142-D142)*PARAMETERS!$CQ$29),0)</f>
        <v>0</v>
      </c>
      <c r="AS142" s="863">
        <f>IF(INDEX(HwyTransitModelGroup,A114,1)=PARAMETERS!$J$10,0.00000110231131*((C142-D142)*PARAMETERS!$CR$29),0)</f>
        <v>0</v>
      </c>
      <c r="AT142" s="861">
        <f>IF(INDEX(HwyTransitModelGroup,A114,1)=PARAMETERS!$J$10,0.00000110231131*((C142-D142)*PARAMETERS!$CS$29),0)</f>
        <v>0</v>
      </c>
      <c r="AU142" s="863">
        <f>IF(INDEX(HwyTransitModelGroup,A114,1)=PARAMETERS!$J$10,0.00000110231131*((C142-D142)*PARAMETERS!$CT$29),0)</f>
        <v>0</v>
      </c>
      <c r="AV142" s="861">
        <f>IF(INDEX(HwyTransitModelGroup,A114,1)=PARAMETERS!$J$10,0.00000110231131*((C142-D142)*PARAMETERS!$CU$29),0)</f>
        <v>0</v>
      </c>
      <c r="AW142" s="863">
        <f>IF(INDEX(HwyTransitModelGroup,A114,1)=PARAMETERS!$J$10,0.00000110231131*((C142-D142)*PARAMETERS!$CV$29),0)</f>
        <v>0</v>
      </c>
      <c r="AX142" s="861">
        <f>IF(INDEX(HwyTransitModelGroup,A114,1)=PARAMETERS!$J$10,0.00000110231131*((C142-D142)*PARAMETERS!$CW$29),0)</f>
        <v>0</v>
      </c>
      <c r="AY142" s="401">
        <f>IF(INDEX(HwyTransitModelGroup,A114,1)=PARAMETERS!$J$11,0.00000110231131*((C142-D142)*PARAMETERS!$CQ$37),0)</f>
        <v>0</v>
      </c>
      <c r="AZ142" s="863">
        <f>IF(INDEX(HwyTransitModelGroup,A114,1)=PARAMETERS!$J$11,0.00000110231131*((C142-D142)*PARAMETERS!$CR$37),0)</f>
        <v>0</v>
      </c>
      <c r="BA142" s="861">
        <f>IF(INDEX(HwyTransitModelGroup,A114,1)=PARAMETERS!$J$11,0.00000110231131*((C142-D142)*PARAMETERS!$CS$37),0)</f>
        <v>0</v>
      </c>
      <c r="BB142" s="863">
        <f>IF(INDEX(HwyTransitModelGroup,A114,1)=PARAMETERS!$J$11,0.00000110231131*((C142-D142)*PARAMETERS!$CT$37),0)</f>
        <v>0</v>
      </c>
      <c r="BC142" s="861">
        <f>IF(INDEX(HwyTransitModelGroup,A114,1)=PARAMETERS!$J$11,0.00000110231131*((C142-D142)*PARAMETERS!$CU$37),0)</f>
        <v>0</v>
      </c>
      <c r="BD142" s="863">
        <f>IF(INDEX(HwyTransitModelGroup,A114,1)=PARAMETERS!$J$11,0.00000110231131*((C142-D142)*PARAMETERS!$CV$37),0)</f>
        <v>0</v>
      </c>
      <c r="BE142" s="865">
        <f>IF(INDEX(HwyTransitModelGroup,A114,1)=PARAMETERS!$J$11,0.00000110231131*((C142-D142)*PARAMETERS!$CW$37),0)</f>
        <v>0</v>
      </c>
      <c r="BF142" s="729">
        <f t="shared" si="50"/>
        <v>6.6088752289694837</v>
      </c>
      <c r="BG142" s="867">
        <f t="shared" si="51"/>
        <v>-1757.4463911653229</v>
      </c>
      <c r="BH142" s="867">
        <f t="shared" si="52"/>
        <v>-643.40793967179764</v>
      </c>
      <c r="BI142" s="867">
        <f t="shared" si="53"/>
        <v>-209.33394392970229</v>
      </c>
      <c r="BJ142" s="867">
        <f t="shared" si="54"/>
        <v>-13.677520658632654</v>
      </c>
      <c r="BK142" s="869">
        <f t="shared" si="55"/>
        <v>-7.6990505650544397E-2</v>
      </c>
      <c r="BL142" s="2"/>
      <c r="BN142" s="375">
        <f t="shared" si="60"/>
        <v>2042</v>
      </c>
      <c r="BO142" s="871">
        <f t="shared" ca="1" si="58"/>
        <v>-6.8351786768371886E-3</v>
      </c>
      <c r="BP142" s="871">
        <f t="shared" ca="1" si="61"/>
        <v>-1.2821504032625105E-2</v>
      </c>
      <c r="BQ142" s="871">
        <f t="shared" ca="1" si="61"/>
        <v>2.0325571910013811E-2</v>
      </c>
      <c r="BR142" s="871">
        <f t="shared" ca="1" si="61"/>
        <v>-0.10177792728587096</v>
      </c>
      <c r="BS142" s="871">
        <f t="shared" ca="1" si="61"/>
        <v>0.58695860505487252</v>
      </c>
      <c r="BT142" s="871">
        <f t="shared" ca="1" si="61"/>
        <v>0.68607064208561019</v>
      </c>
    </row>
    <row r="143" spans="2:72" x14ac:dyDescent="0.25">
      <c r="B143" s="385"/>
      <c r="C143" s="386"/>
      <c r="D143" s="386"/>
      <c r="E143" s="386"/>
      <c r="F143" s="386"/>
      <c r="G143" s="386"/>
      <c r="H143" s="386"/>
      <c r="I143" s="386"/>
      <c r="J143" s="386"/>
      <c r="K143" s="388"/>
      <c r="L143" s="388"/>
      <c r="M143" s="386"/>
      <c r="N143" s="386"/>
      <c r="O143" s="388"/>
      <c r="P143" s="388"/>
      <c r="Q143" s="388"/>
      <c r="R143" s="388"/>
      <c r="S143" s="388"/>
      <c r="T143" s="388"/>
      <c r="U143" s="388"/>
      <c r="V143" s="388"/>
      <c r="W143" s="388"/>
      <c r="X143" s="388"/>
      <c r="Y143" s="388"/>
      <c r="Z143" s="388"/>
      <c r="AA143" s="388"/>
      <c r="AB143" s="389"/>
      <c r="AC143" s="390"/>
      <c r="AD143" s="847"/>
      <c r="AE143" s="389"/>
      <c r="AF143" s="389"/>
      <c r="AG143" s="389"/>
      <c r="AH143" s="389"/>
      <c r="AI143" s="389"/>
      <c r="AJ143" s="848"/>
      <c r="AK143" s="390"/>
      <c r="AL143" s="390"/>
      <c r="AM143" s="390"/>
      <c r="AN143" s="390"/>
      <c r="AO143" s="390"/>
      <c r="AP143" s="390"/>
      <c r="AQ143" s="390"/>
      <c r="AR143" s="390"/>
      <c r="AS143" s="390"/>
      <c r="AT143" s="390"/>
      <c r="AU143" s="390"/>
      <c r="AV143" s="390"/>
      <c r="AW143" s="390"/>
      <c r="AX143" s="390"/>
      <c r="AY143" s="390"/>
      <c r="AZ143" s="390"/>
      <c r="BA143" s="390"/>
      <c r="BB143" s="390"/>
      <c r="BC143" s="390"/>
      <c r="BD143" s="390"/>
      <c r="BE143" s="390"/>
      <c r="BF143" s="390"/>
      <c r="BG143" s="390"/>
      <c r="BH143" s="390"/>
      <c r="BI143" s="390"/>
      <c r="BJ143" s="390"/>
      <c r="BK143" s="390"/>
      <c r="BL143" s="321"/>
      <c r="BN143" s="375">
        <f t="shared" si="60"/>
        <v>2043</v>
      </c>
      <c r="BO143" s="871">
        <f t="shared" ca="1" si="58"/>
        <v>-7.5235714847632874E-3</v>
      </c>
      <c r="BP143" s="871">
        <f t="shared" ca="1" si="61"/>
        <v>-1.3009484528038859E-2</v>
      </c>
      <c r="BQ143" s="871">
        <f t="shared" ca="1" si="61"/>
        <v>2.0622733901268116E-2</v>
      </c>
      <c r="BR143" s="871">
        <f t="shared" ca="1" si="61"/>
        <v>-0.10285896144676041</v>
      </c>
      <c r="BS143" s="871">
        <f t="shared" ca="1" si="61"/>
        <v>0.6042877666496943</v>
      </c>
      <c r="BT143" s="871">
        <f t="shared" ca="1" si="61"/>
        <v>0.70017844183571121</v>
      </c>
    </row>
    <row r="144" spans="2:72" ht="15.75" x14ac:dyDescent="0.25">
      <c r="B144" s="407" t="s">
        <v>56</v>
      </c>
      <c r="C144" s="413"/>
      <c r="D144" s="414"/>
      <c r="E144" s="414"/>
      <c r="F144" s="414"/>
      <c r="G144" s="414"/>
      <c r="H144" s="414"/>
      <c r="I144" s="414"/>
      <c r="J144" s="414"/>
      <c r="K144" s="414"/>
      <c r="L144" s="414"/>
      <c r="M144" s="414"/>
      <c r="N144" s="414"/>
      <c r="O144" s="414"/>
      <c r="P144" s="414"/>
      <c r="Q144" s="414"/>
      <c r="R144" s="415"/>
      <c r="S144" s="414"/>
      <c r="T144" s="415"/>
      <c r="U144" s="415"/>
      <c r="V144" s="415"/>
      <c r="W144" s="415"/>
      <c r="X144" s="415"/>
      <c r="Y144" s="415"/>
      <c r="Z144" s="415"/>
      <c r="AA144" s="414"/>
      <c r="AB144" s="409">
        <f>SUM(AB123:AB142)</f>
        <v>-46495.078361311163</v>
      </c>
      <c r="AC144" s="416"/>
      <c r="AD144" s="438">
        <f t="shared" ref="AD144:BK144" si="62">SUM(AD123:AD142)</f>
        <v>4.6672606572299165</v>
      </c>
      <c r="AE144" s="699">
        <f t="shared" si="62"/>
        <v>-838.43867448878802</v>
      </c>
      <c r="AF144" s="699">
        <f t="shared" si="62"/>
        <v>-1.3951738801785973</v>
      </c>
      <c r="AG144" s="699">
        <f t="shared" si="62"/>
        <v>-7.5914096219528382E-2</v>
      </c>
      <c r="AH144" s="699">
        <f t="shared" si="62"/>
        <v>-8.5743033767047734E-3</v>
      </c>
      <c r="AI144" s="699">
        <f t="shared" si="62"/>
        <v>2.3533131597977517E-2</v>
      </c>
      <c r="AJ144" s="700">
        <f t="shared" si="62"/>
        <v>-7.2704882335971915E-2</v>
      </c>
      <c r="AK144" s="438">
        <f t="shared" si="62"/>
        <v>0</v>
      </c>
      <c r="AL144" s="699">
        <f t="shared" si="62"/>
        <v>0</v>
      </c>
      <c r="AM144" s="699">
        <f t="shared" si="62"/>
        <v>0</v>
      </c>
      <c r="AN144" s="699">
        <f t="shared" si="62"/>
        <v>0</v>
      </c>
      <c r="AO144" s="699">
        <f t="shared" si="62"/>
        <v>0</v>
      </c>
      <c r="AP144" s="699">
        <f t="shared" si="62"/>
        <v>0</v>
      </c>
      <c r="AQ144" s="700">
        <f t="shared" si="62"/>
        <v>0</v>
      </c>
      <c r="AR144" s="438">
        <f t="shared" si="62"/>
        <v>0</v>
      </c>
      <c r="AS144" s="699">
        <f t="shared" si="62"/>
        <v>0</v>
      </c>
      <c r="AT144" s="699">
        <f t="shared" si="62"/>
        <v>0</v>
      </c>
      <c r="AU144" s="699">
        <f t="shared" si="62"/>
        <v>0</v>
      </c>
      <c r="AV144" s="699">
        <f t="shared" si="62"/>
        <v>0</v>
      </c>
      <c r="AW144" s="699">
        <f t="shared" si="62"/>
        <v>0</v>
      </c>
      <c r="AX144" s="700">
        <f t="shared" si="62"/>
        <v>0</v>
      </c>
      <c r="AY144" s="438">
        <f t="shared" si="62"/>
        <v>0</v>
      </c>
      <c r="AZ144" s="699">
        <f t="shared" si="62"/>
        <v>0</v>
      </c>
      <c r="BA144" s="699">
        <f t="shared" si="62"/>
        <v>0</v>
      </c>
      <c r="BB144" s="699">
        <f t="shared" si="62"/>
        <v>0</v>
      </c>
      <c r="BC144" s="699">
        <f t="shared" si="62"/>
        <v>0</v>
      </c>
      <c r="BD144" s="699">
        <f t="shared" si="62"/>
        <v>0</v>
      </c>
      <c r="BE144" s="700">
        <f t="shared" si="62"/>
        <v>0</v>
      </c>
      <c r="BF144" s="704">
        <f t="shared" si="62"/>
        <v>235.75056661485254</v>
      </c>
      <c r="BG144" s="705">
        <f t="shared" si="62"/>
        <v>-29986.856527757063</v>
      </c>
      <c r="BH144" s="705">
        <f t="shared" si="62"/>
        <v>-11275.44512910694</v>
      </c>
      <c r="BI144" s="705">
        <f t="shared" si="62"/>
        <v>-5203.9824583361633</v>
      </c>
      <c r="BJ144" s="705">
        <f t="shared" si="62"/>
        <v>-285.02241632245494</v>
      </c>
      <c r="BK144" s="439">
        <f t="shared" si="62"/>
        <v>20.477603596656721</v>
      </c>
      <c r="BL144" s="20"/>
      <c r="BN144" s="375">
        <f t="shared" si="60"/>
        <v>2044</v>
      </c>
      <c r="BO144" s="871">
        <f t="shared" ca="1" si="58"/>
        <v>-8.2119642926893697E-3</v>
      </c>
      <c r="BP144" s="871">
        <f t="shared" ca="1" si="61"/>
        <v>-1.3197465023452601E-2</v>
      </c>
      <c r="BQ144" s="871">
        <f t="shared" ca="1" si="61"/>
        <v>2.0919895892522439E-2</v>
      </c>
      <c r="BR144" s="871">
        <f t="shared" ca="1" si="61"/>
        <v>-0.10393999560764984</v>
      </c>
      <c r="BS144" s="871">
        <f t="shared" ca="1" si="61"/>
        <v>0.62161692824451686</v>
      </c>
      <c r="BT144" s="871">
        <f t="shared" ca="1" si="61"/>
        <v>0.71428624158581211</v>
      </c>
    </row>
    <row r="145" spans="1:72" x14ac:dyDescent="0.25">
      <c r="B145" s="2"/>
      <c r="C145" s="418"/>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I145" s="2"/>
      <c r="BJ145" s="418"/>
      <c r="BK145" s="418"/>
      <c r="BL145" s="440"/>
      <c r="BN145" s="375">
        <f t="shared" si="60"/>
        <v>2045</v>
      </c>
      <c r="BO145" s="871">
        <f t="shared" ca="1" si="58"/>
        <v>-8.9003571006154737E-3</v>
      </c>
      <c r="BP145" s="871">
        <f t="shared" ca="1" si="61"/>
        <v>-1.3385445518866359E-2</v>
      </c>
      <c r="BQ145" s="871">
        <f t="shared" ca="1" si="61"/>
        <v>2.1217057883776758E-2</v>
      </c>
      <c r="BR145" s="871">
        <f t="shared" ca="1" si="61"/>
        <v>-0.10502102976853925</v>
      </c>
      <c r="BS145" s="871">
        <f t="shared" ca="1" si="61"/>
        <v>0.63894608983933887</v>
      </c>
      <c r="BT145" s="871">
        <f t="shared" ca="1" si="61"/>
        <v>0.7283940413359139</v>
      </c>
    </row>
    <row r="146" spans="1:72" x14ac:dyDescent="0.25">
      <c r="A146" s="1">
        <f>MAX($A$1:A145)+1</f>
        <v>5</v>
      </c>
      <c r="B146" s="319" t="str">
        <f>IF(ISBLANK(INDEX(ModelGroup,A146,1)),"Not Used",INDEX(ModelGroup,A146,1))</f>
        <v>NB Mainline</v>
      </c>
      <c r="C146" s="2"/>
      <c r="D146" s="2"/>
      <c r="E146" s="2"/>
      <c r="F146" s="2"/>
      <c r="G146" s="2"/>
      <c r="H146" s="2"/>
      <c r="I146" s="2"/>
      <c r="J146" s="2"/>
      <c r="K146" s="2"/>
      <c r="L146" s="2"/>
      <c r="M146" s="2"/>
      <c r="N146" s="2"/>
      <c r="O146" s="2"/>
      <c r="P146" s="320"/>
      <c r="Q146" s="320"/>
      <c r="R146" s="2"/>
      <c r="S146" s="320"/>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I146" s="319"/>
      <c r="BJ146" s="2"/>
      <c r="BK146" s="2"/>
      <c r="BL146" s="354"/>
      <c r="BN146" s="385"/>
      <c r="BO146" s="389"/>
      <c r="BP146" s="389"/>
      <c r="BQ146" s="389"/>
      <c r="BR146" s="389"/>
      <c r="BS146" s="389"/>
      <c r="BT146" s="389"/>
    </row>
    <row r="147" spans="1:72" ht="15.75" x14ac:dyDescent="0.25">
      <c r="B147" s="2"/>
      <c r="C147" s="2"/>
      <c r="D147" s="321"/>
      <c r="E147" s="321"/>
      <c r="F147" s="321"/>
      <c r="G147" s="321"/>
      <c r="H147" s="321"/>
      <c r="I147" s="321"/>
      <c r="J147" s="321"/>
      <c r="K147" s="321"/>
      <c r="L147" s="321"/>
      <c r="M147" s="321"/>
      <c r="N147" s="321"/>
      <c r="O147" s="2"/>
      <c r="P147" s="320"/>
      <c r="Q147" s="1788" t="s">
        <v>327</v>
      </c>
      <c r="R147" s="1789"/>
      <c r="S147" s="1789"/>
      <c r="T147" s="1790"/>
      <c r="U147" s="1788" t="s">
        <v>328</v>
      </c>
      <c r="V147" s="1789"/>
      <c r="W147" s="1788" t="s">
        <v>329</v>
      </c>
      <c r="X147" s="1790"/>
      <c r="Y147" s="1788" t="s">
        <v>330</v>
      </c>
      <c r="Z147" s="1790"/>
      <c r="AA147" s="2"/>
      <c r="AB147" s="149"/>
      <c r="AC147" s="149"/>
      <c r="AD147" s="1791" t="s">
        <v>327</v>
      </c>
      <c r="AE147" s="1792"/>
      <c r="AF147" s="1792"/>
      <c r="AG147" s="1792"/>
      <c r="AH147" s="1792"/>
      <c r="AI147" s="1792"/>
      <c r="AJ147" s="1793"/>
      <c r="AK147" s="1791" t="s">
        <v>328</v>
      </c>
      <c r="AL147" s="1792"/>
      <c r="AM147" s="1792"/>
      <c r="AN147" s="1792"/>
      <c r="AO147" s="1792"/>
      <c r="AP147" s="1792"/>
      <c r="AQ147" s="1793"/>
      <c r="AR147" s="1791" t="s">
        <v>329</v>
      </c>
      <c r="AS147" s="1792"/>
      <c r="AT147" s="1792"/>
      <c r="AU147" s="1792"/>
      <c r="AV147" s="1792"/>
      <c r="AW147" s="1792"/>
      <c r="AX147" s="1793"/>
      <c r="AY147" s="1791" t="s">
        <v>330</v>
      </c>
      <c r="AZ147" s="1792"/>
      <c r="BA147" s="1792"/>
      <c r="BB147" s="1792"/>
      <c r="BC147" s="1792"/>
      <c r="BD147" s="1792"/>
      <c r="BE147" s="1793"/>
      <c r="BF147" s="149"/>
      <c r="BG147" s="149"/>
      <c r="BI147" s="2"/>
      <c r="BJ147" s="2"/>
      <c r="BK147" s="321"/>
      <c r="BL147" s="354"/>
      <c r="BN147" s="407" t="s">
        <v>56</v>
      </c>
      <c r="BO147" s="411">
        <f t="shared" ref="BO147:BT147" ca="1" si="63">SUM(BO126:BO145)</f>
        <v>-5.2474073133196686E-2</v>
      </c>
      <c r="BP147" s="411">
        <f t="shared" ca="1" si="63"/>
        <v>-0.17044584912256389</v>
      </c>
      <c r="BQ147" s="411">
        <f t="shared" ca="1" si="63"/>
        <v>0.40651195038371485</v>
      </c>
      <c r="BR147" s="411">
        <f t="shared" ca="1" si="63"/>
        <v>-1.3951738801785973</v>
      </c>
      <c r="BS147" s="411">
        <f t="shared" ca="1" si="63"/>
        <v>11.424798304803394</v>
      </c>
      <c r="BT147" s="411">
        <f t="shared" ca="1" si="63"/>
        <v>14.581449006895848</v>
      </c>
    </row>
    <row r="148" spans="1:72" ht="15.75" x14ac:dyDescent="0.25">
      <c r="B148" s="322"/>
      <c r="C148" s="325" t="s">
        <v>271</v>
      </c>
      <c r="D148" s="326"/>
      <c r="E148" s="325" t="s">
        <v>190</v>
      </c>
      <c r="F148" s="326"/>
      <c r="G148" s="325" t="s">
        <v>331</v>
      </c>
      <c r="H148" s="326"/>
      <c r="I148" s="325" t="s">
        <v>193</v>
      </c>
      <c r="J148" s="326"/>
      <c r="K148" s="323" t="s">
        <v>272</v>
      </c>
      <c r="L148" s="427"/>
      <c r="M148" s="325" t="s">
        <v>192</v>
      </c>
      <c r="N148" s="326"/>
      <c r="O148" s="323" t="s">
        <v>332</v>
      </c>
      <c r="P148" s="324"/>
      <c r="Q148" s="327" t="s">
        <v>333</v>
      </c>
      <c r="R148" s="328"/>
      <c r="S148" s="327" t="s">
        <v>334</v>
      </c>
      <c r="T148" s="328"/>
      <c r="U148" s="327" t="s">
        <v>333</v>
      </c>
      <c r="V148" s="328"/>
      <c r="W148" s="327" t="s">
        <v>335</v>
      </c>
      <c r="X148" s="328"/>
      <c r="Y148" s="323" t="s">
        <v>335</v>
      </c>
      <c r="Z148" s="323"/>
      <c r="AA148" s="329"/>
      <c r="AB148" s="330"/>
      <c r="AC148" s="2"/>
      <c r="AD148" s="680" t="s">
        <v>336</v>
      </c>
      <c r="AE148" s="680"/>
      <c r="AF148" s="681"/>
      <c r="AG148" s="681"/>
      <c r="AH148" s="681"/>
      <c r="AI148" s="681"/>
      <c r="AJ148" s="683"/>
      <c r="AK148" s="852" t="s">
        <v>336</v>
      </c>
      <c r="AL148" s="681"/>
      <c r="AM148" s="681"/>
      <c r="AN148" s="681"/>
      <c r="AO148" s="681"/>
      <c r="AP148" s="681"/>
      <c r="AQ148" s="683"/>
      <c r="AR148" s="852" t="s">
        <v>336</v>
      </c>
      <c r="AS148" s="681"/>
      <c r="AT148" s="681"/>
      <c r="AU148" s="681"/>
      <c r="AV148" s="681"/>
      <c r="AW148" s="681"/>
      <c r="AX148" s="683"/>
      <c r="AY148" s="852" t="s">
        <v>336</v>
      </c>
      <c r="AZ148" s="681"/>
      <c r="BA148" s="681"/>
      <c r="BB148" s="681"/>
      <c r="BC148" s="681"/>
      <c r="BD148" s="681"/>
      <c r="BE148" s="683"/>
      <c r="BF148" s="849" t="s">
        <v>337</v>
      </c>
      <c r="BG148" s="682"/>
      <c r="BH148" s="681"/>
      <c r="BI148" s="681"/>
      <c r="BJ148" s="681"/>
      <c r="BK148" s="683"/>
      <c r="BL148" s="431"/>
    </row>
    <row r="149" spans="1:72" x14ac:dyDescent="0.25">
      <c r="B149" s="335"/>
      <c r="C149" s="338" t="s">
        <v>274</v>
      </c>
      <c r="D149" s="339"/>
      <c r="E149" s="338" t="s">
        <v>275</v>
      </c>
      <c r="F149" s="339"/>
      <c r="G149" s="338" t="s">
        <v>338</v>
      </c>
      <c r="H149" s="339"/>
      <c r="I149" s="338" t="s">
        <v>339</v>
      </c>
      <c r="J149" s="339"/>
      <c r="K149" s="336" t="s">
        <v>276</v>
      </c>
      <c r="L149" s="428"/>
      <c r="M149" s="338" t="s">
        <v>277</v>
      </c>
      <c r="N149" s="339"/>
      <c r="O149" s="336" t="s">
        <v>340</v>
      </c>
      <c r="P149" s="337"/>
      <c r="Q149" s="340" t="s">
        <v>203</v>
      </c>
      <c r="R149" s="341"/>
      <c r="S149" s="340" t="s">
        <v>203</v>
      </c>
      <c r="T149" s="341"/>
      <c r="U149" s="340" t="s">
        <v>203</v>
      </c>
      <c r="V149" s="341"/>
      <c r="W149" s="340" t="s">
        <v>203</v>
      </c>
      <c r="X149" s="341"/>
      <c r="Y149" s="336" t="s">
        <v>203</v>
      </c>
      <c r="Z149" s="336"/>
      <c r="AA149" s="342"/>
      <c r="AB149" s="343"/>
      <c r="AC149" s="2"/>
      <c r="AD149" s="684" t="s">
        <v>341</v>
      </c>
      <c r="AE149" s="684"/>
      <c r="AF149" s="685"/>
      <c r="AG149" s="685"/>
      <c r="AH149" s="685"/>
      <c r="AI149" s="685"/>
      <c r="AJ149" s="686"/>
      <c r="AK149" s="684" t="s">
        <v>341</v>
      </c>
      <c r="AL149" s="685"/>
      <c r="AM149" s="685"/>
      <c r="AN149" s="685"/>
      <c r="AO149" s="685"/>
      <c r="AP149" s="685"/>
      <c r="AQ149" s="686"/>
      <c r="AR149" s="684" t="s">
        <v>341</v>
      </c>
      <c r="AS149" s="685"/>
      <c r="AT149" s="685"/>
      <c r="AU149" s="685"/>
      <c r="AV149" s="685"/>
      <c r="AW149" s="685"/>
      <c r="AX149" s="686"/>
      <c r="AY149" s="684" t="s">
        <v>341</v>
      </c>
      <c r="AZ149" s="685"/>
      <c r="BA149" s="685"/>
      <c r="BB149" s="685"/>
      <c r="BC149" s="685"/>
      <c r="BD149" s="685"/>
      <c r="BE149" s="686"/>
      <c r="BF149" s="685" t="s">
        <v>342</v>
      </c>
      <c r="BG149" s="687"/>
      <c r="BH149" s="688"/>
      <c r="BI149" s="688"/>
      <c r="BJ149" s="688"/>
      <c r="BK149" s="687"/>
      <c r="BL149" s="431"/>
    </row>
    <row r="150" spans="1:72" x14ac:dyDescent="0.25">
      <c r="B150" s="77" t="s">
        <v>34</v>
      </c>
      <c r="C150" s="348"/>
      <c r="D150" s="349"/>
      <c r="E150" s="348"/>
      <c r="F150" s="349"/>
      <c r="G150" s="348"/>
      <c r="H150" s="349"/>
      <c r="I150" s="348"/>
      <c r="J150" s="349"/>
      <c r="K150" s="348"/>
      <c r="L150" s="349"/>
      <c r="M150" s="348"/>
      <c r="N150" s="349"/>
      <c r="O150" s="348"/>
      <c r="P150" s="349"/>
      <c r="Q150" s="348"/>
      <c r="R150" s="349"/>
      <c r="S150" s="348"/>
      <c r="T150" s="349"/>
      <c r="U150" s="348"/>
      <c r="V150" s="349"/>
      <c r="W150" s="723"/>
      <c r="X150" s="349"/>
      <c r="Y150" s="723"/>
      <c r="Z150" s="349"/>
      <c r="AA150" s="351" t="s">
        <v>208</v>
      </c>
      <c r="AB150" s="347" t="s">
        <v>39</v>
      </c>
      <c r="AC150" s="352"/>
      <c r="AD150" s="689"/>
      <c r="AE150" s="690"/>
      <c r="AF150" s="690"/>
      <c r="AG150" s="690"/>
      <c r="AH150" s="690"/>
      <c r="AI150" s="690"/>
      <c r="AJ150" s="692"/>
      <c r="AK150" s="689"/>
      <c r="AL150" s="690"/>
      <c r="AM150" s="690"/>
      <c r="AN150" s="690"/>
      <c r="AO150" s="690"/>
      <c r="AP150" s="690"/>
      <c r="AQ150" s="692"/>
      <c r="AR150" s="689"/>
      <c r="AS150" s="690"/>
      <c r="AT150" s="690"/>
      <c r="AU150" s="690"/>
      <c r="AV150" s="690"/>
      <c r="AW150" s="690"/>
      <c r="AX150" s="692"/>
      <c r="AY150" s="689"/>
      <c r="AZ150" s="690"/>
      <c r="BA150" s="690"/>
      <c r="BB150" s="690"/>
      <c r="BC150" s="690"/>
      <c r="BD150" s="690"/>
      <c r="BE150" s="692"/>
      <c r="BF150" s="850"/>
      <c r="BG150" s="690"/>
      <c r="BH150" s="690"/>
      <c r="BI150" s="690"/>
      <c r="BJ150" s="690"/>
      <c r="BK150" s="692"/>
      <c r="BL150" s="374"/>
    </row>
    <row r="151" spans="1:72" ht="21" x14ac:dyDescent="0.35">
      <c r="B151" s="355"/>
      <c r="C151" s="356" t="s">
        <v>74</v>
      </c>
      <c r="D151" s="357" t="s">
        <v>125</v>
      </c>
      <c r="E151" s="356" t="s">
        <v>74</v>
      </c>
      <c r="F151" s="357" t="s">
        <v>125</v>
      </c>
      <c r="G151" s="356" t="s">
        <v>74</v>
      </c>
      <c r="H151" s="357" t="s">
        <v>125</v>
      </c>
      <c r="I151" s="356" t="s">
        <v>74</v>
      </c>
      <c r="J151" s="357" t="s">
        <v>125</v>
      </c>
      <c r="K151" s="356" t="s">
        <v>74</v>
      </c>
      <c r="L151" s="357" t="s">
        <v>125</v>
      </c>
      <c r="M151" s="356" t="s">
        <v>74</v>
      </c>
      <c r="N151" s="357" t="s">
        <v>125</v>
      </c>
      <c r="O151" s="356" t="s">
        <v>74</v>
      </c>
      <c r="P151" s="357" t="s">
        <v>125</v>
      </c>
      <c r="Q151" s="356" t="s">
        <v>74</v>
      </c>
      <c r="R151" s="357" t="s">
        <v>125</v>
      </c>
      <c r="S151" s="356" t="s">
        <v>74</v>
      </c>
      <c r="T151" s="357" t="s">
        <v>125</v>
      </c>
      <c r="U151" s="356" t="s">
        <v>74</v>
      </c>
      <c r="V151" s="357" t="s">
        <v>125</v>
      </c>
      <c r="W151" s="724" t="s">
        <v>74</v>
      </c>
      <c r="X151" s="357" t="s">
        <v>125</v>
      </c>
      <c r="Y151" s="724" t="s">
        <v>74</v>
      </c>
      <c r="Z151" s="357" t="s">
        <v>125</v>
      </c>
      <c r="AA151" s="359" t="s">
        <v>48</v>
      </c>
      <c r="AB151" s="360" t="s">
        <v>49</v>
      </c>
      <c r="AC151" s="352"/>
      <c r="AD151" s="693" t="s">
        <v>344</v>
      </c>
      <c r="AE151" s="694" t="s">
        <v>345</v>
      </c>
      <c r="AF151" s="694" t="s">
        <v>346</v>
      </c>
      <c r="AG151" s="694" t="s">
        <v>347</v>
      </c>
      <c r="AH151" s="694" t="s">
        <v>348</v>
      </c>
      <c r="AI151" s="694" t="s">
        <v>349</v>
      </c>
      <c r="AJ151" s="696" t="s">
        <v>350</v>
      </c>
      <c r="AK151" s="693" t="s">
        <v>344</v>
      </c>
      <c r="AL151" s="694" t="s">
        <v>345</v>
      </c>
      <c r="AM151" s="694" t="s">
        <v>346</v>
      </c>
      <c r="AN151" s="694" t="s">
        <v>347</v>
      </c>
      <c r="AO151" s="694" t="s">
        <v>348</v>
      </c>
      <c r="AP151" s="694" t="s">
        <v>349</v>
      </c>
      <c r="AQ151" s="696" t="s">
        <v>350</v>
      </c>
      <c r="AR151" s="693" t="s">
        <v>344</v>
      </c>
      <c r="AS151" s="694" t="s">
        <v>345</v>
      </c>
      <c r="AT151" s="694" t="s">
        <v>346</v>
      </c>
      <c r="AU151" s="694" t="s">
        <v>347</v>
      </c>
      <c r="AV151" s="694" t="s">
        <v>348</v>
      </c>
      <c r="AW151" s="694" t="s">
        <v>349</v>
      </c>
      <c r="AX151" s="696" t="s">
        <v>350</v>
      </c>
      <c r="AY151" s="693" t="s">
        <v>344</v>
      </c>
      <c r="AZ151" s="694" t="s">
        <v>345</v>
      </c>
      <c r="BA151" s="694" t="s">
        <v>346</v>
      </c>
      <c r="BB151" s="694" t="s">
        <v>347</v>
      </c>
      <c r="BC151" s="694" t="s">
        <v>348</v>
      </c>
      <c r="BD151" s="694" t="s">
        <v>349</v>
      </c>
      <c r="BE151" s="696" t="s">
        <v>350</v>
      </c>
      <c r="BF151" s="851" t="s">
        <v>344</v>
      </c>
      <c r="BG151" s="694" t="s">
        <v>345</v>
      </c>
      <c r="BH151" s="694" t="s">
        <v>346</v>
      </c>
      <c r="BI151" s="694" t="s">
        <v>347</v>
      </c>
      <c r="BJ151" s="694" t="s">
        <v>348</v>
      </c>
      <c r="BK151" s="696" t="s">
        <v>349</v>
      </c>
      <c r="BL151" s="431"/>
      <c r="BN151" s="316" t="s">
        <v>354</v>
      </c>
    </row>
    <row r="152" spans="1:72" x14ac:dyDescent="0.25">
      <c r="B152" s="363">
        <f>YearFirst</f>
        <v>2026</v>
      </c>
      <c r="C152" s="364">
        <f>INDEX(ModelData1NB,A146,2)*AnnualFactor</f>
        <v>18439070</v>
      </c>
      <c r="D152" s="365">
        <f>INDEX(ModelData1B,A146,2)*AnnualFactor</f>
        <v>17158285</v>
      </c>
      <c r="E152" s="364">
        <f>IF(INDEX(HwyTransitModelGroup,A146,1)=Hwy,INDEX(ModelData1NB,A146,3),0)*AnnualFactor</f>
        <v>265720</v>
      </c>
      <c r="F152" s="365">
        <f>IF(INDEX(HwyTransitModelGroup,A146,1)=Hwy,INDEX(ModelData1B,A146,3),0)*AnnualFactor</f>
        <v>246740</v>
      </c>
      <c r="G152" s="364">
        <f>IF(INDEX(HwyTransitModelGroup,A146,1)&lt;&gt;Hwy,INDEX(ModelData1NB,A146,4),0)*AnnualFactor</f>
        <v>0</v>
      </c>
      <c r="H152" s="365">
        <f>IF(INDEX(HwyTransitModelGroup,A146,1)&lt;&gt;Hwy,INDEX(ModelData1B,A146,4),0)*AnnualFactor</f>
        <v>0</v>
      </c>
      <c r="I152" s="364">
        <f>IF(INDEX(HwyTransitModelGroup,A146,1)&lt;&gt;Hwy,INDEX(ModelData1NB,A146,5),0)*AnnualFactor</f>
        <v>0</v>
      </c>
      <c r="J152" s="365">
        <f>IF(INDEX(HwyTransitModelGroup,A146,1)&lt;&gt;Hwy,INDEX(ModelData1B,A146,5),0)*AnnualFactor</f>
        <v>0</v>
      </c>
      <c r="K152" s="429">
        <f>IFERROR(IF(INDEX(HwyTransitModelGroup,A146,1)=Hwy,MAX(5,ROUND(C152/E152,1)),MAX(5,ROUND(G152/I152,1))),55)</f>
        <v>69.400000000000006</v>
      </c>
      <c r="L152" s="430">
        <f>IFERROR(IF(INDEX(HwyTransitModelGroup,A146,1)=Hwy,MAX(5,ROUND(D152/F152,1)),MAX(5,ROUND(H152/J152,1))),55)</f>
        <v>69.5</v>
      </c>
      <c r="M152" s="803">
        <f>IF(INDEX(HwyTransitModelGroup,A146,1)=Hwy,INDEX(ModelData1NB,A146,9),0)</f>
        <v>0.24</v>
      </c>
      <c r="N152" s="804">
        <f>IF(INDEX(HwyTransitModelGroup,A146,1)=Hwy,INDEX(ModelData1B,A146,9),0)</f>
        <v>0.24</v>
      </c>
      <c r="O152" s="364">
        <f>IF(OR(INDEX(ModelData1NB,A146,8)=0,INDEX(HwyTransitModelGroup,A146,1)&lt;&gt;Hwy),0,INDEX(ModelData1NB,A146,1)*AnnualFactor/INDEX(ModelData1NB,A146,8))</f>
        <v>0</v>
      </c>
      <c r="P152" s="365">
        <f>IF(OR(INDEX(ModelData1B,A146,8)=0,INDEX(HwyTransitModelGroup,A146,1)&lt;&gt;Hwy),0,INDEX(ModelData1B,A146,1)*AnnualFactor/INDEX(ModelData1B,A146,8))</f>
        <v>0</v>
      </c>
      <c r="Q152" s="808">
        <f>IF(INDEX(HwyTransitModelGroup,A146,1)=Hwy,C152*(1-M152)*0.00000110231131*(VLOOKUP(K152,EmAuto1,2)*VLOOKUP(ProjLoc,EmCost,2)+VLOOKUP(K152,EmAuto1,3)*VLOOKUP(ProjLoc,EmCost,3)*(1+CO2Uprater)^($B152-YearCurrent)+VLOOKUP(K152,EmAuto1,4)*VLOOKUP(ProjLoc,EmCost,4)+VLOOKUP(K152,EmAuto1,5)*VLOOKUP(ProjLoc,EmCost,5)+VLOOKUP(K152,EmAuto1,6)*VLOOKUP(ProjLoc,EmCost,6)+VLOOKUP(K152,EmAuto1,7)*VLOOKUP(ProjLoc,EmCost,7))+C152*M152*0.00000110231131*(VLOOKUP(K152,EmTruck1,2)*VLOOKUP(ProjLoc,EmCost,2)+VLOOKUP(K152,EmTruck1,3)*VLOOKUP(ProjLoc,EmCost,3)*(1+CO2Uprater)^($B152-YearCurrent)+VLOOKUP(K152,EmTruck1,4)*VLOOKUP(ProjLoc,EmCost,4)+VLOOKUP(K152,EmTruck1,5)*VLOOKUP(ProjLoc,EmCost,5)+VLOOKUP(K152,EmTruck1,6)*VLOOKUP(ProjLoc,EmCost,6)+VLOOKUP(K152,EmTruck1,7)*VLOOKUP(ProjLoc,EmCost,7)),0)</f>
        <v>749950.82346778153</v>
      </c>
      <c r="R152" s="844">
        <f>IF(INDEX(HwyTransitModelGroup,A146,1)=Hwy,D152*(1-N152)*0.00000110231131*(VLOOKUP(L152,EmAuto1,2)*VLOOKUP(ProjLoc,EmCost,2)+VLOOKUP(L152,EmAuto1,3)*VLOOKUP(ProjLoc,EmCost,3)*(1+CO2Uprater)^($B152-YearCurrent)+VLOOKUP(L152,EmAuto1,4)*VLOOKUP(ProjLoc,EmCost,4)+VLOOKUP(L152,EmAuto1,5)*VLOOKUP(ProjLoc,EmCost,5)+VLOOKUP(L152,EmAuto1,6)*VLOOKUP(ProjLoc,EmCost,6)+VLOOKUP(L152,EmAuto1,7)*VLOOKUP(ProjLoc,EmCost,7))+D152*N152*0.00000110231131*(VLOOKUP(L152,EmTruck1,2)*VLOOKUP(ProjLoc,EmCost,2)+VLOOKUP(L152,EmTruck1,3)*VLOOKUP(ProjLoc,EmCost,3)*(1+CO2Uprater)^($B152-YearCurrent)+VLOOKUP(L152,EmTruck1,4)*VLOOKUP(ProjLoc,EmCost,4)+VLOOKUP(L152,EmTruck1,5)*VLOOKUP(ProjLoc,EmCost,5)+VLOOKUP(L152,EmTruck1,6)*VLOOKUP(ProjLoc,EmCost,6)+VLOOKUP(L152,EmTruck1,7)*VLOOKUP(ProjLoc,EmCost,7)),0)</f>
        <v>697858.94652197126</v>
      </c>
      <c r="S152" s="808">
        <f>IF(INDEX(HwyTransitModelGroup,A146,1)=Hwy,O152*(1-M152)*0.00000110231131*(VLOOKUP(0,EmAuto1,2)*VLOOKUP(ProjLoc,EmCost,2)+VLOOKUP(0,EmAuto1,3)*VLOOKUP(ProjLoc,EmCost,3)*(1+CO2Uprater)^($B152-YearCurrent)+VLOOKUP(0,EmAuto1,4)*VLOOKUP(ProjLoc,EmCost,4)+VLOOKUP(0,EmAuto1,5)*VLOOKUP(ProjLoc,EmCost,5)+VLOOKUP(0,EmAuto1,6)*VLOOKUP(ProjLoc,EmCost,6)+VLOOKUP(0,EmAuto1,7)*VLOOKUP(ProjLoc,EmCost,7))+O152*M152*0.00000110231131*(VLOOKUP(0,EmTruck1,2)*VLOOKUP(ProjLoc,EmCost,2)+VLOOKUP(0,EmTruck1,3)*VLOOKUP(ProjLoc,EmCost,3)*(1+CO2Uprater)^($B152-YearCurrent)+VLOOKUP(0,EmTruck1,4)*VLOOKUP(ProjLoc,EmCost,4)+VLOOKUP(0,EmTruck1,5)*VLOOKUP(ProjLoc,EmCost,5)+VLOOKUP(0,EmTruck1,6)*VLOOKUP(ProjLoc,EmCost,6)+VLOOKUP(0,EmTruck1,7)*VLOOKUP(ProjLoc,EmCost,7)),0)</f>
        <v>0</v>
      </c>
      <c r="T152" s="844">
        <f>IF(INDEX(HwyTransitModelGroup,A146,1)=Hwy,P152*(1-N152)*0.00000110231131*(VLOOKUP(0,EmAuto1,2)*VLOOKUP(ProjLoc,EmCost,2)+VLOOKUP(0,EmAuto1,3)*VLOOKUP(ProjLoc,EmCost,3)*(1+CO2Uprater)^($B152-YearCurrent)+VLOOKUP(0,EmAuto1,4)*VLOOKUP(ProjLoc,EmCost,4)+VLOOKUP(0,EmAuto1,5)*VLOOKUP(ProjLoc,EmCost,5)+VLOOKUP(0,EmAuto1,6)*VLOOKUP(ProjLoc,EmCost,6)+VLOOKUP(0,EmAuto1,7)*VLOOKUP(ProjLoc,EmCost,7))+P152*N152*0.00000110231131*(VLOOKUP(0,EmTruck1,2)*VLOOKUP(ProjLoc,EmCost,2)+VLOOKUP(0,EmTruck1,3)*VLOOKUP(ProjLoc,EmCost,3)*(1+CO2Uprater)^($B152-YearCurrent)+VLOOKUP(0,EmTruck1,4)*VLOOKUP(ProjLoc,EmCost,4)+VLOOKUP(0,EmTruck1,5)*VLOOKUP(ProjLoc,EmCost,5)+VLOOKUP(0,EmTruck1,6)*VLOOKUP(ProjLoc,EmCost,6)+VLOOKUP(0,EmTruck1,7)*VLOOKUP(ProjLoc,EmCost,7)),0)</f>
        <v>0</v>
      </c>
      <c r="U152" s="808">
        <f>IF(INDEX(HwyTransitModelGroup,A146,1)=PARAMETERS!$J$9,C152*0.00000110231131*(VLOOKUP(K152,EmBus1,2)*VLOOKUP(ProjLoc,EmCost,2)+VLOOKUP(K152,EmBus1,3)*VLOOKUP(ProjLoc,EmCost,3)*(1+CO2Uprater)^($B152-YearCurrent)+VLOOKUP(K152,EmBus1,4)*VLOOKUP(ProjLoc,EmCost,4)+VLOOKUP(K152,EmBus1,5)*VLOOKUP(ProjLoc,EmCost,5)+VLOOKUP(K152,EmBus1,6)*VLOOKUP(ProjLoc,EmCost,6)+VLOOKUP(K152,EmBus1,7)*VLOOKUP(ProjLoc,EmCost,7)),0)</f>
        <v>0</v>
      </c>
      <c r="V152" s="844">
        <f>IF(INDEX(HwyTransitModelGroup,A146,1)=PARAMETERS!$J$9,D152*0.00000110231131*(VLOOKUP(L152,EmBus1,2)*VLOOKUP(ProjLoc,EmCost,2)+VLOOKUP(L152,EmBus1,3)*VLOOKUP(ProjLoc,EmCost,3)*(1+CO2Uprater)^($B152-YearCurrent)+VLOOKUP(L152,EmBus1,4)*VLOOKUP(ProjLoc,EmCost,4)+VLOOKUP(L152,EmBus1,5)*VLOOKUP(ProjLoc,EmCost,5)+VLOOKUP(L152,EmBus1,6)*VLOOKUP(ProjLoc,EmCost,6)+VLOOKUP(L152,EmBus1,7)*VLOOKUP(ProjLoc,EmCost,7)),0)</f>
        <v>0</v>
      </c>
      <c r="W152" s="808">
        <f>IF(INDEX(HwyTransitModelGroup,A146,1)=PARAMETERS!$J$10,C152*0.00000110231131*(PARAMETERS!$CQ$28*VLOOKUP(ProjLoc,EmCost,2)+PARAMETERS!$CR$28*VLOOKUP(ProjLoc,EmCost,3)*(1+CO2Uprater)^($B152-YearCurrent)+PARAMETERS!$CS$28*VLOOKUP(ProjLoc,EmCost,4)+PARAMETERS!$CT$28*VLOOKUP(ProjLoc,EmCost,5)+PARAMETERS!$CU$28*VLOOKUP(ProjLoc,EmCost,6)+PARAMETERS!$CV$28*VLOOKUP(ProjLoc,EmCost,7)),0)</f>
        <v>0</v>
      </c>
      <c r="X152" s="844">
        <f>IF(INDEX(HwyTransitModelGroup,A146,1)=PARAMETERS!$J$10,D152*0.00000110231131*(PARAMETERS!$CQ$28*VLOOKUP(ProjLoc,EmCost,2)+PARAMETERS!$CR$28*VLOOKUP(ProjLoc,EmCost,3)*(1+CO2Uprater)^($B152-YearCurrent)+PARAMETERS!$CS$28*VLOOKUP(ProjLoc,EmCost,4)+PARAMETERS!$CT$28*VLOOKUP(ProjLoc,EmCost,5)+PARAMETERS!$CU$28*VLOOKUP(ProjLoc,EmCost,6)+PARAMETERS!$CV$28*VLOOKUP(ProjLoc,EmCost,7)),0)</f>
        <v>0</v>
      </c>
      <c r="Y152" s="808">
        <f>IF(INDEX(HwyTransitModelGroup,A146,1)=PARAMETERS!$J$11,C152*0.00000110231131*(PARAMETERS!$CQ$36*VLOOKUP(ProjLoc,EmCost,2)+PARAMETERS!$CR$36*VLOOKUP(ProjLoc,EmCost,3)*(1+CO2Uprater)^($B152-YearCurrent)+PARAMETERS!$CS$36*VLOOKUP(ProjLoc,EmCost,4)+PARAMETERS!$CT$36*VLOOKUP(ProjLoc,EmCost,5)+PARAMETERS!$CU$36*VLOOKUP(ProjLoc,EmCost,6)+PARAMETERS!$CV$36*VLOOKUP(ProjLoc,EmCost,7)),0)</f>
        <v>0</v>
      </c>
      <c r="Z152" s="844">
        <f>IF(INDEX(HwyTransitModelGroup,A146,1)=PARAMETERS!$J$11,D152*0.00000110231131*(PARAMETERS!$CQ$36*VLOOKUP(ProjLoc,EmCost,2)+PARAMETERS!$CR$36*VLOOKUP(ProjLoc,EmCost,3)*(1+CO2Uprater)^($B152-YearCurrent)+PARAMETERS!$CS$36*VLOOKUP(ProjLoc,EmCost,4)+PARAMETERS!$CT$36*VLOOKUP(ProjLoc,EmCost,5)+PARAMETERS!$CU$36*VLOOKUP(ProjLoc,EmCost,6)+PARAMETERS!$CV$36*VLOOKUP(ProjLoc,EmCost,7)),0)</f>
        <v>0</v>
      </c>
      <c r="AA152" s="369">
        <f>(Q152+S152+U152+W152+Y152)-(R152+T152+V152+X152+Z152)</f>
        <v>52091.876945810276</v>
      </c>
      <c r="AB152" s="370">
        <f>AA152/(1+DiscRate)^(B152-YearCurrent)</f>
        <v>44528.354731883373</v>
      </c>
      <c r="AC152" s="371"/>
      <c r="AD152" s="853">
        <f>IF(INDEX(HwyTransitModelGroup,A146,1)=Hwy,0.00000110231131*(C152*(1-M152)*VLOOKUP(K152,EmAuto1,2)-D152*(1-N152)*VLOOKUP(L152,EmAuto1,2)+(O152*(1-M152)-P152*(1-N152))*VLOOKUP(0,EmAuto1,2))+0.00000110231131*(C152*M152*VLOOKUP(K152,EmTruck1,2)-D152*N152*VLOOKUP(L152,EmTruck1,2)+(O152*M152-P152*N152)*VLOOKUP(0,EmTruck1,2)),0)</f>
        <v>0.89092857977551554</v>
      </c>
      <c r="AE152" s="854">
        <f>IF(INDEX(HwyTransitModelGroup,A146,1)=Hwy,0.00000110231131*(C152*(1-M152)*VLOOKUP(K152,EmAuto1,3)-D152*(1-N152)*VLOOKUP(L152,EmAuto1,3)+(O152*(1-M152)-P152*(1-N152))*VLOOKUP(0,EmAuto1,3))+0.00000110231131*(C152*M152*VLOOKUP(K152,EmTruck1,3)-D152*N152*VLOOKUP(L152,EmTruck1,3)+(O152*M152-P152*N152)*VLOOKUP(0,EmTruck1,3)),0)</f>
        <v>807.94988450123924</v>
      </c>
      <c r="AF152" s="854">
        <f>IF(INDEX(HwyTransitModelGroup,A146,1)=Hwy,0.00000110231131*(C152*(1-M152)*VLOOKUP(K152,EmAuto1,4)-D152*(1-N152)*VLOOKUP(L152,EmAuto1,4)+(O152*(1-M152)-P152*(1-N152))*VLOOKUP(0,EmAuto1,4))+0.00000110231131*(C152*M152*VLOOKUP(K152,EmTruck1,4)-D152*N152*VLOOKUP(L152,EmTruck1,4)+(O152*M152-P152*N152)*VLOOKUP(0,EmTruck1,4)),0)</f>
        <v>0.54680500161854018</v>
      </c>
      <c r="AG152" s="854">
        <f>IF(INDEX(HwyTransitModelGroup,A146,1)=Hwy,0.00000110231131*(C152*(1-M152)*VLOOKUP(K152,EmAuto1,5)-D152*(1-N152)*VLOOKUP(L152,EmAuto1,5)+(O152*(1-M152)-P152*(1-N152))*VLOOKUP(0,EmAuto1,5))+0.00000110231131*(C152*M152*VLOOKUP(K152,EmTruck1,5)-D152*N152*VLOOKUP(L152,EmTruck1,5)+(O152*M152-P152*N152)*VLOOKUP(0,EmTruck1,5)),0)</f>
        <v>1.1091287703497113E-2</v>
      </c>
      <c r="AH152" s="854">
        <f>IF(INDEX(HwyTransitModelGroup,A146,1)=Hwy,0.00000110231131*(C152*(1-M152)*VLOOKUP(K152,EmAuto1,6)-D152*(1-N152)*VLOOKUP(L152,EmAuto1,6)+(O152*(1-M152)-P152*(1-N152))*VLOOKUP(0,EmAuto1,6))+0.00000110231131*(C152*M152*VLOOKUP(K152,EmTruck1,6)-D152*N152*VLOOKUP(L152,EmTruck1,6)+(O152*M152-P152*N152)*VLOOKUP(0,EmTruck1,6)),0)</f>
        <v>7.8158565079633445E-3</v>
      </c>
      <c r="AI152" s="854">
        <f>IF(INDEX(HwyTransitModelGroup,A146,1)=Hwy,0.00000110231131*(C152*(1-M152)*VLOOKUP(K152,EmAuto1,7)-D152*(1-N152)*VLOOKUP(L152,EmAuto1,7)+(O152*(1-M152)-P152*(1-N152))*VLOOKUP(0,EmAuto1,7))+0.00000110231131*(C152*M152*VLOOKUP(K152,EmTruck1,7)-D152*N152*VLOOKUP(L152,EmTruck1,7)+(O152*M152-P152*N152)*VLOOKUP(0,EmTruck1,7)),0)</f>
        <v>2.6948892526012336E-2</v>
      </c>
      <c r="AJ152" s="855">
        <f>IF(INDEX(HwyTransitModelGroup,A146,1)=Hwy,0.00000110231131*(C152*(1-M152)*VLOOKUP(K152,EmAuto1,8)-D152*(1-N152)*VLOOKUP(L152,EmAuto1,8)+(O152*(1-M152)-P152*(1-N152))*VLOOKUP(0,EmAuto1,8))+0.00000110231131*(C152*M152*VLOOKUP(K152,EmTruck1,8)-D152*N152*VLOOKUP(L152,EmTruck1,8)+(O152*M152-P152*N152)*VLOOKUP(0,EmTruck1,8)),0)</f>
        <v>1.0577383843508188E-2</v>
      </c>
      <c r="AK152" s="853">
        <f>IF(INDEX(HwyTransitModelGroup,A146,1)=PARAMETERS!$J$9,0.00000110231131*(C152*VLOOKUP(K152,EmBus1,2)-D152*VLOOKUP(L152,EmBus1,2)+(O152-P152)*VLOOKUP(0,EmBus1,2)),0)</f>
        <v>0</v>
      </c>
      <c r="AL152" s="854">
        <f>IF(INDEX(HwyTransitModelGroup,A146,1)=PARAMETERS!$J$9,0.00000110231131*(C152*VLOOKUP(K152,EmBus1,3)-D152*VLOOKUP(L152,EmBus1,3)+(O152-P152)*VLOOKUP(0,EmBus1,3)),0)</f>
        <v>0</v>
      </c>
      <c r="AM152" s="854">
        <f>IF(INDEX(HwyTransitModelGroup,A146,1)=PARAMETERS!$J$9,0.00000110231131*(C152*VLOOKUP(K152,EmBus1,4)-D152*VLOOKUP(L152,EmBus1,4)+(O152-P152)*VLOOKUP(0,EmBus1,4)),0)</f>
        <v>0</v>
      </c>
      <c r="AN152" s="854">
        <f>IF(INDEX(HwyTransitModelGroup,A146,1)=PARAMETERS!$J$9,0.00000110231131*(C152*VLOOKUP(K152,EmBus1,5)-D152*VLOOKUP(L152,EmBus1,5)+(O152-P152)*VLOOKUP(0,EmBus1,5)),0)</f>
        <v>0</v>
      </c>
      <c r="AO152" s="854">
        <f>IF(INDEX(HwyTransitModelGroup,A146,1)=PARAMETERS!$J$9,0.00000110231131*(C152*VLOOKUP(K152,EmBus1,6)-D152*VLOOKUP(L152,EmBus1,6)+(O152-P152)*VLOOKUP(0,EmBus1,6)),0)</f>
        <v>0</v>
      </c>
      <c r="AP152" s="854">
        <f>IF(INDEX(HwyTransitModelGroup,A146,1)=PARAMETERS!$J$9,0.00000110231131*(C152*VLOOKUP(K152,EmBus1,7)-D152*VLOOKUP(L152,EmBus1,7)+(O152-P152)*VLOOKUP(0,EmBus1,7)),0)</f>
        <v>0</v>
      </c>
      <c r="AQ152" s="855">
        <f>IF(INDEX(HwyTransitModelGroup,A146,1)=PARAMETERS!$J$9,0.00000110231131*(C152*VLOOKUP(K152,EmBus1,8)-D152*VLOOKUP(L152,EmBus1,8)+(O152-P152)*VLOOKUP(0,EmBus1,8)),0)</f>
        <v>0</v>
      </c>
      <c r="AR152" s="853">
        <f>IF(INDEX(HwyTransitModelGroup,A146,1)=PARAMETERS!$J$10,0.00000110231131*((C152-D152)*PARAMETERS!$CQ$28),0)</f>
        <v>0</v>
      </c>
      <c r="AS152" s="854">
        <f>IF(INDEX(HwyTransitModelGroup,A146,1)=PARAMETERS!$J$10,0.00000110231131*((C152-D152)*PARAMETERS!$CR$28),0)</f>
        <v>0</v>
      </c>
      <c r="AT152" s="854">
        <f>IF(INDEX(HwyTransitModelGroup,A146,1)=PARAMETERS!$J$10,0.00000110231131*((C152-D152)*PARAMETERS!$CS$28),0)</f>
        <v>0</v>
      </c>
      <c r="AU152" s="854">
        <f>IF(INDEX(HwyTransitModelGroup,A146,1)=PARAMETERS!$J$10,0.00000110231131*((C152-D152)*PARAMETERS!$CT$28),0)</f>
        <v>0</v>
      </c>
      <c r="AV152" s="854">
        <f>IF(INDEX(HwyTransitModelGroup,A146,1)=PARAMETERS!$J$10,0.00000110231131*((C152-D152)*PARAMETERS!$CU$28),0)</f>
        <v>0</v>
      </c>
      <c r="AW152" s="854">
        <f>IF(INDEX(HwyTransitModelGroup,A146,1)=PARAMETERS!$J$10,0.00000110231131*((C152-D152)*PARAMETERS!$CV$28),0)</f>
        <v>0</v>
      </c>
      <c r="AX152" s="855">
        <f>IF(INDEX(HwyTransitModelGroup,A146,1)=PARAMETERS!$J$10,0.00000110231131*((C152-D152)*PARAMETERS!$CW$28),0)</f>
        <v>0</v>
      </c>
      <c r="AY152" s="853">
        <f>IF(INDEX(HwyTransitModelGroup,A146,1)=PARAMETERS!$J$11,0.00000110231131*((C152-D152)*PARAMETERS!$CQ$36),0)</f>
        <v>0</v>
      </c>
      <c r="AZ152" s="854">
        <f>IF(INDEX(HwyTransitModelGroup,A146,1)=PARAMETERS!$J$11,0.00000110231131*((C152-D152)*PARAMETERS!$CR$36),0)</f>
        <v>0</v>
      </c>
      <c r="BA152" s="854">
        <f>IF(INDEX(HwyTransitModelGroup,A146,1)=PARAMETERS!$J$11,0.00000110231131*((C152-D152)*PARAMETERS!$CS$36),0)</f>
        <v>0</v>
      </c>
      <c r="BB152" s="854">
        <f>IF(INDEX(HwyTransitModelGroup,A146,1)=PARAMETERS!$J$11,0.00000110231131*((C152-D152)*PARAMETERS!$CT$36),0)</f>
        <v>0</v>
      </c>
      <c r="BC152" s="854">
        <f>IF(INDEX(HwyTransitModelGroup,A146,1)=PARAMETERS!$J$11,0.00000110231131*((C152-D152)*PARAMETERS!$CU$36),0)</f>
        <v>0</v>
      </c>
      <c r="BD152" s="854">
        <f>IF(INDEX(HwyTransitModelGroup,A146,1)=PARAMETERS!$J$11,0.00000110231131*((C152-D152)*PARAMETERS!$CV$36),0)</f>
        <v>0</v>
      </c>
      <c r="BE152" s="855">
        <f>IF(INDEX(HwyTransitModelGroup,A146,1)=PARAMETERS!$J$11,0.00000110231131*((C152-D152)*PARAMETERS!$CW$36),0)</f>
        <v>0</v>
      </c>
      <c r="BF152" s="832">
        <f>(AD152+AK152+AR152+AY152)*VLOOKUP(ProjLoc,EmCost,2)/(1+DiscRate)^($B152-YearCurrent)</f>
        <v>60.925558712021754</v>
      </c>
      <c r="BG152" s="701">
        <f>(AE152+AL152+AS152+AZ152)*VLOOKUP(ProjLoc,EmCost,3)*(1+CO2Uprater)^($B152-YearCurrent)/(1+DiscRate)^($B152-YearCurrent)</f>
        <v>35883.350766195595</v>
      </c>
      <c r="BH152" s="701">
        <f>(AF152+AM152+AT152+BA152)*VLOOKUP(ProjLoc,EmCost,4)/(1+DiscRate)^($B152-YearCurrent)</f>
        <v>7057.9092265991167</v>
      </c>
      <c r="BI152" s="701">
        <f>(AG152+AN152+AU152+BB152)*VLOOKUP(ProjLoc,EmCost,5)/(1+DiscRate)^($B152-YearCurrent)</f>
        <v>1106.4186041414382</v>
      </c>
      <c r="BJ152" s="701">
        <f>(AH152+AO152+AV152+BC152)*VLOOKUP(ProjLoc,EmCost,6)/(1+DiscRate)^($B152-YearCurrent)</f>
        <v>394.18058707014734</v>
      </c>
      <c r="BK152" s="368">
        <f>(AI152+AP152+AW152+BD152)*VLOOKUP(ProjLoc,EmCost,7)/(1+DiscRate)^($B152-YearCurrent)</f>
        <v>25.569989165077946</v>
      </c>
      <c r="BL152" s="431"/>
      <c r="BN152" s="2"/>
      <c r="BO152" s="310"/>
      <c r="BP152" s="310"/>
      <c r="BQ152" s="310"/>
      <c r="BR152" s="310"/>
      <c r="BS152" s="310"/>
      <c r="BT152" s="310"/>
    </row>
    <row r="153" spans="1:72" x14ac:dyDescent="0.25">
      <c r="B153" s="379">
        <f>YearLast</f>
        <v>2046</v>
      </c>
      <c r="C153" s="380">
        <f>INDEX(ModelData20NB,A146,2)*AnnualFactor</f>
        <v>23407085</v>
      </c>
      <c r="D153" s="381">
        <f>INDEX(ModelData20B,A146,2)*AnnualFactor</f>
        <v>20692945</v>
      </c>
      <c r="E153" s="380">
        <f>IF(INDEX(HwyTransitModelGroup,A146,1)=Hwy,INDEX(ModelData20NB,A146,3),0)*AnnualFactor</f>
        <v>338720</v>
      </c>
      <c r="F153" s="381">
        <f>IF(INDEX(HwyTransitModelGroup,A146,1)=Hwy,INDEX(ModelData20B,A146,3),0)*AnnualFactor</f>
        <v>298570</v>
      </c>
      <c r="G153" s="380">
        <f>IF(INDEX(HwyTransitModelGroup,A146,1)&lt;&gt;Hwy,INDEX(ModelData20NB,A146,4),0)*AnnualFactor</f>
        <v>0</v>
      </c>
      <c r="H153" s="381">
        <f>IF(INDEX(HwyTransitModelGroup,A146,1)&lt;&gt;Hwy,INDEX(ModelData20B,A146,4),0)*AnnualFactor</f>
        <v>0</v>
      </c>
      <c r="I153" s="380">
        <f>IF(INDEX(HwyTransitModelGroup,A146,1)&lt;&gt;Hwy,INDEX(ModelData20NB,A146,5),0)*AnnualFactor</f>
        <v>0</v>
      </c>
      <c r="J153" s="381">
        <f>IF(INDEX(HwyTransitModelGroup,A146,1)&lt;&gt;Hwy,INDEX(ModelData20B,A146,5),0)*AnnualFactor</f>
        <v>0</v>
      </c>
      <c r="K153" s="432">
        <f>IFERROR(IF(INDEX(HwyTransitModelGroup,A146,1)=Hwy,MAX(5,ROUND(C153/E153,1)),MAX(5,ROUND(G153/I153,1))),55)</f>
        <v>69.099999999999994</v>
      </c>
      <c r="L153" s="433">
        <f>IFERROR(IF(INDEX(HwyTransitModelGroup,A146,1)=Hwy,MAX(5,ROUND(D153/F153,1)),MAX(5,ROUND(H153/J153,1))),55)</f>
        <v>69.3</v>
      </c>
      <c r="M153" s="805">
        <f>IF(INDEX(HwyTransitModelGroup,A146,1)=Hwy,INDEX(ModelData20NB,A146,9),0)</f>
        <v>0.24</v>
      </c>
      <c r="N153" s="806">
        <f>IF(INDEX(HwyTransitModelGroup,A146,1)=Hwy,INDEX(ModelData20B,A146,9),0)</f>
        <v>0.24</v>
      </c>
      <c r="O153" s="380">
        <f>IF(OR(INDEX(ModelData20NB,A146,8)=0,INDEX(HwyTransitModelGroup,A146,1)&lt;&gt;Hwy),0,INDEX(ModelData20NB,A146,1)*AnnualFactor/INDEX(ModelData20NB,A146,8))</f>
        <v>0</v>
      </c>
      <c r="P153" s="381">
        <f>IF(OR(INDEX(ModelData20B,A146,8)=0,INDEX(HwyTransitModelGroup,A146,1)&lt;&gt;Hwy),0,INDEX(ModelData20B,A146,1)*AnnualFactor/INDEX(ModelData20B,A146,8))</f>
        <v>0</v>
      </c>
      <c r="Q153" s="845">
        <f>IF(INDEX(HwyTransitModelGroup,A146,1)=Hwy,C153*(1-M153)*0.00000110231131*(VLOOKUP(K153,EmAuto20,2)*VLOOKUP(ProjLoc,EmCost,2)+VLOOKUP(K153,EmAuto20,3)*VLOOKUP(ProjLoc,EmCost,3)*(1+CO2Uprater)^($B153-YearCurrent)+VLOOKUP(K153,EmAuto20,4)*VLOOKUP(ProjLoc,EmCost,4)+VLOOKUP(K153,EmAuto20,5)*VLOOKUP(ProjLoc,EmCost,5)+VLOOKUP(K153,EmAuto20,6)*VLOOKUP(ProjLoc,EmCost,6)+VLOOKUP(K153,EmAuto20,7)*VLOOKUP(ProjLoc,EmCost,7))+C153*M153*0.00000110231131*(VLOOKUP(K153,EmTruck20,2)*VLOOKUP(ProjLoc,EmCost,2)+VLOOKUP(K153,EmTruck20,3)*VLOOKUP(ProjLoc,EmCost,3)*(1+CO2Uprater)^($B153-YearCurrent)+VLOOKUP(K153,EmTruck20,4)*VLOOKUP(ProjLoc,EmCost,4)+VLOOKUP(K153,EmTruck20,5)*VLOOKUP(ProjLoc,EmCost,5)+VLOOKUP(K153,EmTruck20,6)*VLOOKUP(ProjLoc,EmCost,6)+VLOOKUP(K153,EmTruck20,7)*VLOOKUP(ProjLoc,EmCost,7)),0)</f>
        <v>988256.60099338274</v>
      </c>
      <c r="R153" s="846">
        <f>IF(INDEX(HwyTransitModelGroup,A146,1)=Hwy,D153*(1-N153)*0.00000110231131*(VLOOKUP(L153,EmAuto20,2)*VLOOKUP(ProjLoc,EmCost,2)+VLOOKUP(L153,EmAuto20,3)*VLOOKUP(ProjLoc,EmCost,3)*(1+CO2Uprater)^($B153-YearCurrent)+VLOOKUP(L153,EmAuto20,4)*VLOOKUP(ProjLoc,EmCost,4)+VLOOKUP(L153,EmAuto20,5)*VLOOKUP(ProjLoc,EmCost,5)+VLOOKUP(L153,EmAuto20,6)*VLOOKUP(ProjLoc,EmCost,6)+VLOOKUP(L153,EmAuto20,7)*VLOOKUP(ProjLoc,EmCost,7))+D153*N153*0.00000110231131*(VLOOKUP(L153,EmTruck20,2)*VLOOKUP(ProjLoc,EmCost,2)+VLOOKUP(L153,EmTruck20,3)*VLOOKUP(ProjLoc,EmCost,3)*(1+CO2Uprater)^($B153-YearCurrent)+VLOOKUP(L153,EmTruck20,4)*VLOOKUP(ProjLoc,EmCost,4)+VLOOKUP(L153,EmTruck20,5)*VLOOKUP(ProjLoc,EmCost,5)+VLOOKUP(L153,EmTruck20,6)*VLOOKUP(ProjLoc,EmCost,6)+VLOOKUP(L153,EmTruck20,7)*VLOOKUP(ProjLoc,EmCost,7)),0)</f>
        <v>873664.51184515352</v>
      </c>
      <c r="S153" s="845">
        <f>IF(INDEX(HwyTransitModelGroup,A146,1)=Hwy,O153*(1-M153)*0.00000110231131*(VLOOKUP(0,EmAuto20,2)*VLOOKUP(ProjLoc,EmCost,2)+VLOOKUP(0,EmAuto20,3)*VLOOKUP(ProjLoc,EmCost,3)*(1+CO2Uprater)^($B153-YearCurrent)+VLOOKUP(0,EmAuto20,4)*VLOOKUP(ProjLoc,EmCost,4)+VLOOKUP(0,EmAuto20,5)*VLOOKUP(ProjLoc,EmCost,5)+VLOOKUP(0,EmAuto20,6)*VLOOKUP(ProjLoc,EmCost,6)+VLOOKUP(0,EmAuto20,7)*VLOOKUP(ProjLoc,EmCost,7))+O153*M153*0.00000110231131*(VLOOKUP(0,EmTruck20,2)*VLOOKUP(ProjLoc,EmCost,2)+VLOOKUP(0,EmTruck20,3)*VLOOKUP(ProjLoc,EmCost,3)*(1+CO2Uprater)^($B153-YearCurrent)+VLOOKUP(0,EmTruck20,4)*VLOOKUP(ProjLoc,EmCost,4)+VLOOKUP(0,EmTruck20,5)*VLOOKUP(ProjLoc,EmCost,5)+VLOOKUP(0,EmTruck20,6)*VLOOKUP(ProjLoc,EmCost,6)+VLOOKUP(0,EmTruck20,7)*VLOOKUP(ProjLoc,EmCost,7)),0)</f>
        <v>0</v>
      </c>
      <c r="T153" s="846">
        <f>IF(INDEX(HwyTransitModelGroup,A146,1)=Hwy,P153*(1-N153)*0.00000110231131*(VLOOKUP(0,EmAuto20,2)*VLOOKUP(ProjLoc,EmCost,2)+VLOOKUP(0,EmAuto20,3)*VLOOKUP(ProjLoc,EmCost,3)*(1+CO2Uprater)^($B153-YearCurrent)+VLOOKUP(0,EmAuto20,4)*VLOOKUP(ProjLoc,EmCost,4)+VLOOKUP(0,EmAuto20,5)*VLOOKUP(ProjLoc,EmCost,5)+VLOOKUP(0,EmAuto20,6)*VLOOKUP(ProjLoc,EmCost,6)+VLOOKUP(0,EmAuto20,7)*VLOOKUP(ProjLoc,EmCost,7))+P153*N153*0.00000110231131*(VLOOKUP(0,EmTruck20,2)*VLOOKUP(ProjLoc,EmCost,2)+VLOOKUP(0,EmTruck20,3)*VLOOKUP(ProjLoc,EmCost,3)*(1+CO2Uprater)^($B153-YearCurrent)+VLOOKUP(0,EmTruck20,4)*VLOOKUP(ProjLoc,EmCost,4)+VLOOKUP(0,EmTruck20,5)*VLOOKUP(ProjLoc,EmCost,5)+VLOOKUP(0,EmTruck20,6)*VLOOKUP(ProjLoc,EmCost,6)+VLOOKUP(0,EmTruck20,7)*VLOOKUP(ProjLoc,EmCost,7)),0)</f>
        <v>0</v>
      </c>
      <c r="U153" s="845">
        <f>IF(INDEX(HwyTransitModelGroup,A146,1)=PARAMETERS!$J$9,C153*0.00000110231131*(VLOOKUP(K153,EmBus20,2)*VLOOKUP(ProjLoc,EmCost,2)+VLOOKUP(K153,EmBus20,3)*VLOOKUP(ProjLoc,EmCost,3)*(1+CO2Uprater)^($B153-YearCurrent)+VLOOKUP(K153,EmBus20,4)*VLOOKUP(ProjLoc,EmCost,4)+VLOOKUP(K153,EmBus20,5)*VLOOKUP(ProjLoc,EmCost,5)+VLOOKUP(K153,EmBus20,6)*VLOOKUP(ProjLoc,EmCost,6)+VLOOKUP(K153,EmBus20,7)*VLOOKUP(ProjLoc,EmCost,7)),0)</f>
        <v>0</v>
      </c>
      <c r="V153" s="846">
        <f>IF(INDEX(HwyTransitModelGroup,A146,1)=PARAMETERS!$J$9,D153*0.00000110231131*(VLOOKUP(L153,EmBus20,2)*VLOOKUP(ProjLoc,EmCost,2)+VLOOKUP(L153,EmBus20,3)*VLOOKUP(ProjLoc,EmCost,3)*(1+CO2Uprater)^($B153-YearCurrent)+VLOOKUP(L153,EmBus20,4)*VLOOKUP(ProjLoc,EmCost,4)+VLOOKUP(L153,EmBus20,5)*VLOOKUP(ProjLoc,EmCost,5)+VLOOKUP(L153,EmBus20,6)*VLOOKUP(ProjLoc,EmCost,6)+VLOOKUP(L153,EmBus20,7)*VLOOKUP(ProjLoc,EmCost,7)),0)</f>
        <v>0</v>
      </c>
      <c r="W153" s="845">
        <f>IF(INDEX(HwyTransitModelGroup,A146,1)=PARAMETERS!$J$10,C153*0.00000110231131*(PARAMETERS!$CQ$29*VLOOKUP(ProjLoc,EmCost,2)+PARAMETERS!$CR$29*VLOOKUP(ProjLoc,EmCost,3)*(1+CO2Uprater)^($B153-YearCurrent)+PARAMETERS!$CS$29*VLOOKUP(ProjLoc,EmCost,4)+PARAMETERS!$CT$29*VLOOKUP(ProjLoc,EmCost,5)+PARAMETERS!$CU$29*VLOOKUP(ProjLoc,EmCost,6)+PARAMETERS!$CV$29*VLOOKUP(ProjLoc,EmCost,7)),0)</f>
        <v>0</v>
      </c>
      <c r="X153" s="846">
        <f>IF(INDEX(HwyTransitModelGroup,A146,1)=PARAMETERS!$J$10,D153*0.00000110231131*(PARAMETERS!$CQ$29*VLOOKUP(ProjLoc,EmCost,2)+PARAMETERS!$CR$29*VLOOKUP(ProjLoc,EmCost,3)*(1+CO2Uprater)^($B153-YearCurrent)+PARAMETERS!$CS$29*VLOOKUP(ProjLoc,EmCost,4)+PARAMETERS!$CT$29*VLOOKUP(ProjLoc,EmCost,5)+PARAMETERS!$CU$29*VLOOKUP(ProjLoc,EmCost,6)+PARAMETERS!$CV$29*VLOOKUP(ProjLoc,EmCost,7)),0)</f>
        <v>0</v>
      </c>
      <c r="Y153" s="845">
        <f>IF(INDEX(HwyTransitModelGroup,A146,1)=PARAMETERS!$J$11,C153*0.00000110231131*(PARAMETERS!$CQ$37*VLOOKUP(ProjLoc,EmCost,2)+PARAMETERS!$CR$37*VLOOKUP(ProjLoc,EmCost,3)*(1+CO2Uprater)^($B153-YearCurrent)+PARAMETERS!$CS$37*VLOOKUP(ProjLoc,EmCost,4)+PARAMETERS!$CT$37*VLOOKUP(ProjLoc,EmCost,5)+PARAMETERS!$CU$37*VLOOKUP(ProjLoc,EmCost,6)+PARAMETERS!$CV$37*VLOOKUP(ProjLoc,EmCost,7)),0)</f>
        <v>0</v>
      </c>
      <c r="Z153" s="846">
        <f>IF(INDEX(HwyTransitModelGroup,A146,1)=PARAMETERS!$J$11,D153*0.00000110231131*(PARAMETERS!$CQ$37*VLOOKUP(ProjLoc,EmCost,2)+PARAMETERS!$CR$37*VLOOKUP(ProjLoc,EmCost,3)*(1+CO2Uprater)^($B153-YearCurrent)+PARAMETERS!$CS$37*VLOOKUP(ProjLoc,EmCost,4)+PARAMETERS!$CT$37*VLOOKUP(ProjLoc,EmCost,5)+PARAMETERS!$CU$37*VLOOKUP(ProjLoc,EmCost,6)+PARAMETERS!$CV$37*VLOOKUP(ProjLoc,EmCost,7)),0)</f>
        <v>0</v>
      </c>
      <c r="AA153" s="369">
        <f>(Q153+S153+U153+W153+Y153)-(R153+T153+V153+X153+Z153)</f>
        <v>114592.08914822922</v>
      </c>
      <c r="AB153" s="370">
        <f>AA153/(1+DiscRate)^(B153-YearCurrent)</f>
        <v>44704.834766680295</v>
      </c>
      <c r="AC153" s="371"/>
      <c r="AD153" s="856">
        <f>IF(INDEX(HwyTransitModelGroup,A146,1)=Hwy,0.00000110231131*(C153*(1-M153)*VLOOKUP(K153,EmAuto20,2)-D153*(1-N153)*VLOOKUP(L153,EmAuto20,2)+(O153*(1-M153)-P153*(1-N153))*VLOOKUP(0,EmAuto20,2))+0.00000110231131*(C153*M153*VLOOKUP(K153,EmTruck20,2)-D153*N153*VLOOKUP(L153,EmTruck20,2)+(O153*M153-P153*N153)*VLOOKUP(0,EmTruck20,2)),0)</f>
        <v>1.0124941674280581</v>
      </c>
      <c r="AE153" s="857">
        <f>IF(INDEX(HwyTransitModelGroup,A146,1)=Hwy,0.00000110231131*(C153*(1-M153)*VLOOKUP(K153,EmAuto20,3)-D153*(1-N153)*VLOOKUP(L153,EmAuto20,3)+(O153*(1-M153)-P153*(1-N153))*VLOOKUP(0,EmAuto20,3))+0.00000110231131*(C153*M153*VLOOKUP(K153,EmTruck20,3)-D153*N153*VLOOKUP(L153,EmTruck20,3)+(O153*M153-P153*N153)*VLOOKUP(0,EmTruck20,3)),0)</f>
        <v>1318.1557749341382</v>
      </c>
      <c r="AF153" s="857">
        <f>IF(INDEX(HwyTransitModelGroup,A146,1)=Hwy,0.00000110231131*(C153*(1-M153)*VLOOKUP(K153,EmAuto20,4)-D153*(1-N153)*VLOOKUP(L153,EmAuto20,4)+(O153*(1-M153)-P153*(1-N153))*VLOOKUP(0,EmAuto20,4))+0.00000110231131*(C153*M153*VLOOKUP(K153,EmTruck20,4)-D153*N153*VLOOKUP(L153,EmTruck20,4)+(O153*M153-P153*N153)*VLOOKUP(0,EmTruck20,4)),0)</f>
        <v>0.65627525143416132</v>
      </c>
      <c r="AG153" s="857">
        <f>IF(INDEX(HwyTransitModelGroup,A146,1)=Hwy,0.00000110231131*(C153*(1-M153)*VLOOKUP(K153,EmAuto20,5)-D153*(1-N153)*VLOOKUP(L153,EmAuto20,5)+(O153*(1-M153)-P153*(1-N153))*VLOOKUP(0,EmAuto20,5))+0.00000110231131*(C153*M153*VLOOKUP(K153,EmTruck20,5)-D153*N153*VLOOKUP(L153,EmTruck20,5)+(O153*M153-P153*N153)*VLOOKUP(0,EmTruck20,5)),0)</f>
        <v>1.7651780591648066E-2</v>
      </c>
      <c r="AH153" s="857">
        <f>IF(INDEX(HwyTransitModelGroup,A146,1)=Hwy,0.00000110231131*(C153*(1-M153)*VLOOKUP(K153,EmAuto20,6)-D153*(1-N153)*VLOOKUP(L153,EmAuto20,6)+(O153*(1-M153)-P153*(1-N153))*VLOOKUP(0,EmAuto20,6))+0.00000110231131*(C153*M153*VLOOKUP(K153,EmTruck20,6)-D153*N153*VLOOKUP(L153,EmTruck20,6)+(O153*M153-P153*N153)*VLOOKUP(0,EmTruck20,6)),0)</f>
        <v>1.2685347408235216E-2</v>
      </c>
      <c r="AI153" s="857">
        <f>IF(INDEX(HwyTransitModelGroup,A146,1)=Hwy,0.00000110231131*(C153*(1-M153)*VLOOKUP(K153,EmAuto20,7)-D153*(1-N153)*VLOOKUP(L153,EmAuto20,7)+(O153*(1-M153)-P153*(1-N153))*VLOOKUP(0,EmAuto20,7))+0.00000110231131*(C153*M153*VLOOKUP(K153,EmTruck20,7)-D153*N153*VLOOKUP(L153,EmTruck20,7)+(O153*M153-P153*N153)*VLOOKUP(0,EmTruck20,7)),0)</f>
        <v>2.2283129126541498E-2</v>
      </c>
      <c r="AJ153" s="858">
        <f>IF(INDEX(HwyTransitModelGroup,A146,1)=Hwy,0.00000110231131*(C153*(1-M153)*VLOOKUP(K153,EmAuto20,8)-D153*(1-N153)*VLOOKUP(L153,EmAuto20,8)+(O153*(1-M153)-P153*(1-N153))*VLOOKUP(0,EmAuto20,8))+0.00000110231131*(C153*M153*VLOOKUP(K153,EmTruck20,8)-D153*N153*VLOOKUP(L153,EmTruck20,8)+(O153*M153-P153*N153)*VLOOKUP(0,EmTruck20,8)),0)</f>
        <v>1.6933742059106423E-2</v>
      </c>
      <c r="AK153" s="856">
        <f>IF(INDEX(HwyTransitModelGroup,A146,1)=PARAMETERS!$J$9,0.00000110231131*(C153*VLOOKUP(K153,EmBus20,2)-D153*VLOOKUP(L153,EmBus20,2)+(O153-P153)*VLOOKUP(0,EmBus20,2)),0)</f>
        <v>0</v>
      </c>
      <c r="AL153" s="857">
        <f>IF(INDEX(HwyTransitModelGroup,A146,1)=PARAMETERS!$J$9,0.00000110231131*(C153*VLOOKUP(K153,EmBus20,3)-D153*VLOOKUP(L153,EmBus20,3)+(O153-P153)*VLOOKUP(0,EmBus20,3)),0)</f>
        <v>0</v>
      </c>
      <c r="AM153" s="857">
        <f>IF(INDEX(HwyTransitModelGroup,A146,1)=PARAMETERS!$J$9,0.00000110231131*(C153*VLOOKUP(K153,EmBus20,4)-D153*VLOOKUP(L153,EmBus20,4)+(O153-P153)*VLOOKUP(0,EmBus20,4)),0)</f>
        <v>0</v>
      </c>
      <c r="AN153" s="857">
        <f>IF(INDEX(HwyTransitModelGroup,A146,1)=PARAMETERS!$J$9,0.00000110231131*(C153*VLOOKUP(K153,EmBus20,5)-D153*VLOOKUP(L153,EmBus20,5)+(O153-P153)*VLOOKUP(0,EmBus20,5)),0)</f>
        <v>0</v>
      </c>
      <c r="AO153" s="857">
        <f>IF(INDEX(HwyTransitModelGroup,A146,1)=PARAMETERS!$J$9,0.00000110231131*(C153*VLOOKUP(K153,EmBus20,6)-D153*VLOOKUP(L153,EmBus20,6)+(O153-P153)*VLOOKUP(0,EmBus20,6)),0)</f>
        <v>0</v>
      </c>
      <c r="AP153" s="857">
        <f>IF(INDEX(HwyTransitModelGroup,A146,1)=PARAMETERS!$J$9,0.00000110231131*(C153*VLOOKUP(K153,EmBus20,7)-D153*VLOOKUP(L153,EmBus20,7)+(O153-P153)*VLOOKUP(0,EmBus20,7)),0)</f>
        <v>0</v>
      </c>
      <c r="AQ153" s="858">
        <f>IF(INDEX(HwyTransitModelGroup,A146,1)=PARAMETERS!$J$9,0.00000110231131*(C153*VLOOKUP(K153,EmBus20,8)-D153*VLOOKUP(L153,EmBus20,8)+(O153-P153)*VLOOKUP(0,EmBus20,8)),0)</f>
        <v>0</v>
      </c>
      <c r="AR153" s="856">
        <f>IF(INDEX(HwyTransitModelGroup,A146,1)=PARAMETERS!$J$10,0.00000110231131*((C153-D153)*PARAMETERS!$CQ$29),0)</f>
        <v>0</v>
      </c>
      <c r="AS153" s="857">
        <f>IF(INDEX(HwyTransitModelGroup,A146,1)=PARAMETERS!$J$10,0.00000110231131*((C153-D153)*PARAMETERS!$CR$29),0)</f>
        <v>0</v>
      </c>
      <c r="AT153" s="857">
        <f>IF(INDEX(HwyTransitModelGroup,A146,1)=PARAMETERS!$J$10,0.00000110231131*((C153-D153)*PARAMETERS!$CS$29),0)</f>
        <v>0</v>
      </c>
      <c r="AU153" s="857">
        <f>IF(INDEX(HwyTransitModelGroup,A146,1)=PARAMETERS!$J$10,0.00000110231131*((C153-D153)*PARAMETERS!$CT$29),0)</f>
        <v>0</v>
      </c>
      <c r="AV153" s="857">
        <f>IF(INDEX(HwyTransitModelGroup,A146,1)=PARAMETERS!$J$10,0.00000110231131*((C153-D153)*PARAMETERS!$CU$29),0)</f>
        <v>0</v>
      </c>
      <c r="AW153" s="857">
        <f>IF(INDEX(HwyTransitModelGroup,A146,1)=PARAMETERS!$J$10,0.00000110231131*((C153-D153)*PARAMETERS!$CV$29),0)</f>
        <v>0</v>
      </c>
      <c r="AX153" s="858">
        <f>IF(INDEX(HwyTransitModelGroup,A146,1)=PARAMETERS!$J$10,0.00000110231131*((C153-D153)*PARAMETERS!$CW$29),0)</f>
        <v>0</v>
      </c>
      <c r="AY153" s="856">
        <f>IF(INDEX(HwyTransitModelGroup,A146,1)=PARAMETERS!$J$11,0.00000110231131*((C153-D153)*PARAMETERS!$CQ$37),0)</f>
        <v>0</v>
      </c>
      <c r="AZ153" s="857">
        <f>IF(INDEX(HwyTransitModelGroup,A146,1)=PARAMETERS!$J$11,0.00000110231131*((C153-D153)*PARAMETERS!$CR$37),0)</f>
        <v>0</v>
      </c>
      <c r="BA153" s="857">
        <f>IF(INDEX(HwyTransitModelGroup,A146,1)=PARAMETERS!$J$11,0.00000110231131*((C153-D153)*PARAMETERS!$CS$37),0)</f>
        <v>0</v>
      </c>
      <c r="BB153" s="857">
        <f>IF(INDEX(HwyTransitModelGroup,A146,1)=PARAMETERS!$J$11,0.00000110231131*((C153-D153)*PARAMETERS!$CT$37),0)</f>
        <v>0</v>
      </c>
      <c r="BC153" s="857">
        <f>IF(INDEX(HwyTransitModelGroup,A146,1)=PARAMETERS!$J$11,0.00000110231131*((C153-D153)*PARAMETERS!$CU$37),0)</f>
        <v>0</v>
      </c>
      <c r="BD153" s="857">
        <f>IF(INDEX(HwyTransitModelGroup,A146,1)=PARAMETERS!$J$11,0.00000110231131*((C153-D153)*PARAMETERS!$CV$37),0)</f>
        <v>0</v>
      </c>
      <c r="BE153" s="858">
        <f>IF(INDEX(HwyTransitModelGroup,A146,1)=PARAMETERS!$J$11,0.00000110231131*((C153-D153)*PARAMETERS!$CW$37),0)</f>
        <v>0</v>
      </c>
      <c r="BF153" s="859">
        <f>(AD153+AK153+AR153+AY153)*VLOOKUP(ProjLoc,EmCost,2)/(1+DiscRate)^($B153-YearCurrent)</f>
        <v>31.5996573889487</v>
      </c>
      <c r="BG153" s="702">
        <f>(AE153+AL153+AS153+AZ153)*VLOOKUP(ProjLoc,EmCost,3)*(1+CO2Uprater)^($B153-YearCurrent)/(1+DiscRate)^($B153-YearCurrent)</f>
        <v>39701.9605189988</v>
      </c>
      <c r="BH153" s="702">
        <f>(AF153+AM153+AT153+BA153)*VLOOKUP(ProjLoc,EmCost,4)/(1+DiscRate)^($B153-YearCurrent)</f>
        <v>3866.0087368423251</v>
      </c>
      <c r="BI153" s="702">
        <f>(AG153+AN153+AU153+BB153)*VLOOKUP(ProjLoc,EmCost,5)/(1+DiscRate)^($B153-YearCurrent)</f>
        <v>803.63572269712301</v>
      </c>
      <c r="BJ153" s="702">
        <f>(AH153+AO153+AV153+BC153)*VLOOKUP(ProjLoc,EmCost,6)/(1+DiscRate)^($B153-YearCurrent)</f>
        <v>291.98075957461873</v>
      </c>
      <c r="BK153" s="384">
        <f>(AI153+AP153+AW153+BD153)*VLOOKUP(ProjLoc,EmCost,7)/(1+DiscRate)^($B153-YearCurrent)</f>
        <v>9.6493711785099769</v>
      </c>
      <c r="BL153" s="431"/>
    </row>
    <row r="154" spans="1:72" x14ac:dyDescent="0.25">
      <c r="B154" s="385"/>
      <c r="C154" s="388"/>
      <c r="D154" s="388"/>
      <c r="E154" s="388"/>
      <c r="F154" s="388"/>
      <c r="G154" s="388"/>
      <c r="H154" s="388"/>
      <c r="I154" s="388"/>
      <c r="J154" s="388"/>
      <c r="K154" s="434"/>
      <c r="L154" s="434"/>
      <c r="M154" s="434"/>
      <c r="N154" s="434"/>
      <c r="O154" s="386"/>
      <c r="P154" s="386"/>
      <c r="Q154" s="386"/>
      <c r="R154" s="386"/>
      <c r="S154" s="386"/>
      <c r="T154" s="386"/>
      <c r="U154" s="386"/>
      <c r="V154" s="386"/>
      <c r="W154" s="842"/>
      <c r="X154" s="843"/>
      <c r="Y154" s="388"/>
      <c r="Z154" s="388"/>
      <c r="AA154" s="388"/>
      <c r="AB154" s="389"/>
      <c r="AC154" s="390"/>
      <c r="AD154" s="847"/>
      <c r="AE154" s="389"/>
      <c r="AF154" s="389"/>
      <c r="AG154" s="389"/>
      <c r="AH154" s="389"/>
      <c r="AI154" s="389"/>
      <c r="AJ154" s="848"/>
      <c r="AK154" s="847"/>
      <c r="AL154" s="389"/>
      <c r="AM154" s="389"/>
      <c r="AN154" s="389"/>
      <c r="AO154" s="389"/>
      <c r="AP154" s="389"/>
      <c r="AQ154" s="848"/>
      <c r="AR154" s="847"/>
      <c r="AS154" s="389"/>
      <c r="AT154" s="389"/>
      <c r="AU154" s="389"/>
      <c r="AV154" s="389"/>
      <c r="AW154" s="389"/>
      <c r="AX154" s="848"/>
      <c r="AY154" s="847"/>
      <c r="AZ154" s="389"/>
      <c r="BA154" s="389"/>
      <c r="BB154" s="389"/>
      <c r="BC154" s="389"/>
      <c r="BD154" s="389"/>
      <c r="BE154" s="848"/>
      <c r="BF154" s="388"/>
      <c r="BG154" s="388"/>
      <c r="BH154" s="388"/>
      <c r="BI154" s="388"/>
      <c r="BJ154" s="388"/>
      <c r="BK154" s="388"/>
      <c r="BL154" s="431"/>
    </row>
    <row r="155" spans="1:72" x14ac:dyDescent="0.25">
      <c r="B155" s="375">
        <f>YearOpen</f>
        <v>2026</v>
      </c>
      <c r="C155" s="393">
        <f>MAX(TREND(C152:C153,B152:B153,B155),0)</f>
        <v>18439070</v>
      </c>
      <c r="D155" s="394">
        <f>MAX(TREND(D152:D153,B152:B153,B155),0)</f>
        <v>17158285</v>
      </c>
      <c r="E155" s="393">
        <f>MAX(TREND(E152:E153,B152:B153,B155),0)</f>
        <v>265720</v>
      </c>
      <c r="F155" s="394">
        <f>MAX(TREND(F152:F153,B152:B153,B155),0)</f>
        <v>246740</v>
      </c>
      <c r="G155" s="393">
        <f>MAX(TREND(G152:G153,B152:B153,B155),0)</f>
        <v>0</v>
      </c>
      <c r="H155" s="394">
        <f>MAX(TREND(H152:H153,B152:B153,B155),0)</f>
        <v>0</v>
      </c>
      <c r="I155" s="393">
        <f>MAX(TREND(I152:I153,B152:B153,B155),0)</f>
        <v>0</v>
      </c>
      <c r="J155" s="394">
        <f>MAX(TREND(J152:J153,B152:B153,B155),0)</f>
        <v>0</v>
      </c>
      <c r="K155" s="435">
        <f>IFERROR(IF(INDEX(HwyTransitModelGroup,A146,1)=Hwy,MAX(5,ROUND(C155/E155,1)),MAX(5,ROUND(G155/I155,1))),55)</f>
        <v>69.400000000000006</v>
      </c>
      <c r="L155" s="436">
        <f>IFERROR(IF(INDEX(HwyTransitModelGroup,A146,1)=Hwy,MAX(5,ROUND(D155/F155,1)),MAX(5,ROUND(H155/J155,1))),55)</f>
        <v>69.5</v>
      </c>
      <c r="M155" s="397">
        <f>MIN(MAX(TREND(M152:M153,B152:B153,B155),0),1)</f>
        <v>0.24</v>
      </c>
      <c r="N155" s="398">
        <f>MIN(MAX(TREND(N152:N153,B152:B153,B155),0),1)</f>
        <v>0.24</v>
      </c>
      <c r="O155" s="393">
        <f>MAX(TREND(O152:O153,B152:B153,B155),0)</f>
        <v>0</v>
      </c>
      <c r="P155" s="394">
        <f>MAX(TREND(P152:P153,B152:B153,B155),0)</f>
        <v>0</v>
      </c>
      <c r="Q155" s="727">
        <f>IF(INDEX(HwyTransitModelGroup,A146,1)=Hwy,C155*(1-M155)*0.00000110231131*(VLOOKUP(K155,EmAuto1,2)*VLOOKUP(ProjLoc,EmCost,2)+VLOOKUP(K155,EmAuto1,3)*VLOOKUP(ProjLoc,EmCost,3)*(1+CO2Uprater)^($B155-YearCurrent)+VLOOKUP(K155,EmAuto1,4)*VLOOKUP(ProjLoc,EmCost,4)+VLOOKUP(K155,EmAuto1,5)*VLOOKUP(ProjLoc,EmCost,5)+VLOOKUP(K155,EmAuto1,6)*VLOOKUP(ProjLoc,EmCost,6)+VLOOKUP(K155,EmAuto1,7)*VLOOKUP(ProjLoc,EmCost,7))+C155*M155*0.00000110231131*(VLOOKUP(K155,EmTruck1,2)*VLOOKUP(ProjLoc,EmCost,2)+VLOOKUP(K155,EmTruck1,3)*VLOOKUP(ProjLoc,EmCost,3)*(1+CO2Uprater)^($B155-YearCurrent)+VLOOKUP(K155,EmTruck1,4)*VLOOKUP(ProjLoc,EmCost,4)+VLOOKUP(K155,EmTruck1,5)*VLOOKUP(ProjLoc,EmCost,5)+VLOOKUP(K155,EmTruck1,6)*VLOOKUP(ProjLoc,EmCost,6)+VLOOKUP(K155,EmTruck1,7)*VLOOKUP(ProjLoc,EmCost,7)),0)</f>
        <v>749950.82346778153</v>
      </c>
      <c r="R155" s="801">
        <f>IF(INDEX(HwyTransitModelGroup,A146,1)=Hwy,D155*(1-N155)*0.00000110231131*(VLOOKUP(L155,EmAuto1,2)*VLOOKUP(ProjLoc,EmCost,2)+VLOOKUP(L155,EmAuto1,3)*VLOOKUP(ProjLoc,EmCost,3)*(1+CO2Uprater)^($B155-YearCurrent)+VLOOKUP(L155,EmAuto1,4)*VLOOKUP(ProjLoc,EmCost,4)+VLOOKUP(L155,EmAuto1,5)*VLOOKUP(ProjLoc,EmCost,5)+VLOOKUP(L155,EmAuto1,6)*VLOOKUP(ProjLoc,EmCost,6)+VLOOKUP(L155,EmAuto1,7)*VLOOKUP(ProjLoc,EmCost,7))+D155*N155*0.00000110231131*(VLOOKUP(L155,EmTruck1,2)*VLOOKUP(ProjLoc,EmCost,2)+VLOOKUP(L155,EmTruck1,3)*VLOOKUP(ProjLoc,EmCost,3)*(1+CO2Uprater)^($B155-YearCurrent)+VLOOKUP(L155,EmTruck1,4)*VLOOKUP(ProjLoc,EmCost,4)+VLOOKUP(L155,EmTruck1,5)*VLOOKUP(ProjLoc,EmCost,5)+VLOOKUP(L155,EmTruck1,6)*VLOOKUP(ProjLoc,EmCost,6)+VLOOKUP(L155,EmTruck1,7)*VLOOKUP(ProjLoc,EmCost,7)),0)</f>
        <v>697858.94652197126</v>
      </c>
      <c r="S155" s="727">
        <f>IF(INDEX(HwyTransitModelGroup,A146,1)=Hwy,O155*(1-M155)*0.00000110231131*(VLOOKUP(0,EmAuto1,2)*VLOOKUP(ProjLoc,EmCost,2)+VLOOKUP(0,EmAuto1,3)*VLOOKUP(ProjLoc,EmCost,3)*(1+CO2Uprater)^($B155-YearCurrent)+VLOOKUP(0,EmAuto1,4)*VLOOKUP(ProjLoc,EmCost,4)+VLOOKUP(0,EmAuto1,5)*VLOOKUP(ProjLoc,EmCost,5)+VLOOKUP(0,EmAuto1,6)*VLOOKUP(ProjLoc,EmCost,6)+VLOOKUP(0,EmAuto1,7)*VLOOKUP(ProjLoc,EmCost,7))+O155*M155*0.00000110231131*(VLOOKUP(0,EmTruck1,2)*VLOOKUP(ProjLoc,EmCost,2)+VLOOKUP(0,EmTruck1,3)*VLOOKUP(ProjLoc,EmCost,3)*(1+CO2Uprater)^($B155-YearCurrent)+VLOOKUP(0,EmTruck1,4)*VLOOKUP(ProjLoc,EmCost,4)+VLOOKUP(0,EmTruck1,5)*VLOOKUP(ProjLoc,EmCost,5)+VLOOKUP(0,EmTruck1,6)*VLOOKUP(ProjLoc,EmCost,6)+VLOOKUP(0,EmTruck1,7)*VLOOKUP(ProjLoc,EmCost,7)),0)</f>
        <v>0</v>
      </c>
      <c r="T155" s="801">
        <f>IF(INDEX(HwyTransitModelGroup,A146,1)=Hwy,P155*(1-N155)*0.00000110231131*(VLOOKUP(0,EmAuto1,2)*VLOOKUP(ProjLoc,EmCost,2)+VLOOKUP(0,EmAuto1,3)*VLOOKUP(ProjLoc,EmCost,3)*(1+CO2Uprater)^($B155-YearCurrent)+VLOOKUP(0,EmAuto1,4)*VLOOKUP(ProjLoc,EmCost,4)+VLOOKUP(0,EmAuto1,5)*VLOOKUP(ProjLoc,EmCost,5)+VLOOKUP(0,EmAuto1,6)*VLOOKUP(ProjLoc,EmCost,6)+VLOOKUP(0,EmAuto1,7)*VLOOKUP(ProjLoc,EmCost,7))+P155*N155*0.00000110231131*(VLOOKUP(0,EmTruck1,2)*VLOOKUP(ProjLoc,EmCost,2)+VLOOKUP(0,EmTruck1,3)*VLOOKUP(ProjLoc,EmCost,3)*(1+CO2Uprater)^($B155-YearCurrent)+VLOOKUP(0,EmTruck1,4)*VLOOKUP(ProjLoc,EmCost,4)+VLOOKUP(0,EmTruck1,5)*VLOOKUP(ProjLoc,EmCost,5)+VLOOKUP(0,EmTruck1,6)*VLOOKUP(ProjLoc,EmCost,6)+VLOOKUP(0,EmTruck1,7)*VLOOKUP(ProjLoc,EmCost,7)),0)</f>
        <v>0</v>
      </c>
      <c r="U155" s="727">
        <f>IF(INDEX(HwyTransitModelGroup,A146,1)=PARAMETERS!$J$9,C155*0.00000110231131*(VLOOKUP(K155,EmBus1,2)*VLOOKUP(ProjLoc,EmCost,2)+VLOOKUP(K155,EmBus1,3)*VLOOKUP(ProjLoc,EmCost,3)*(1+CO2Uprater)^($B155-YearCurrent)+VLOOKUP(K155,EmBus1,4)*VLOOKUP(ProjLoc,EmCost,4)+VLOOKUP(K155,EmBus1,5)*VLOOKUP(ProjLoc,EmCost,5)+VLOOKUP(K155,EmBus1,6)*VLOOKUP(ProjLoc,EmCost,6)+VLOOKUP(K155,EmBus1,7)*VLOOKUP(ProjLoc,EmCost,7)),0)</f>
        <v>0</v>
      </c>
      <c r="V155" s="801">
        <f>IF(INDEX(HwyTransitModelGroup,A146,1)=PARAMETERS!$J$9,D155*0.00000110231131*(VLOOKUP(L155,EmBus1,2)*VLOOKUP(ProjLoc,EmCost,2)+VLOOKUP(L155,EmBus1,3)*VLOOKUP(ProjLoc,EmCost,3)*(1+CO2Uprater)^($B155-YearCurrent)+VLOOKUP(L155,EmBus1,4)*VLOOKUP(ProjLoc,EmCost,4)+VLOOKUP(L155,EmBus1,5)*VLOOKUP(ProjLoc,EmCost,5)+VLOOKUP(L155,EmBus1,6)*VLOOKUP(ProjLoc,EmCost,6)+VLOOKUP(L155,EmBus1,7)*VLOOKUP(ProjLoc,EmCost,7)),0)</f>
        <v>0</v>
      </c>
      <c r="W155" s="808">
        <f>IF(INDEX(HwyTransitModelGroup,A146,1)=PARAMETERS!$J$10,C155*0.00000110231131*(PARAMETERS!$CQ$28*VLOOKUP(ProjLoc,EmCost,2)+PARAMETERS!$CR$28*VLOOKUP(ProjLoc,EmCost,3)*(1+CO2Uprater)^($B155-YearCurrent)+PARAMETERS!$CS$28*VLOOKUP(ProjLoc,EmCost,4)+PARAMETERS!$CT$28*VLOOKUP(ProjLoc,EmCost,5)+PARAMETERS!$CU$28*VLOOKUP(ProjLoc,EmCost,6)+PARAMETERS!$CV$28*VLOOKUP(ProjLoc,EmCost,7)),0)</f>
        <v>0</v>
      </c>
      <c r="X155" s="844">
        <f>IF(INDEX(HwyTransitModelGroup,A146,1)=PARAMETERS!$J$10,D155*0.00000110231131*(PARAMETERS!$CQ$28*VLOOKUP(ProjLoc,EmCost,2)+PARAMETERS!$CR$28*VLOOKUP(ProjLoc,EmCost,3)*(1+CO2Uprater)^($B155-YearCurrent)+PARAMETERS!$CS$28*VLOOKUP(ProjLoc,EmCost,4)+PARAMETERS!$CT$28*VLOOKUP(ProjLoc,EmCost,5)+PARAMETERS!$CU$28*VLOOKUP(ProjLoc,EmCost,6)+PARAMETERS!$CV$28*VLOOKUP(ProjLoc,EmCost,7)),0)</f>
        <v>0</v>
      </c>
      <c r="Y155" s="808">
        <f>IF(INDEX(HwyTransitModelGroup,A146,1)=PARAMETERS!$J$11,C155*0.00000110231131*(PARAMETERS!$CQ$36*VLOOKUP(ProjLoc,EmCost,2)+PARAMETERS!$CR$36*VLOOKUP(ProjLoc,EmCost,3)*(1+CO2Uprater)^($B155-YearCurrent)+PARAMETERS!$CS$36*VLOOKUP(ProjLoc,EmCost,4)+PARAMETERS!$CT$36*VLOOKUP(ProjLoc,EmCost,5)+PARAMETERS!$CU$36*VLOOKUP(ProjLoc,EmCost,6)+PARAMETERS!$CV$36*VLOOKUP(ProjLoc,EmCost,7)),0)</f>
        <v>0</v>
      </c>
      <c r="Z155" s="844">
        <f>IF(INDEX(HwyTransitModelGroup,A146,1)=PARAMETERS!$J$11,D155*0.00000110231131*(PARAMETERS!$CQ$36*VLOOKUP(ProjLoc,EmCost,2)+PARAMETERS!$CR$36*VLOOKUP(ProjLoc,EmCost,3)*(1+CO2Uprater)^($B155-YearCurrent)+PARAMETERS!$CS$36*VLOOKUP(ProjLoc,EmCost,4)+PARAMETERS!$CT$36*VLOOKUP(ProjLoc,EmCost,5)+PARAMETERS!$CU$36*VLOOKUP(ProjLoc,EmCost,6)+PARAMETERS!$CV$36*VLOOKUP(ProjLoc,EmCost,7)),0)</f>
        <v>0</v>
      </c>
      <c r="AA155" s="369">
        <f t="shared" ref="AA155:AA174" si="64">(Q155+S155+U155+W155+Y155)-(R155+T155+V155+X155+Z155)</f>
        <v>52091.876945810276</v>
      </c>
      <c r="AB155" s="370">
        <f t="shared" ref="AB155:AB174" si="65">AA155/(1+DiscRate)^(B155-YearCurrent)</f>
        <v>44528.354731883373</v>
      </c>
      <c r="AC155" s="371"/>
      <c r="AD155" s="393">
        <f>IF(INDEX(HwyTransitModelGroup,A146,1)=Hwy,0.00000110231131*(C155*(1-M155)*VLOOKUP(K155,EmAuto1,2)-D155*(1-N155)*VLOOKUP(L155,EmAuto1,2)+(O155*(1-M155)-P155*(1-N155))*VLOOKUP(0,EmAuto1,2))+0.00000110231131*(C155*M155*VLOOKUP(K155,EmTruck1,2)-D155*N155*VLOOKUP(L155,EmTruck1,2)+(O155*M155-P155*N155)*VLOOKUP(0,EmTruck1,2)),0)</f>
        <v>0.89092857977551554</v>
      </c>
      <c r="AE155" s="862">
        <f>IF(INDEX(HwyTransitModelGroup,A146,1)=Hwy,0.00000110231131*(C155*(1-M155)*VLOOKUP(K155,EmAuto1,3)-D155*(1-N155)*VLOOKUP(L155,EmAuto1,3)+(O155*(1-M155)-P155*(1-N155))*VLOOKUP(0,EmAuto1,3))+0.00000110231131*(C155*M155*VLOOKUP(K155,EmTruck1,3)-D155*N155*VLOOKUP(L155,EmTruck1,3)+(O155*M155-P155*N155)*VLOOKUP(0,EmTruck1,3)),0)</f>
        <v>807.94988450123924</v>
      </c>
      <c r="AF155" s="860">
        <f>IF(INDEX(HwyTransitModelGroup,A146,1)=Hwy,0.00000110231131*(C155*(1-M155)*VLOOKUP(K155,EmAuto1,4)-D155*(1-N155)*VLOOKUP(L155,EmAuto1,4)+(O155*(1-M155)-P155*(1-N155))*VLOOKUP(0,EmAuto1,4))+0.00000110231131*(C155*M155*VLOOKUP(K155,EmTruck1,4)-D155*N155*VLOOKUP(L155,EmTruck1,4)+(O155*M155-P155*N155)*VLOOKUP(0,EmTruck1,4)),0)</f>
        <v>0.54680500161854018</v>
      </c>
      <c r="AG155" s="862">
        <f>IF(INDEX(HwyTransitModelGroup,A146,1)=Hwy,0.00000110231131*(C155*(1-M155)*VLOOKUP(K155,EmAuto1,5)-D155*(1-N155)*VLOOKUP(L155,EmAuto1,5)+(O155*(1-M155)-P155*(1-N155))*VLOOKUP(0,EmAuto1,5))+0.00000110231131*(C155*M155*VLOOKUP(K155,EmTruck1,5)-D155*N155*VLOOKUP(L155,EmTruck1,5)+(O155*M155-P155*N155)*VLOOKUP(0,EmTruck1,5)),0)</f>
        <v>1.1091287703497113E-2</v>
      </c>
      <c r="AH155" s="860">
        <f>IF(INDEX(HwyTransitModelGroup,A146,1)=Hwy,0.00000110231131*(C155*(1-M155)*VLOOKUP(K155,EmAuto1,6)-D155*(1-N155)*VLOOKUP(L155,EmAuto1,6)+(O155*(1-M155)-P155*(1-N155))*VLOOKUP(0,EmAuto1,6))+0.00000110231131*(C155*M155*VLOOKUP(K155,EmTruck1,6)-D155*N155*VLOOKUP(L155,EmTruck1,6)+(O155*M155-P155*N155)*VLOOKUP(0,EmTruck1,6)),0)</f>
        <v>7.8158565079633445E-3</v>
      </c>
      <c r="AI155" s="862">
        <f>IF(INDEX(HwyTransitModelGroup,A146,1)=Hwy,0.00000110231131*(C155*(1-M155)*VLOOKUP(K155,EmAuto1,7)-D155*(1-N155)*VLOOKUP(L155,EmAuto1,7)+(O155*(1-M155)-P155*(1-N155))*VLOOKUP(0,EmAuto1,7))+0.00000110231131*(C155*M155*VLOOKUP(K155,EmTruck1,7)-D155*N155*VLOOKUP(L155,EmTruck1,7)+(O155*M155-P155*N155)*VLOOKUP(0,EmTruck1,7)),0)</f>
        <v>2.6948892526012336E-2</v>
      </c>
      <c r="AJ155" s="860">
        <f>IF(INDEX(HwyTransitModelGroup,A146,1)=Hwy,0.00000110231131*(C155*(1-M155)*VLOOKUP(K155,EmAuto1,8)-D155*(1-N155)*VLOOKUP(L155,EmAuto1,8)+(O155*(1-M155)-P155*(1-N155))*VLOOKUP(0,EmAuto1,8))+0.00000110231131*(C155*M155*VLOOKUP(K155,EmTruck1,8)-D155*N155*VLOOKUP(L155,EmTruck1,8)+(O155*M155-P155*N155)*VLOOKUP(0,EmTruck1,8)),0)</f>
        <v>1.0577383843508188E-2</v>
      </c>
      <c r="AK155" s="393">
        <f>IF(INDEX(HwyTransitModelGroup,A146,1)=PARAMETERS!$J$9,0.00000110231131*(C155*VLOOKUP(K155,EmBus1,2)-D155*VLOOKUP(L155,EmBus1,2)+(O155-P155)*VLOOKUP(0,EmBus1,2)),0)</f>
        <v>0</v>
      </c>
      <c r="AL155" s="862">
        <f>IF(INDEX(HwyTransitModelGroup,A146,1)=PARAMETERS!$J$9,0.00000110231131*(C155*VLOOKUP(K155,EmBus1,3)-D155*VLOOKUP(L155,EmBus1,3)+(O155-P155)*VLOOKUP(0,EmBus1,3)),0)</f>
        <v>0</v>
      </c>
      <c r="AM155" s="860">
        <f>IF(INDEX(HwyTransitModelGroup,A146,1)=PARAMETERS!$J$9,0.00000110231131*(C155*VLOOKUP(K155,EmBus1,4)-D155*VLOOKUP(L155,EmBus1,4)+(O155-P155)*VLOOKUP(0,EmBus1,4)),0)</f>
        <v>0</v>
      </c>
      <c r="AN155" s="862">
        <f>IF(INDEX(HwyTransitModelGroup,A146,1)=PARAMETERS!$J$9,0.00000110231131*(C155*VLOOKUP(K155,EmBus1,5)-D155*VLOOKUP(L155,EmBus1,5)+(O155-P155)*VLOOKUP(0,EmBus1,5)),0)</f>
        <v>0</v>
      </c>
      <c r="AO155" s="860">
        <f>IF(INDEX(HwyTransitModelGroup,A146,1)=PARAMETERS!$J$9,0.00000110231131*(C155*VLOOKUP(K155,EmBus1,6)-D155*VLOOKUP(L155,EmBus1,6)+(O155-P155)*VLOOKUP(0,EmBus1,6)),0)</f>
        <v>0</v>
      </c>
      <c r="AP155" s="862">
        <f>IF(INDEX(HwyTransitModelGroup,A146,1)=PARAMETERS!$J$9,0.00000110231131*(C155*VLOOKUP(K155,EmBus1,7)-D155*VLOOKUP(L155,EmBus1,7)+(O155-P155)*VLOOKUP(0,EmBus1,7)),0)</f>
        <v>0</v>
      </c>
      <c r="AQ155" s="860">
        <f>IF(INDEX(HwyTransitModelGroup,A146,1)=PARAMETERS!$J$9,0.00000110231131*(C155*VLOOKUP(K155,EmBus1,8)-D155*VLOOKUP(L155,EmBus1,8)+(O155-P155)*VLOOKUP(0,EmBus1,8)),0)</f>
        <v>0</v>
      </c>
      <c r="AR155" s="393">
        <f>IF(INDEX(HwyTransitModelGroup,A146,1)=PARAMETERS!$J$10,0.00000110231131*((C155-D155)*PARAMETERS!$CQ$28),0)</f>
        <v>0</v>
      </c>
      <c r="AS155" s="862">
        <f>IF(INDEX(HwyTransitModelGroup,A146,1)=PARAMETERS!$J$10,0.00000110231131*((C155-D155)*PARAMETERS!$CR$28),0)</f>
        <v>0</v>
      </c>
      <c r="AT155" s="860">
        <f>IF(INDEX(HwyTransitModelGroup,A146,1)=PARAMETERS!$J$10,0.00000110231131*((C155-D155)*PARAMETERS!$CS$28),0)</f>
        <v>0</v>
      </c>
      <c r="AU155" s="862">
        <f>IF(INDEX(HwyTransitModelGroup,A146,1)=PARAMETERS!$J$10,0.00000110231131*((C155-D155)*PARAMETERS!$CT$28),0)</f>
        <v>0</v>
      </c>
      <c r="AV155" s="860">
        <f>IF(INDEX(HwyTransitModelGroup,A146,1)=PARAMETERS!$J$10,0.00000110231131*((C155-D155)*PARAMETERS!$CU$28),0)</f>
        <v>0</v>
      </c>
      <c r="AW155" s="862">
        <f>IF(INDEX(HwyTransitModelGroup,A146,1)=PARAMETERS!$J$10,0.00000110231131*((C155-D155)*PARAMETERS!$CV$28),0)</f>
        <v>0</v>
      </c>
      <c r="AX155" s="860">
        <f>IF(INDEX(HwyTransitModelGroup,A146,1)=PARAMETERS!$J$10,0.00000110231131*((C155-D155)*PARAMETERS!$CW$28),0)</f>
        <v>0</v>
      </c>
      <c r="AY155" s="393">
        <f>IF(INDEX(HwyTransitModelGroup,A146,1)=PARAMETERS!$J$11,0.00000110231131*((C155-D155)*PARAMETERS!$CQ$36),0)</f>
        <v>0</v>
      </c>
      <c r="AZ155" s="862">
        <f>IF(INDEX(HwyTransitModelGroup,A146,1)=PARAMETERS!$J$11,0.00000110231131*((C155-D155)*PARAMETERS!$CR$36),0)</f>
        <v>0</v>
      </c>
      <c r="BA155" s="860">
        <f>IF(INDEX(HwyTransitModelGroup,A146,1)=PARAMETERS!$J$11,0.00000110231131*((C155-D155)*PARAMETERS!$CS$36),0)</f>
        <v>0</v>
      </c>
      <c r="BB155" s="862">
        <f>IF(INDEX(HwyTransitModelGroup,A146,1)=PARAMETERS!$J$11,0.00000110231131*((C155-D155)*PARAMETERS!$CT$36),0)</f>
        <v>0</v>
      </c>
      <c r="BC155" s="860">
        <f>IF(INDEX(HwyTransitModelGroup,A146,1)=PARAMETERS!$J$11,0.00000110231131*((C155-D155)*PARAMETERS!$CU$36),0)</f>
        <v>0</v>
      </c>
      <c r="BD155" s="862">
        <f>IF(INDEX(HwyTransitModelGroup,A146,1)=PARAMETERS!$J$11,0.00000110231131*((C155-D155)*PARAMETERS!$CV$36),0)</f>
        <v>0</v>
      </c>
      <c r="BE155" s="864">
        <f>IF(INDEX(HwyTransitModelGroup,A146,1)=PARAMETERS!$J$11,0.00000110231131*((C155-D155)*PARAMETERS!$CW$36),0)</f>
        <v>0</v>
      </c>
      <c r="BF155" s="727">
        <f t="shared" ref="BF155:BF174" si="66">(AD155+AK155+AR155+AY155)*VLOOKUP(ProjLoc,EmCost,2)/(1+DiscRate)^($B155-YearCurrent)</f>
        <v>60.925558712021754</v>
      </c>
      <c r="BG155" s="866">
        <f t="shared" ref="BG155:BG174" si="67">(AE155+AL155+AS155+AZ155)*VLOOKUP(ProjLoc,EmCost,3)*(1+CO2Uprater)^($B155-YearCurrent)/(1+DiscRate)^($B155-YearCurrent)</f>
        <v>35883.350766195595</v>
      </c>
      <c r="BH155" s="866">
        <f t="shared" ref="BH155:BH174" si="68">(AF155+AM155+AT155+BA155)*VLOOKUP(ProjLoc,EmCost,4)/(1+DiscRate)^($B155-YearCurrent)</f>
        <v>7057.9092265991167</v>
      </c>
      <c r="BI155" s="866">
        <f t="shared" ref="BI155:BI174" si="69">(AG155+AN155+AU155+BB155)*VLOOKUP(ProjLoc,EmCost,5)/(1+DiscRate)^($B155-YearCurrent)</f>
        <v>1106.4186041414382</v>
      </c>
      <c r="BJ155" s="866">
        <f t="shared" ref="BJ155:BJ174" si="70">(AH155+AO155+AV155+BC155)*VLOOKUP(ProjLoc,EmCost,6)/(1+DiscRate)^($B155-YearCurrent)</f>
        <v>394.18058707014734</v>
      </c>
      <c r="BK155" s="868">
        <f t="shared" ref="BK155:BK174" si="71">(AI155+AP155+AW155+BD155)*VLOOKUP(ProjLoc,EmCost,7)/(1+DiscRate)^($B155-YearCurrent)</f>
        <v>25.569989165077946</v>
      </c>
      <c r="BL155" s="431"/>
    </row>
    <row r="156" spans="1:72" x14ac:dyDescent="0.25">
      <c r="B156" s="375">
        <f>B155+1</f>
        <v>2027</v>
      </c>
      <c r="C156" s="401">
        <f>MAX(TREND(C152:C153,B152:B153,B156),0)</f>
        <v>18687470.75</v>
      </c>
      <c r="D156" s="402">
        <f>MAX(TREND(D152:D153,B152:B153,B156),0)</f>
        <v>17335018</v>
      </c>
      <c r="E156" s="401">
        <f>MAX(TREND(E152:E153,B152:B153,B156),0)</f>
        <v>269370</v>
      </c>
      <c r="F156" s="402">
        <f>MAX(TREND(F152:F153,B152:B153,B156),0)</f>
        <v>249331.5</v>
      </c>
      <c r="G156" s="401">
        <f>MAX(TREND(G152:G153,B152:B153,B156),0)</f>
        <v>0</v>
      </c>
      <c r="H156" s="402">
        <f>MAX(TREND(H152:H153,B152:B153,B156),0)</f>
        <v>0</v>
      </c>
      <c r="I156" s="401">
        <f>MAX(TREND(I152:I153,B152:B153,B156),0)</f>
        <v>0</v>
      </c>
      <c r="J156" s="402">
        <f>MAX(TREND(J152:J153,B152:B153,B156),0)</f>
        <v>0</v>
      </c>
      <c r="K156" s="435">
        <f>IFERROR(IF(INDEX(HwyTransitModelGroup,A146,1)=Hwy,MAX(5,ROUND(C156/E156,1)),MAX(5,ROUND(G156/I156,1))),55)</f>
        <v>69.400000000000006</v>
      </c>
      <c r="L156" s="436">
        <f>IFERROR(IF(INDEX(HwyTransitModelGroup,A146,1)=Hwy,MAX(5,ROUND(D156/F156,1)),MAX(5,ROUND(H156/J156,1))),55)</f>
        <v>69.5</v>
      </c>
      <c r="M156" s="405">
        <f>MIN(MAX(TREND(M152:M153,B152:B153,B156),0),1)</f>
        <v>0.24</v>
      </c>
      <c r="N156" s="406">
        <f>MIN(MAX(TREND(N152:N153,B152:B153,B156),0),1)</f>
        <v>0.24</v>
      </c>
      <c r="O156" s="401">
        <f>MAX(TREND(O152:O153,B152:B153,B156),0)</f>
        <v>0</v>
      </c>
      <c r="P156" s="402">
        <f>MAX(TREND(P152:P153,B152:B153,B156),0)</f>
        <v>0</v>
      </c>
      <c r="Q156" s="729">
        <f>IF(INDEX(HwyTransitModelGroup,A146,1)=Hwy,C156*(1-M156)*0.00000110231131*(VLOOKUP(K156,EmAuto1,2)*VLOOKUP(ProjLoc,EmCost,2)+VLOOKUP(K156,EmAuto1,3)*VLOOKUP(ProjLoc,EmCost,3)*(1+CO2Uprater)^($B156-YearCurrent)+VLOOKUP(K156,EmAuto1,4)*VLOOKUP(ProjLoc,EmCost,4)+VLOOKUP(K156,EmAuto1,5)*VLOOKUP(ProjLoc,EmCost,5)+VLOOKUP(K156,EmAuto1,6)*VLOOKUP(ProjLoc,EmCost,6)+VLOOKUP(K156,EmAuto1,7)*VLOOKUP(ProjLoc,EmCost,7))+C156*M156*0.00000110231131*(VLOOKUP(K156,EmTruck1,2)*VLOOKUP(ProjLoc,EmCost,2)+VLOOKUP(K156,EmTruck1,3)*VLOOKUP(ProjLoc,EmCost,3)*(1+CO2Uprater)^($B156-YearCurrent)+VLOOKUP(K156,EmTruck1,4)*VLOOKUP(ProjLoc,EmCost,4)+VLOOKUP(K156,EmTruck1,5)*VLOOKUP(ProjLoc,EmCost,5)+VLOOKUP(K156,EmTruck1,6)*VLOOKUP(ProjLoc,EmCost,6)+VLOOKUP(K156,EmTruck1,7)*VLOOKUP(ProjLoc,EmCost,7)),0)</f>
        <v>772303.58414524188</v>
      </c>
      <c r="R156" s="802">
        <f>IF(INDEX(HwyTransitModelGroup,A146,1)=Hwy,D156*(1-N156)*0.00000110231131*(VLOOKUP(L156,EmAuto1,2)*VLOOKUP(ProjLoc,EmCost,2)+VLOOKUP(L156,EmAuto1,3)*VLOOKUP(ProjLoc,EmCost,3)*(1+CO2Uprater)^($B156-YearCurrent)+VLOOKUP(L156,EmAuto1,4)*VLOOKUP(ProjLoc,EmCost,4)+VLOOKUP(L156,EmAuto1,5)*VLOOKUP(ProjLoc,EmCost,5)+VLOOKUP(L156,EmAuto1,6)*VLOOKUP(ProjLoc,EmCost,6)+VLOOKUP(L156,EmAuto1,7)*VLOOKUP(ProjLoc,EmCost,7))+D156*N156*0.00000110231131*(VLOOKUP(L156,EmTruck1,2)*VLOOKUP(ProjLoc,EmCost,2)+VLOOKUP(L156,EmTruck1,3)*VLOOKUP(ProjLoc,EmCost,3)*(1+CO2Uprater)^($B156-YearCurrent)+VLOOKUP(L156,EmTruck1,4)*VLOOKUP(ProjLoc,EmCost,4)+VLOOKUP(L156,EmTruck1,5)*VLOOKUP(ProjLoc,EmCost,5)+VLOOKUP(L156,EmTruck1,6)*VLOOKUP(ProjLoc,EmCost,6)+VLOOKUP(L156,EmTruck1,7)*VLOOKUP(ProjLoc,EmCost,7)),0)</f>
        <v>716410.30034106062</v>
      </c>
      <c r="S156" s="729">
        <f>IF(INDEX(HwyTransitModelGroup,A146,1)=Hwy,O156*(1-M156)*0.00000110231131*(VLOOKUP(0,EmAuto1,2)*VLOOKUP(ProjLoc,EmCost,2)+VLOOKUP(0,EmAuto1,3)*VLOOKUP(ProjLoc,EmCost,3)*(1+CO2Uprater)^($B156-YearCurrent)+VLOOKUP(0,EmAuto1,4)*VLOOKUP(ProjLoc,EmCost,4)+VLOOKUP(0,EmAuto1,5)*VLOOKUP(ProjLoc,EmCost,5)+VLOOKUP(0,EmAuto1,6)*VLOOKUP(ProjLoc,EmCost,6)+VLOOKUP(0,EmAuto1,7)*VLOOKUP(ProjLoc,EmCost,7))+O156*M156*0.00000110231131*(VLOOKUP(0,EmTruck1,2)*VLOOKUP(ProjLoc,EmCost,2)+VLOOKUP(0,EmTruck1,3)*VLOOKUP(ProjLoc,EmCost,3)*(1+CO2Uprater)^($B156-YearCurrent)+VLOOKUP(0,EmTruck1,4)*VLOOKUP(ProjLoc,EmCost,4)+VLOOKUP(0,EmTruck1,5)*VLOOKUP(ProjLoc,EmCost,5)+VLOOKUP(0,EmTruck1,6)*VLOOKUP(ProjLoc,EmCost,6)+VLOOKUP(0,EmTruck1,7)*VLOOKUP(ProjLoc,EmCost,7)),0)</f>
        <v>0</v>
      </c>
      <c r="T156" s="802">
        <f>IF(INDEX(HwyTransitModelGroup,A146,1)=Hwy,P156*(1-N156)*0.00000110231131*(VLOOKUP(0,EmAuto1,2)*VLOOKUP(ProjLoc,EmCost,2)+VLOOKUP(0,EmAuto1,3)*VLOOKUP(ProjLoc,EmCost,3)*(1+CO2Uprater)^($B156-YearCurrent)+VLOOKUP(0,EmAuto1,4)*VLOOKUP(ProjLoc,EmCost,4)+VLOOKUP(0,EmAuto1,5)*VLOOKUP(ProjLoc,EmCost,5)+VLOOKUP(0,EmAuto1,6)*VLOOKUP(ProjLoc,EmCost,6)+VLOOKUP(0,EmAuto1,7)*VLOOKUP(ProjLoc,EmCost,7))+P156*N156*0.00000110231131*(VLOOKUP(0,EmTruck1,2)*VLOOKUP(ProjLoc,EmCost,2)+VLOOKUP(0,EmTruck1,3)*VLOOKUP(ProjLoc,EmCost,3)*(1+CO2Uprater)^($B156-YearCurrent)+VLOOKUP(0,EmTruck1,4)*VLOOKUP(ProjLoc,EmCost,4)+VLOOKUP(0,EmTruck1,5)*VLOOKUP(ProjLoc,EmCost,5)+VLOOKUP(0,EmTruck1,6)*VLOOKUP(ProjLoc,EmCost,6)+VLOOKUP(0,EmTruck1,7)*VLOOKUP(ProjLoc,EmCost,7)),0)</f>
        <v>0</v>
      </c>
      <c r="U156" s="729">
        <f>IF(INDEX(HwyTransitModelGroup,A146,1)=PARAMETERS!$J$9,C156*0.00000110231131*(VLOOKUP(K156,EmBus1,2)*VLOOKUP(ProjLoc,EmCost,2)+VLOOKUP(K156,EmBus1,3)*VLOOKUP(ProjLoc,EmCost,3)*(1+CO2Uprater)^($B156-YearCurrent)+VLOOKUP(K156,EmBus1,4)*VLOOKUP(ProjLoc,EmCost,4)+VLOOKUP(K156,EmBus1,5)*VLOOKUP(ProjLoc,EmCost,5)+VLOOKUP(K156,EmBus1,6)*VLOOKUP(ProjLoc,EmCost,6)+VLOOKUP(K156,EmBus1,7)*VLOOKUP(ProjLoc,EmCost,7)),0)</f>
        <v>0</v>
      </c>
      <c r="V156" s="802">
        <f>IF(INDEX(HwyTransitModelGroup,A146,1)=PARAMETERS!$J$9,D156*0.00000110231131*(VLOOKUP(L156,EmBus1,2)*VLOOKUP(ProjLoc,EmCost,2)+VLOOKUP(L156,EmBus1,3)*VLOOKUP(ProjLoc,EmCost,3)*(1+CO2Uprater)^($B156-YearCurrent)+VLOOKUP(L156,EmBus1,4)*VLOOKUP(ProjLoc,EmCost,4)+VLOOKUP(L156,EmBus1,5)*VLOOKUP(ProjLoc,EmCost,5)+VLOOKUP(L156,EmBus1,6)*VLOOKUP(ProjLoc,EmCost,6)+VLOOKUP(L156,EmBus1,7)*VLOOKUP(ProjLoc,EmCost,7)),0)</f>
        <v>0</v>
      </c>
      <c r="W156" s="808">
        <f>IF(INDEX(HwyTransitModelGroup,A146,1)=PARAMETERS!$J$10,C156*0.00000110231131*(PARAMETERS!$CQ$28*VLOOKUP(ProjLoc,EmCost,2)+PARAMETERS!$CR$28*VLOOKUP(ProjLoc,EmCost,3)*(1+CO2Uprater)^($B156-YearCurrent)+PARAMETERS!$CS$28*VLOOKUP(ProjLoc,EmCost,4)+PARAMETERS!$CT$28*VLOOKUP(ProjLoc,EmCost,5)+PARAMETERS!$CU$28*VLOOKUP(ProjLoc,EmCost,6)+PARAMETERS!$CV$28*VLOOKUP(ProjLoc,EmCost,7)),0)</f>
        <v>0</v>
      </c>
      <c r="X156" s="844">
        <f>IF(INDEX(HwyTransitModelGroup,A146,1)=PARAMETERS!$J$10,D156*0.00000110231131*(PARAMETERS!$CQ$28*VLOOKUP(ProjLoc,EmCost,2)+PARAMETERS!$CR$28*VLOOKUP(ProjLoc,EmCost,3)*(1+CO2Uprater)^($B156-YearCurrent)+PARAMETERS!$CS$28*VLOOKUP(ProjLoc,EmCost,4)+PARAMETERS!$CT$28*VLOOKUP(ProjLoc,EmCost,5)+PARAMETERS!$CU$28*VLOOKUP(ProjLoc,EmCost,6)+PARAMETERS!$CV$28*VLOOKUP(ProjLoc,EmCost,7)),0)</f>
        <v>0</v>
      </c>
      <c r="Y156" s="808">
        <f>IF(INDEX(HwyTransitModelGroup,A146,1)=PARAMETERS!$J$11,C156*0.00000110231131*(PARAMETERS!$CQ$36*VLOOKUP(ProjLoc,EmCost,2)+PARAMETERS!$CR$36*VLOOKUP(ProjLoc,EmCost,3)*(1+CO2Uprater)^($B156-YearCurrent)+PARAMETERS!$CS$36*VLOOKUP(ProjLoc,EmCost,4)+PARAMETERS!$CT$36*VLOOKUP(ProjLoc,EmCost,5)+PARAMETERS!$CU$36*VLOOKUP(ProjLoc,EmCost,6)+PARAMETERS!$CV$36*VLOOKUP(ProjLoc,EmCost,7)),0)</f>
        <v>0</v>
      </c>
      <c r="Z156" s="844">
        <f>IF(INDEX(HwyTransitModelGroup,A146,1)=PARAMETERS!$J$11,D156*0.00000110231131*(PARAMETERS!$CQ$36*VLOOKUP(ProjLoc,EmCost,2)+PARAMETERS!$CR$36*VLOOKUP(ProjLoc,EmCost,3)*(1+CO2Uprater)^($B156-YearCurrent)+PARAMETERS!$CS$36*VLOOKUP(ProjLoc,EmCost,4)+PARAMETERS!$CT$36*VLOOKUP(ProjLoc,EmCost,5)+PARAMETERS!$CU$36*VLOOKUP(ProjLoc,EmCost,6)+PARAMETERS!$CV$36*VLOOKUP(ProjLoc,EmCost,7)),0)</f>
        <v>0</v>
      </c>
      <c r="AA156" s="369">
        <f t="shared" si="64"/>
        <v>55893.283804181265</v>
      </c>
      <c r="AB156" s="370">
        <f t="shared" si="65"/>
        <v>45940.205044450027</v>
      </c>
      <c r="AC156" s="371"/>
      <c r="AD156" s="401">
        <f>IF(INDEX(HwyTransitModelGroup,A146,1)=Hwy,0.00000110231131*(C156*(1-M156)*VLOOKUP(K156,EmAuto1,2)-D156*(1-N156)*VLOOKUP(L156,EmAuto1,2)+(O156*(1-M156)-P156*(1-N156))*VLOOKUP(0,EmAuto1,2))+0.00000110231131*(C156*M156*VLOOKUP(K156,EmTruck1,2)-D156*N156*VLOOKUP(L156,EmTruck1,2)+(O156*M156-P156*N156)*VLOOKUP(0,EmTruck1,2)),0)</f>
        <v>0.94078147992909777</v>
      </c>
      <c r="AE156" s="863">
        <f>IF(INDEX(HwyTransitModelGroup,A146,1)=Hwy,0.00000110231131*(C156*(1-M156)*VLOOKUP(K156,EmAuto1,3)-D156*(1-N156)*VLOOKUP(L156,EmAuto1,3)+(O156*(1-M156)-P156*(1-N156))*VLOOKUP(0,EmAuto1,3))+0.00000110231131*(C156*M156*VLOOKUP(K156,EmTruck1,3)-D156*N156*VLOOKUP(L156,EmTruck1,3)+(O156*M156-P156*N156)*VLOOKUP(0,EmTruck1,3)),0)</f>
        <v>853.15961941768637</v>
      </c>
      <c r="AF156" s="861">
        <f>IF(INDEX(HwyTransitModelGroup,A146,1)=Hwy,0.00000110231131*(C156*(1-M156)*VLOOKUP(K156,EmAuto1,4)-D156*(1-N156)*VLOOKUP(L156,EmAuto1,4)+(O156*(1-M156)-P156*(1-N156))*VLOOKUP(0,EmAuto1,4))+0.00000110231131*(C156*M156*VLOOKUP(K156,EmTruck1,4)-D156*N156*VLOOKUP(L156,EmTruck1,4)+(O156*M156-P156*N156)*VLOOKUP(0,EmTruck1,4)),0)</f>
        <v>0.57740208399750681</v>
      </c>
      <c r="AG156" s="863">
        <f>IF(INDEX(HwyTransitModelGroup,A146,1)=Hwy,0.00000110231131*(C156*(1-M156)*VLOOKUP(K156,EmAuto1,5)-D156*(1-N156)*VLOOKUP(L156,EmAuto1,5)+(O156*(1-M156)-P156*(1-N156))*VLOOKUP(0,EmAuto1,5))+0.00000110231131*(C156*M156*VLOOKUP(K156,EmTruck1,5)-D156*N156*VLOOKUP(L156,EmTruck1,5)+(O156*M156-P156*N156)*VLOOKUP(0,EmTruck1,5)),0)</f>
        <v>1.1711913049915351E-2</v>
      </c>
      <c r="AH156" s="861">
        <f>IF(INDEX(HwyTransitModelGroup,A146,1)=Hwy,0.00000110231131*(C156*(1-M156)*VLOOKUP(K156,EmAuto1,6)-D156*(1-N156)*VLOOKUP(L156,EmAuto1,6)+(O156*(1-M156)-P156*(1-N156))*VLOOKUP(0,EmAuto1,6))+0.00000110231131*(C156*M156*VLOOKUP(K156,EmTruck1,6)-D156*N156*VLOOKUP(L156,EmTruck1,6)+(O156*M156-P156*N156)*VLOOKUP(0,EmTruck1,6)),0)</f>
        <v>8.2532014567631724E-3</v>
      </c>
      <c r="AI156" s="863">
        <f>IF(INDEX(HwyTransitModelGroup,A146,1)=Hwy,0.00000110231131*(C156*(1-M156)*VLOOKUP(K156,EmAuto1,7)-D156*(1-N156)*VLOOKUP(L156,EmAuto1,7)+(O156*(1-M156)-P156*(1-N156))*VLOOKUP(0,EmAuto1,7))+0.00000110231131*(C156*M156*VLOOKUP(K156,EmTruck1,7)-D156*N156*VLOOKUP(L156,EmTruck1,7)+(O156*M156-P156*N156)*VLOOKUP(0,EmTruck1,7)),0)</f>
        <v>2.8456847797452209E-2</v>
      </c>
      <c r="AJ156" s="861">
        <f>IF(INDEX(HwyTransitModelGroup,A146,1)=Hwy,0.00000110231131*(C156*(1-M156)*VLOOKUP(K156,EmAuto1,8)-D156*(1-N156)*VLOOKUP(L156,EmAuto1,8)+(O156*(1-M156)-P156*(1-N156))*VLOOKUP(0,EmAuto1,8))+0.00000110231131*(C156*M156*VLOOKUP(K156,EmTruck1,8)-D156*N156*VLOOKUP(L156,EmTruck1,8)+(O156*M156-P156*N156)*VLOOKUP(0,EmTruck1,8)),0)</f>
        <v>1.1169253127541492E-2</v>
      </c>
      <c r="AK156" s="401">
        <f>IF(INDEX(HwyTransitModelGroup,A146,1)=PARAMETERS!$J$9,0.00000110231131*(C156*VLOOKUP(K156,EmBus1,2)-D156*VLOOKUP(L156,EmBus1,2)+(O156-P156)*VLOOKUP(0,EmBus1,2)),0)</f>
        <v>0</v>
      </c>
      <c r="AL156" s="863">
        <f>IF(INDEX(HwyTransitModelGroup,A146,1)=PARAMETERS!$J$9,0.00000110231131*(C156*VLOOKUP(K156,EmBus1,3)-D156*VLOOKUP(L156,EmBus1,3)+(O156-P156)*VLOOKUP(0,EmBus1,3)),0)</f>
        <v>0</v>
      </c>
      <c r="AM156" s="861">
        <f>IF(INDEX(HwyTransitModelGroup,A146,1)=PARAMETERS!$J$9,0.00000110231131*(C156*VLOOKUP(K156,EmBus1,4)-D156*VLOOKUP(L156,EmBus1,4)+(O156-P156)*VLOOKUP(0,EmBus1,4)),0)</f>
        <v>0</v>
      </c>
      <c r="AN156" s="863">
        <f>IF(INDEX(HwyTransitModelGroup,A146,1)=PARAMETERS!$J$9,0.00000110231131*(C156*VLOOKUP(K156,EmBus1,5)-D156*VLOOKUP(L156,EmBus1,5)+(O156-P156)*VLOOKUP(0,EmBus1,5)),0)</f>
        <v>0</v>
      </c>
      <c r="AO156" s="861">
        <f>IF(INDEX(HwyTransitModelGroup,A146,1)=PARAMETERS!$J$9,0.00000110231131*(C156*VLOOKUP(K156,EmBus1,6)-D156*VLOOKUP(L156,EmBus1,6)+(O156-P156)*VLOOKUP(0,EmBus1,6)),0)</f>
        <v>0</v>
      </c>
      <c r="AP156" s="863">
        <f>IF(INDEX(HwyTransitModelGroup,A146,1)=PARAMETERS!$J$9,0.00000110231131*(C156*VLOOKUP(K156,EmBus1,7)-D156*VLOOKUP(L156,EmBus1,7)+(O156-P156)*VLOOKUP(0,EmBus1,7)),0)</f>
        <v>0</v>
      </c>
      <c r="AQ156" s="861">
        <f>IF(INDEX(HwyTransitModelGroup,A146,1)=PARAMETERS!$J$9,0.00000110231131*(C156*VLOOKUP(K156,EmBus1,8)-D156*VLOOKUP(L156,EmBus1,8)+(O156-P156)*VLOOKUP(0,EmBus1,8)),0)</f>
        <v>0</v>
      </c>
      <c r="AR156" s="401">
        <f>IF(INDEX(HwyTransitModelGroup,A146,1)=PARAMETERS!$J$10,0.00000110231131*((C156-D156)*PARAMETERS!$CQ$28),0)</f>
        <v>0</v>
      </c>
      <c r="AS156" s="863">
        <f>IF(INDEX(HwyTransitModelGroup,A146,1)=PARAMETERS!$J$10,0.00000110231131*((C156-D156)*PARAMETERS!$CR$28),0)</f>
        <v>0</v>
      </c>
      <c r="AT156" s="861">
        <f>IF(INDEX(HwyTransitModelGroup,A146,1)=PARAMETERS!$J$10,0.00000110231131*((C156-D156)*PARAMETERS!$CS$28),0)</f>
        <v>0</v>
      </c>
      <c r="AU156" s="863">
        <f>IF(INDEX(HwyTransitModelGroup,A146,1)=PARAMETERS!$J$10,0.00000110231131*((C156-D156)*PARAMETERS!$CT$28),0)</f>
        <v>0</v>
      </c>
      <c r="AV156" s="861">
        <f>IF(INDEX(HwyTransitModelGroup,A146,1)=PARAMETERS!$J$10,0.00000110231131*((C156-D156)*PARAMETERS!$CU$28),0)</f>
        <v>0</v>
      </c>
      <c r="AW156" s="863">
        <f>IF(INDEX(HwyTransitModelGroup,A146,1)=PARAMETERS!$J$10,0.00000110231131*((C156-D156)*PARAMETERS!$CV$28),0)</f>
        <v>0</v>
      </c>
      <c r="AX156" s="861">
        <f>IF(INDEX(HwyTransitModelGroup,A146,1)=PARAMETERS!$J$10,0.00000110231131*((C156-D156)*PARAMETERS!$CW$28),0)</f>
        <v>0</v>
      </c>
      <c r="AY156" s="401">
        <f>IF(INDEX(HwyTransitModelGroup,A146,1)=PARAMETERS!$J$11,0.00000110231131*((C156-D156)*PARAMETERS!$CQ$36),0)</f>
        <v>0</v>
      </c>
      <c r="AZ156" s="863">
        <f>IF(INDEX(HwyTransitModelGroup,A146,1)=PARAMETERS!$J$11,0.00000110231131*((C156-D156)*PARAMETERS!$CR$36),0)</f>
        <v>0</v>
      </c>
      <c r="BA156" s="861">
        <f>IF(INDEX(HwyTransitModelGroup,A146,1)=PARAMETERS!$J$11,0.00000110231131*((C156-D156)*PARAMETERS!$CS$36),0)</f>
        <v>0</v>
      </c>
      <c r="BB156" s="863">
        <f>IF(INDEX(HwyTransitModelGroup,A146,1)=PARAMETERS!$J$11,0.00000110231131*((C156-D156)*PARAMETERS!$CT$36),0)</f>
        <v>0</v>
      </c>
      <c r="BC156" s="861">
        <f>IF(INDEX(HwyTransitModelGroup,A146,1)=PARAMETERS!$J$11,0.00000110231131*((C156-D156)*PARAMETERS!$CU$36),0)</f>
        <v>0</v>
      </c>
      <c r="BD156" s="863">
        <f>IF(INDEX(HwyTransitModelGroup,A146,1)=PARAMETERS!$J$11,0.00000110231131*((C156-D156)*PARAMETERS!$CV$36),0)</f>
        <v>0</v>
      </c>
      <c r="BE156" s="865">
        <f>IF(INDEX(HwyTransitModelGroup,A146,1)=PARAMETERS!$J$11,0.00000110231131*((C156-D156)*PARAMETERS!$CW$36),0)</f>
        <v>0</v>
      </c>
      <c r="BF156" s="729">
        <f t="shared" si="66"/>
        <v>61.860303991272346</v>
      </c>
      <c r="BG156" s="867">
        <f t="shared" si="67"/>
        <v>37162.565829831277</v>
      </c>
      <c r="BH156" s="867">
        <f t="shared" si="68"/>
        <v>7166.1946074870521</v>
      </c>
      <c r="BI156" s="867">
        <f t="shared" si="69"/>
        <v>1123.3937388625598</v>
      </c>
      <c r="BJ156" s="867">
        <f t="shared" si="70"/>
        <v>400.22826969670575</v>
      </c>
      <c r="BK156" s="869">
        <f t="shared" si="71"/>
        <v>25.962294581192744</v>
      </c>
      <c r="BL156" s="431"/>
      <c r="BN156" s="322"/>
      <c r="BO156" s="52">
        <v>1</v>
      </c>
      <c r="BP156" s="52">
        <v>2</v>
      </c>
      <c r="BQ156" s="52">
        <v>3</v>
      </c>
      <c r="BR156" s="52">
        <v>4</v>
      </c>
      <c r="BS156" s="52">
        <v>5</v>
      </c>
      <c r="BT156" s="52">
        <v>6</v>
      </c>
    </row>
    <row r="157" spans="1:72" x14ac:dyDescent="0.25">
      <c r="B157" s="375">
        <f t="shared" ref="B157:B174" si="72">B156+1</f>
        <v>2028</v>
      </c>
      <c r="C157" s="401">
        <f>MAX(TREND(C152:C153,B152:B153,B157),0)</f>
        <v>18935871.5</v>
      </c>
      <c r="D157" s="402">
        <f>MAX(TREND(D152:D153,B152:B153,B157),0)</f>
        <v>17511751</v>
      </c>
      <c r="E157" s="401">
        <f>MAX(TREND(E152:E153,B152:B153,B157),0)</f>
        <v>273020</v>
      </c>
      <c r="F157" s="402">
        <f>MAX(TREND(F152:F153,B152:B153,B157),0)</f>
        <v>251923</v>
      </c>
      <c r="G157" s="401">
        <f>MAX(TREND(G152:G153,B152:B153,B157),0)</f>
        <v>0</v>
      </c>
      <c r="H157" s="402">
        <f>MAX(TREND(H152:H153,B152:B153,B157),0)</f>
        <v>0</v>
      </c>
      <c r="I157" s="401">
        <f>MAX(TREND(I152:I153,B152:B153,B157),0)</f>
        <v>0</v>
      </c>
      <c r="J157" s="402">
        <f>MAX(TREND(J152:J153,B152:B153,B157),0)</f>
        <v>0</v>
      </c>
      <c r="K157" s="435">
        <f>IFERROR(IF(INDEX(HwyTransitModelGroup,A146,1)=Hwy,MAX(5,ROUND(C157/E157,1)),MAX(5,ROUND(G157/I157,1))),55)</f>
        <v>69.400000000000006</v>
      </c>
      <c r="L157" s="436">
        <f>IFERROR(IF(INDEX(HwyTransitModelGroup,A146,1)=Hwy,MAX(5,ROUND(D157/F157,1)),MAX(5,ROUND(H157/J157,1))),55)</f>
        <v>69.5</v>
      </c>
      <c r="M157" s="405">
        <f>MIN(MAX(TREND(M152:M153,B152:B153,B157),0),1)</f>
        <v>0.24</v>
      </c>
      <c r="N157" s="406">
        <f>MIN(MAX(TREND(N152:N153,B152:B153,B157),0),1)</f>
        <v>0.24</v>
      </c>
      <c r="O157" s="401">
        <f>MAX(TREND(O152:O153,B152:B153,B157),0)</f>
        <v>0</v>
      </c>
      <c r="P157" s="402">
        <f>MAX(TREND(P152:P153,B152:B153,B157),0)</f>
        <v>0</v>
      </c>
      <c r="Q157" s="729">
        <f>IF(INDEX(HwyTransitModelGroup,A146,1)=Hwy,C157*(1-M157)*0.00000110231131*(VLOOKUP(K157,EmAuto1,2)*VLOOKUP(ProjLoc,EmCost,2)+VLOOKUP(K157,EmAuto1,3)*VLOOKUP(ProjLoc,EmCost,3)*(1+CO2Uprater)^($B157-YearCurrent)+VLOOKUP(K157,EmAuto1,4)*VLOOKUP(ProjLoc,EmCost,4)+VLOOKUP(K157,EmAuto1,5)*VLOOKUP(ProjLoc,EmCost,5)+VLOOKUP(K157,EmAuto1,6)*VLOOKUP(ProjLoc,EmCost,6)+VLOOKUP(K157,EmAuto1,7)*VLOOKUP(ProjLoc,EmCost,7))+C157*M157*0.00000110231131*(VLOOKUP(K157,EmTruck1,2)*VLOOKUP(ProjLoc,EmCost,2)+VLOOKUP(K157,EmTruck1,3)*VLOOKUP(ProjLoc,EmCost,3)*(1+CO2Uprater)^($B157-YearCurrent)+VLOOKUP(K157,EmTruck1,4)*VLOOKUP(ProjLoc,EmCost,4)+VLOOKUP(K157,EmTruck1,5)*VLOOKUP(ProjLoc,EmCost,5)+VLOOKUP(K157,EmTruck1,6)*VLOOKUP(ProjLoc,EmCost,6)+VLOOKUP(K157,EmTruck1,7)*VLOOKUP(ProjLoc,EmCost,7)),0)</f>
        <v>795230.25727948325</v>
      </c>
      <c r="R157" s="802">
        <f>IF(INDEX(HwyTransitModelGroup,A146,1)=Hwy,D157*(1-N157)*0.00000110231131*(VLOOKUP(L157,EmAuto1,2)*VLOOKUP(ProjLoc,EmCost,2)+VLOOKUP(L157,EmAuto1,3)*VLOOKUP(ProjLoc,EmCost,3)*(1+CO2Uprater)^($B157-YearCurrent)+VLOOKUP(L157,EmAuto1,4)*VLOOKUP(ProjLoc,EmCost,4)+VLOOKUP(L157,EmAuto1,5)*VLOOKUP(ProjLoc,EmCost,5)+VLOOKUP(L157,EmAuto1,6)*VLOOKUP(ProjLoc,EmCost,6)+VLOOKUP(L157,EmAuto1,7)*VLOOKUP(ProjLoc,EmCost,7))+D157*N157*0.00000110231131*(VLOOKUP(L157,EmTruck1,2)*VLOOKUP(ProjLoc,EmCost,2)+VLOOKUP(L157,EmTruck1,3)*VLOOKUP(ProjLoc,EmCost,3)*(1+CO2Uprater)^($B157-YearCurrent)+VLOOKUP(L157,EmTruck1,4)*VLOOKUP(ProjLoc,EmCost,4)+VLOOKUP(L157,EmTruck1,5)*VLOOKUP(ProjLoc,EmCost,5)+VLOOKUP(L157,EmTruck1,6)*VLOOKUP(ProjLoc,EmCost,6)+VLOOKUP(L157,EmTruck1,7)*VLOOKUP(ProjLoc,EmCost,7)),0)</f>
        <v>735422.93805406569</v>
      </c>
      <c r="S157" s="729">
        <f>IF(INDEX(HwyTransitModelGroup,A146,1)=Hwy,O157*(1-M157)*0.00000110231131*(VLOOKUP(0,EmAuto1,2)*VLOOKUP(ProjLoc,EmCost,2)+VLOOKUP(0,EmAuto1,3)*VLOOKUP(ProjLoc,EmCost,3)*(1+CO2Uprater)^($B157-YearCurrent)+VLOOKUP(0,EmAuto1,4)*VLOOKUP(ProjLoc,EmCost,4)+VLOOKUP(0,EmAuto1,5)*VLOOKUP(ProjLoc,EmCost,5)+VLOOKUP(0,EmAuto1,6)*VLOOKUP(ProjLoc,EmCost,6)+VLOOKUP(0,EmAuto1,7)*VLOOKUP(ProjLoc,EmCost,7))+O157*M157*0.00000110231131*(VLOOKUP(0,EmTruck1,2)*VLOOKUP(ProjLoc,EmCost,2)+VLOOKUP(0,EmTruck1,3)*VLOOKUP(ProjLoc,EmCost,3)*(1+CO2Uprater)^($B157-YearCurrent)+VLOOKUP(0,EmTruck1,4)*VLOOKUP(ProjLoc,EmCost,4)+VLOOKUP(0,EmTruck1,5)*VLOOKUP(ProjLoc,EmCost,5)+VLOOKUP(0,EmTruck1,6)*VLOOKUP(ProjLoc,EmCost,6)+VLOOKUP(0,EmTruck1,7)*VLOOKUP(ProjLoc,EmCost,7)),0)</f>
        <v>0</v>
      </c>
      <c r="T157" s="802">
        <f>IF(INDEX(HwyTransitModelGroup,A146,1)=Hwy,P157*(1-N157)*0.00000110231131*(VLOOKUP(0,EmAuto1,2)*VLOOKUP(ProjLoc,EmCost,2)+VLOOKUP(0,EmAuto1,3)*VLOOKUP(ProjLoc,EmCost,3)*(1+CO2Uprater)^($B157-YearCurrent)+VLOOKUP(0,EmAuto1,4)*VLOOKUP(ProjLoc,EmCost,4)+VLOOKUP(0,EmAuto1,5)*VLOOKUP(ProjLoc,EmCost,5)+VLOOKUP(0,EmAuto1,6)*VLOOKUP(ProjLoc,EmCost,6)+VLOOKUP(0,EmAuto1,7)*VLOOKUP(ProjLoc,EmCost,7))+P157*N157*0.00000110231131*(VLOOKUP(0,EmTruck1,2)*VLOOKUP(ProjLoc,EmCost,2)+VLOOKUP(0,EmTruck1,3)*VLOOKUP(ProjLoc,EmCost,3)*(1+CO2Uprater)^($B157-YearCurrent)+VLOOKUP(0,EmTruck1,4)*VLOOKUP(ProjLoc,EmCost,4)+VLOOKUP(0,EmTruck1,5)*VLOOKUP(ProjLoc,EmCost,5)+VLOOKUP(0,EmTruck1,6)*VLOOKUP(ProjLoc,EmCost,6)+VLOOKUP(0,EmTruck1,7)*VLOOKUP(ProjLoc,EmCost,7)),0)</f>
        <v>0</v>
      </c>
      <c r="U157" s="729">
        <f>IF(INDEX(HwyTransitModelGroup,A146,1)=PARAMETERS!$J$9,C157*0.00000110231131*(VLOOKUP(K157,EmBus1,2)*VLOOKUP(ProjLoc,EmCost,2)+VLOOKUP(K157,EmBus1,3)*VLOOKUP(ProjLoc,EmCost,3)*(1+CO2Uprater)^($B157-YearCurrent)+VLOOKUP(K157,EmBus1,4)*VLOOKUP(ProjLoc,EmCost,4)+VLOOKUP(K157,EmBus1,5)*VLOOKUP(ProjLoc,EmCost,5)+VLOOKUP(K157,EmBus1,6)*VLOOKUP(ProjLoc,EmCost,6)+VLOOKUP(K157,EmBus1,7)*VLOOKUP(ProjLoc,EmCost,7)),0)</f>
        <v>0</v>
      </c>
      <c r="V157" s="802">
        <f>IF(INDEX(HwyTransitModelGroup,A146,1)=PARAMETERS!$J$9,D157*0.00000110231131*(VLOOKUP(L157,EmBus1,2)*VLOOKUP(ProjLoc,EmCost,2)+VLOOKUP(L157,EmBus1,3)*VLOOKUP(ProjLoc,EmCost,3)*(1+CO2Uprater)^($B157-YearCurrent)+VLOOKUP(L157,EmBus1,4)*VLOOKUP(ProjLoc,EmCost,4)+VLOOKUP(L157,EmBus1,5)*VLOOKUP(ProjLoc,EmCost,5)+VLOOKUP(L157,EmBus1,6)*VLOOKUP(ProjLoc,EmCost,6)+VLOOKUP(L157,EmBus1,7)*VLOOKUP(ProjLoc,EmCost,7)),0)</f>
        <v>0</v>
      </c>
      <c r="W157" s="808">
        <f>IF(INDEX(HwyTransitModelGroup,A146,1)=PARAMETERS!$J$10,C157*0.00000110231131*(PARAMETERS!$CQ$28*VLOOKUP(ProjLoc,EmCost,2)+PARAMETERS!$CR$28*VLOOKUP(ProjLoc,EmCost,3)*(1+CO2Uprater)^($B157-YearCurrent)+PARAMETERS!$CS$28*VLOOKUP(ProjLoc,EmCost,4)+PARAMETERS!$CT$28*VLOOKUP(ProjLoc,EmCost,5)+PARAMETERS!$CU$28*VLOOKUP(ProjLoc,EmCost,6)+PARAMETERS!$CV$28*VLOOKUP(ProjLoc,EmCost,7)),0)</f>
        <v>0</v>
      </c>
      <c r="X157" s="844">
        <f>IF(INDEX(HwyTransitModelGroup,A146,1)=PARAMETERS!$J$10,D157*0.00000110231131*(PARAMETERS!$CQ$28*VLOOKUP(ProjLoc,EmCost,2)+PARAMETERS!$CR$28*VLOOKUP(ProjLoc,EmCost,3)*(1+CO2Uprater)^($B157-YearCurrent)+PARAMETERS!$CS$28*VLOOKUP(ProjLoc,EmCost,4)+PARAMETERS!$CT$28*VLOOKUP(ProjLoc,EmCost,5)+PARAMETERS!$CU$28*VLOOKUP(ProjLoc,EmCost,6)+PARAMETERS!$CV$28*VLOOKUP(ProjLoc,EmCost,7)),0)</f>
        <v>0</v>
      </c>
      <c r="Y157" s="808">
        <f>IF(INDEX(HwyTransitModelGroup,A146,1)=PARAMETERS!$J$11,C157*0.00000110231131*(PARAMETERS!$CQ$36*VLOOKUP(ProjLoc,EmCost,2)+PARAMETERS!$CR$36*VLOOKUP(ProjLoc,EmCost,3)*(1+CO2Uprater)^($B157-YearCurrent)+PARAMETERS!$CS$36*VLOOKUP(ProjLoc,EmCost,4)+PARAMETERS!$CT$36*VLOOKUP(ProjLoc,EmCost,5)+PARAMETERS!$CU$36*VLOOKUP(ProjLoc,EmCost,6)+PARAMETERS!$CV$36*VLOOKUP(ProjLoc,EmCost,7)),0)</f>
        <v>0</v>
      </c>
      <c r="Z157" s="844">
        <f>IF(INDEX(HwyTransitModelGroup,A146,1)=PARAMETERS!$J$11,D157*0.00000110231131*(PARAMETERS!$CQ$36*VLOOKUP(ProjLoc,EmCost,2)+PARAMETERS!$CR$36*VLOOKUP(ProjLoc,EmCost,3)*(1+CO2Uprater)^($B157-YearCurrent)+PARAMETERS!$CS$36*VLOOKUP(ProjLoc,EmCost,4)+PARAMETERS!$CT$36*VLOOKUP(ProjLoc,EmCost,5)+PARAMETERS!$CU$36*VLOOKUP(ProjLoc,EmCost,6)+PARAMETERS!$CV$36*VLOOKUP(ProjLoc,EmCost,7)),0)</f>
        <v>0</v>
      </c>
      <c r="AA157" s="369">
        <f t="shared" si="64"/>
        <v>59807.319225417566</v>
      </c>
      <c r="AB157" s="370">
        <f t="shared" si="65"/>
        <v>47266.593128827313</v>
      </c>
      <c r="AC157" s="371"/>
      <c r="AD157" s="401">
        <f>IF(INDEX(HwyTransitModelGroup,A146,1)=Hwy,0.00000110231131*(C157*(1-M157)*VLOOKUP(K157,EmAuto1,2)-D157*(1-N157)*VLOOKUP(L157,EmAuto1,2)+(O157*(1-M157)-P157*(1-N157))*VLOOKUP(0,EmAuto1,2))+0.00000110231131*(C157*M157*VLOOKUP(K157,EmTruck1,2)-D157*N157*VLOOKUP(L157,EmTruck1,2)+(O157*M157-P157*N157)*VLOOKUP(0,EmTruck1,2)),0)</f>
        <v>0.99063438008268023</v>
      </c>
      <c r="AE157" s="863">
        <f>IF(INDEX(HwyTransitModelGroup,A146,1)=Hwy,0.00000110231131*(C157*(1-M157)*VLOOKUP(K157,EmAuto1,3)-D157*(1-N157)*VLOOKUP(L157,EmAuto1,3)+(O157*(1-M157)-P157*(1-N157))*VLOOKUP(0,EmAuto1,3))+0.00000110231131*(C157*M157*VLOOKUP(K157,EmTruck1,3)-D157*N157*VLOOKUP(L157,EmTruck1,3)+(O157*M157-P157*N157)*VLOOKUP(0,EmTruck1,3)),0)</f>
        <v>898.36935433413669</v>
      </c>
      <c r="AF157" s="861">
        <f>IF(INDEX(HwyTransitModelGroup,A146,1)=Hwy,0.00000110231131*(C157*(1-M157)*VLOOKUP(K157,EmAuto1,4)-D157*(1-N157)*VLOOKUP(L157,EmAuto1,4)+(O157*(1-M157)-P157*(1-N157))*VLOOKUP(0,EmAuto1,4))+0.00000110231131*(C157*M157*VLOOKUP(K157,EmTruck1,4)-D157*N157*VLOOKUP(L157,EmTruck1,4)+(O157*M157-P157*N157)*VLOOKUP(0,EmTruck1,4)),0)</f>
        <v>0.60799916637647677</v>
      </c>
      <c r="AG157" s="863">
        <f>IF(INDEX(HwyTransitModelGroup,A146,1)=Hwy,0.00000110231131*(C157*(1-M157)*VLOOKUP(K157,EmAuto1,5)-D157*(1-N157)*VLOOKUP(L157,EmAuto1,5)+(O157*(1-M157)-P157*(1-N157))*VLOOKUP(0,EmAuto1,5))+0.00000110231131*(C157*M157*VLOOKUP(K157,EmTruck1,5)-D157*N157*VLOOKUP(L157,EmTruck1,5)+(O157*M157-P157*N157)*VLOOKUP(0,EmTruck1,5)),0)</f>
        <v>1.2332538396333633E-2</v>
      </c>
      <c r="AH157" s="861">
        <f>IF(INDEX(HwyTransitModelGroup,A146,1)=Hwy,0.00000110231131*(C157*(1-M157)*VLOOKUP(K157,EmAuto1,6)-D157*(1-N157)*VLOOKUP(L157,EmAuto1,6)+(O157*(1-M157)-P157*(1-N157))*VLOOKUP(0,EmAuto1,6))+0.00000110231131*(C157*M157*VLOOKUP(K157,EmTruck1,6)-D157*N157*VLOOKUP(L157,EmTruck1,6)+(O157*M157-P157*N157)*VLOOKUP(0,EmTruck1,6)),0)</f>
        <v>8.690546405563002E-3</v>
      </c>
      <c r="AI157" s="863">
        <f>IF(INDEX(HwyTransitModelGroup,A146,1)=Hwy,0.00000110231131*(C157*(1-M157)*VLOOKUP(K157,EmAuto1,7)-D157*(1-N157)*VLOOKUP(L157,EmAuto1,7)+(O157*(1-M157)-P157*(1-N157))*VLOOKUP(0,EmAuto1,7))+0.00000110231131*(C157*M157*VLOOKUP(K157,EmTruck1,7)-D157*N157*VLOOKUP(L157,EmTruck1,7)+(O157*M157-P157*N157)*VLOOKUP(0,EmTruck1,7)),0)</f>
        <v>2.9964803068892078E-2</v>
      </c>
      <c r="AJ157" s="861">
        <f>IF(INDEX(HwyTransitModelGroup,A146,1)=Hwy,0.00000110231131*(C157*(1-M157)*VLOOKUP(K157,EmAuto1,8)-D157*(1-N157)*VLOOKUP(L157,EmAuto1,8)+(O157*(1-M157)-P157*(1-N157))*VLOOKUP(0,EmAuto1,8))+0.00000110231131*(C157*M157*VLOOKUP(K157,EmTruck1,8)-D157*N157*VLOOKUP(L157,EmTruck1,8)+(O157*M157-P157*N157)*VLOOKUP(0,EmTruck1,8)),0)</f>
        <v>1.1761122411574796E-2</v>
      </c>
      <c r="AK157" s="401">
        <f>IF(INDEX(HwyTransitModelGroup,A146,1)=PARAMETERS!$J$9,0.00000110231131*(C157*VLOOKUP(K157,EmBus1,2)-D157*VLOOKUP(L157,EmBus1,2)+(O157-P157)*VLOOKUP(0,EmBus1,2)),0)</f>
        <v>0</v>
      </c>
      <c r="AL157" s="863">
        <f>IF(INDEX(HwyTransitModelGroup,A146,1)=PARAMETERS!$J$9,0.00000110231131*(C157*VLOOKUP(K157,EmBus1,3)-D157*VLOOKUP(L157,EmBus1,3)+(O157-P157)*VLOOKUP(0,EmBus1,3)),0)</f>
        <v>0</v>
      </c>
      <c r="AM157" s="861">
        <f>IF(INDEX(HwyTransitModelGroup,A146,1)=PARAMETERS!$J$9,0.00000110231131*(C157*VLOOKUP(K157,EmBus1,4)-D157*VLOOKUP(L157,EmBus1,4)+(O157-P157)*VLOOKUP(0,EmBus1,4)),0)</f>
        <v>0</v>
      </c>
      <c r="AN157" s="863">
        <f>IF(INDEX(HwyTransitModelGroup,A146,1)=PARAMETERS!$J$9,0.00000110231131*(C157*VLOOKUP(K157,EmBus1,5)-D157*VLOOKUP(L157,EmBus1,5)+(O157-P157)*VLOOKUP(0,EmBus1,5)),0)</f>
        <v>0</v>
      </c>
      <c r="AO157" s="861">
        <f>IF(INDEX(HwyTransitModelGroup,A146,1)=PARAMETERS!$J$9,0.00000110231131*(C157*VLOOKUP(K157,EmBus1,6)-D157*VLOOKUP(L157,EmBus1,6)+(O157-P157)*VLOOKUP(0,EmBus1,6)),0)</f>
        <v>0</v>
      </c>
      <c r="AP157" s="863">
        <f>IF(INDEX(HwyTransitModelGroup,A146,1)=PARAMETERS!$J$9,0.00000110231131*(C157*VLOOKUP(K157,EmBus1,7)-D157*VLOOKUP(L157,EmBus1,7)+(O157-P157)*VLOOKUP(0,EmBus1,7)),0)</f>
        <v>0</v>
      </c>
      <c r="AQ157" s="861">
        <f>IF(INDEX(HwyTransitModelGroup,A146,1)=PARAMETERS!$J$9,0.00000110231131*(C157*VLOOKUP(K157,EmBus1,8)-D157*VLOOKUP(L157,EmBus1,8)+(O157-P157)*VLOOKUP(0,EmBus1,8)),0)</f>
        <v>0</v>
      </c>
      <c r="AR157" s="401">
        <f>IF(INDEX(HwyTransitModelGroup,A146,1)=PARAMETERS!$J$10,0.00000110231131*((C157-D157)*PARAMETERS!$CQ$28),0)</f>
        <v>0</v>
      </c>
      <c r="AS157" s="863">
        <f>IF(INDEX(HwyTransitModelGroup,A146,1)=PARAMETERS!$J$10,0.00000110231131*((C157-D157)*PARAMETERS!$CR$28),0)</f>
        <v>0</v>
      </c>
      <c r="AT157" s="861">
        <f>IF(INDEX(HwyTransitModelGroup,A146,1)=PARAMETERS!$J$10,0.00000110231131*((C157-D157)*PARAMETERS!$CS$28),0)</f>
        <v>0</v>
      </c>
      <c r="AU157" s="863">
        <f>IF(INDEX(HwyTransitModelGroup,A146,1)=PARAMETERS!$J$10,0.00000110231131*((C157-D157)*PARAMETERS!$CT$28),0)</f>
        <v>0</v>
      </c>
      <c r="AV157" s="861">
        <f>IF(INDEX(HwyTransitModelGroup,A146,1)=PARAMETERS!$J$10,0.00000110231131*((C157-D157)*PARAMETERS!$CU$28),0)</f>
        <v>0</v>
      </c>
      <c r="AW157" s="863">
        <f>IF(INDEX(HwyTransitModelGroup,A146,1)=PARAMETERS!$J$10,0.00000110231131*((C157-D157)*PARAMETERS!$CV$28),0)</f>
        <v>0</v>
      </c>
      <c r="AX157" s="861">
        <f>IF(INDEX(HwyTransitModelGroup,A146,1)=PARAMETERS!$J$10,0.00000110231131*((C157-D157)*PARAMETERS!$CW$28),0)</f>
        <v>0</v>
      </c>
      <c r="AY157" s="401">
        <f>IF(INDEX(HwyTransitModelGroup,A146,1)=PARAMETERS!$J$11,0.00000110231131*((C157-D157)*PARAMETERS!$CQ$36),0)</f>
        <v>0</v>
      </c>
      <c r="AZ157" s="863">
        <f>IF(INDEX(HwyTransitModelGroup,A146,1)=PARAMETERS!$J$11,0.00000110231131*((C157-D157)*PARAMETERS!$CR$36),0)</f>
        <v>0</v>
      </c>
      <c r="BA157" s="861">
        <f>IF(INDEX(HwyTransitModelGroup,A146,1)=PARAMETERS!$J$11,0.00000110231131*((C157-D157)*PARAMETERS!$CS$36),0)</f>
        <v>0</v>
      </c>
      <c r="BB157" s="863">
        <f>IF(INDEX(HwyTransitModelGroup,A146,1)=PARAMETERS!$J$11,0.00000110231131*((C157-D157)*PARAMETERS!$CT$36),0)</f>
        <v>0</v>
      </c>
      <c r="BC157" s="861">
        <f>IF(INDEX(HwyTransitModelGroup,A146,1)=PARAMETERS!$J$11,0.00000110231131*((C157-D157)*PARAMETERS!$CU$36),0)</f>
        <v>0</v>
      </c>
      <c r="BD157" s="863">
        <f>IF(INDEX(HwyTransitModelGroup,A146,1)=PARAMETERS!$J$11,0.00000110231131*((C157-D157)*PARAMETERS!$CV$36),0)</f>
        <v>0</v>
      </c>
      <c r="BE157" s="865">
        <f>IF(INDEX(HwyTransitModelGroup,A146,1)=PARAMETERS!$J$11,0.00000110231131*((C157-D157)*PARAMETERS!$CW$36),0)</f>
        <v>0</v>
      </c>
      <c r="BF157" s="729">
        <f t="shared" si="66"/>
        <v>62.633019221361621</v>
      </c>
      <c r="BG157" s="867">
        <f t="shared" si="67"/>
        <v>38379.309844138581</v>
      </c>
      <c r="BH157" s="867">
        <f t="shared" si="68"/>
        <v>7255.7096495691521</v>
      </c>
      <c r="BI157" s="867">
        <f t="shared" si="69"/>
        <v>1137.4263800783012</v>
      </c>
      <c r="BJ157" s="867">
        <f t="shared" si="70"/>
        <v>405.22763859005249</v>
      </c>
      <c r="BK157" s="869">
        <f t="shared" si="71"/>
        <v>26.286597229847409</v>
      </c>
      <c r="BL157" s="431"/>
      <c r="BN157" s="335"/>
      <c r="BO157" s="1777" t="str">
        <f t="shared" ref="BO157:BT157" si="73">IF(ISBLANK(INDEX(ModelGroup,BO156,1)),"Not Used",INDEX(ModelGroup,BO156,1))</f>
        <v>SB Off-ramp to Ave 280</v>
      </c>
      <c r="BP157" s="1777" t="str">
        <f t="shared" si="73"/>
        <v>SB On-ramp from Ave 280</v>
      </c>
      <c r="BQ157" s="1777" t="str">
        <f t="shared" si="73"/>
        <v>NB Off-ramp to Ave 280</v>
      </c>
      <c r="BR157" s="1777" t="str">
        <f t="shared" si="73"/>
        <v>NB On-ramp from Ave 280</v>
      </c>
      <c r="BS157" s="1777" t="str">
        <f t="shared" si="73"/>
        <v>NB Mainline</v>
      </c>
      <c r="BT157" s="1777" t="str">
        <f t="shared" si="73"/>
        <v>SB Mainline</v>
      </c>
    </row>
    <row r="158" spans="1:72" x14ac:dyDescent="0.25">
      <c r="B158" s="375">
        <f t="shared" si="72"/>
        <v>2029</v>
      </c>
      <c r="C158" s="401">
        <f>MAX(TREND(C152:C153,B152:B153,B158),0)</f>
        <v>19184272.25</v>
      </c>
      <c r="D158" s="402">
        <f>MAX(TREND(D152:D153,B152:B153,B158),0)</f>
        <v>17688484</v>
      </c>
      <c r="E158" s="401">
        <f>MAX(TREND(E152:E153,B152:B153,B158),0)</f>
        <v>276670</v>
      </c>
      <c r="F158" s="402">
        <f>MAX(TREND(F152:F153,B152:B153,B158),0)</f>
        <v>254514.5</v>
      </c>
      <c r="G158" s="401">
        <f>MAX(TREND(G152:G153,B152:B153,B158),0)</f>
        <v>0</v>
      </c>
      <c r="H158" s="402">
        <f>MAX(TREND(H152:H153,B152:B153,B158),0)</f>
        <v>0</v>
      </c>
      <c r="I158" s="401">
        <f>MAX(TREND(I152:I153,B152:B153,B158),0)</f>
        <v>0</v>
      </c>
      <c r="J158" s="402">
        <f>MAX(TREND(J152:J153,B152:B153,B158),0)</f>
        <v>0</v>
      </c>
      <c r="K158" s="435">
        <f>IFERROR(IF(INDEX(HwyTransitModelGroup,A146,1)=Hwy,MAX(5,ROUND(C158/E158,1)),MAX(5,ROUND(G158/I158,1))),55)</f>
        <v>69.3</v>
      </c>
      <c r="L158" s="436">
        <f>IFERROR(IF(INDEX(HwyTransitModelGroup,A146,1)=Hwy,MAX(5,ROUND(D158/F158,1)),MAX(5,ROUND(H158/J158,1))),55)</f>
        <v>69.5</v>
      </c>
      <c r="M158" s="405">
        <f>MIN(MAX(TREND(M152:M153,B152:B153,B158),0),1)</f>
        <v>0.24</v>
      </c>
      <c r="N158" s="406">
        <f>MIN(MAX(TREND(N152:N153,B152:B153,B158),0),1)</f>
        <v>0.24</v>
      </c>
      <c r="O158" s="401">
        <f>MAX(TREND(O152:O153,B152:B153,B158),0)</f>
        <v>0</v>
      </c>
      <c r="P158" s="402">
        <f>MAX(TREND(P152:P153,B152:B153,B158),0)</f>
        <v>0</v>
      </c>
      <c r="Q158" s="729">
        <f>IF(INDEX(HwyTransitModelGroup,A146,1)=Hwy,C158*(1-M158)*0.00000110231131*(VLOOKUP(K158,EmAuto1,2)*VLOOKUP(ProjLoc,EmCost,2)+VLOOKUP(K158,EmAuto1,3)*VLOOKUP(ProjLoc,EmCost,3)*(1+CO2Uprater)^($B158-YearCurrent)+VLOOKUP(K158,EmAuto1,4)*VLOOKUP(ProjLoc,EmCost,4)+VLOOKUP(K158,EmAuto1,5)*VLOOKUP(ProjLoc,EmCost,5)+VLOOKUP(K158,EmAuto1,6)*VLOOKUP(ProjLoc,EmCost,6)+VLOOKUP(K158,EmAuto1,7)*VLOOKUP(ProjLoc,EmCost,7))+C158*M158*0.00000110231131*(VLOOKUP(K158,EmTruck1,2)*VLOOKUP(ProjLoc,EmCost,2)+VLOOKUP(K158,EmTruck1,3)*VLOOKUP(ProjLoc,EmCost,3)*(1+CO2Uprater)^($B158-YearCurrent)+VLOOKUP(K158,EmTruck1,4)*VLOOKUP(ProjLoc,EmCost,4)+VLOOKUP(K158,EmTruck1,5)*VLOOKUP(ProjLoc,EmCost,5)+VLOOKUP(K158,EmTruck1,6)*VLOOKUP(ProjLoc,EmCost,6)+VLOOKUP(K158,EmTruck1,7)*VLOOKUP(ProjLoc,EmCost,7)),0)</f>
        <v>818745.64284086006</v>
      </c>
      <c r="R158" s="802">
        <f>IF(INDEX(HwyTransitModelGroup,A146,1)=Hwy,D158*(1-N158)*0.00000110231131*(VLOOKUP(L158,EmAuto1,2)*VLOOKUP(ProjLoc,EmCost,2)+VLOOKUP(L158,EmAuto1,3)*VLOOKUP(ProjLoc,EmCost,3)*(1+CO2Uprater)^($B158-YearCurrent)+VLOOKUP(L158,EmAuto1,4)*VLOOKUP(ProjLoc,EmCost,4)+VLOOKUP(L158,EmAuto1,5)*VLOOKUP(ProjLoc,EmCost,5)+VLOOKUP(L158,EmAuto1,6)*VLOOKUP(ProjLoc,EmCost,6)+VLOOKUP(L158,EmAuto1,7)*VLOOKUP(ProjLoc,EmCost,7))+D158*N158*0.00000110231131*(VLOOKUP(L158,EmTruck1,2)*VLOOKUP(ProjLoc,EmCost,2)+VLOOKUP(L158,EmTruck1,3)*VLOOKUP(ProjLoc,EmCost,3)*(1+CO2Uprater)^($B158-YearCurrent)+VLOOKUP(L158,EmTruck1,4)*VLOOKUP(ProjLoc,EmCost,4)+VLOOKUP(L158,EmTruck1,5)*VLOOKUP(ProjLoc,EmCost,5)+VLOOKUP(L158,EmTruck1,6)*VLOOKUP(ProjLoc,EmCost,6)+VLOOKUP(L158,EmTruck1,7)*VLOOKUP(ProjLoc,EmCost,7)),0)</f>
        <v>754908.4486882356</v>
      </c>
      <c r="S158" s="729">
        <f>IF(INDEX(HwyTransitModelGroup,A146,1)=Hwy,O158*(1-M158)*0.00000110231131*(VLOOKUP(0,EmAuto1,2)*VLOOKUP(ProjLoc,EmCost,2)+VLOOKUP(0,EmAuto1,3)*VLOOKUP(ProjLoc,EmCost,3)*(1+CO2Uprater)^($B158-YearCurrent)+VLOOKUP(0,EmAuto1,4)*VLOOKUP(ProjLoc,EmCost,4)+VLOOKUP(0,EmAuto1,5)*VLOOKUP(ProjLoc,EmCost,5)+VLOOKUP(0,EmAuto1,6)*VLOOKUP(ProjLoc,EmCost,6)+VLOOKUP(0,EmAuto1,7)*VLOOKUP(ProjLoc,EmCost,7))+O158*M158*0.00000110231131*(VLOOKUP(0,EmTruck1,2)*VLOOKUP(ProjLoc,EmCost,2)+VLOOKUP(0,EmTruck1,3)*VLOOKUP(ProjLoc,EmCost,3)*(1+CO2Uprater)^($B158-YearCurrent)+VLOOKUP(0,EmTruck1,4)*VLOOKUP(ProjLoc,EmCost,4)+VLOOKUP(0,EmTruck1,5)*VLOOKUP(ProjLoc,EmCost,5)+VLOOKUP(0,EmTruck1,6)*VLOOKUP(ProjLoc,EmCost,6)+VLOOKUP(0,EmTruck1,7)*VLOOKUP(ProjLoc,EmCost,7)),0)</f>
        <v>0</v>
      </c>
      <c r="T158" s="802">
        <f>IF(INDEX(HwyTransitModelGroup,A146,1)=Hwy,P158*(1-N158)*0.00000110231131*(VLOOKUP(0,EmAuto1,2)*VLOOKUP(ProjLoc,EmCost,2)+VLOOKUP(0,EmAuto1,3)*VLOOKUP(ProjLoc,EmCost,3)*(1+CO2Uprater)^($B158-YearCurrent)+VLOOKUP(0,EmAuto1,4)*VLOOKUP(ProjLoc,EmCost,4)+VLOOKUP(0,EmAuto1,5)*VLOOKUP(ProjLoc,EmCost,5)+VLOOKUP(0,EmAuto1,6)*VLOOKUP(ProjLoc,EmCost,6)+VLOOKUP(0,EmAuto1,7)*VLOOKUP(ProjLoc,EmCost,7))+P158*N158*0.00000110231131*(VLOOKUP(0,EmTruck1,2)*VLOOKUP(ProjLoc,EmCost,2)+VLOOKUP(0,EmTruck1,3)*VLOOKUP(ProjLoc,EmCost,3)*(1+CO2Uprater)^($B158-YearCurrent)+VLOOKUP(0,EmTruck1,4)*VLOOKUP(ProjLoc,EmCost,4)+VLOOKUP(0,EmTruck1,5)*VLOOKUP(ProjLoc,EmCost,5)+VLOOKUP(0,EmTruck1,6)*VLOOKUP(ProjLoc,EmCost,6)+VLOOKUP(0,EmTruck1,7)*VLOOKUP(ProjLoc,EmCost,7)),0)</f>
        <v>0</v>
      </c>
      <c r="U158" s="729">
        <f>IF(INDEX(HwyTransitModelGroup,A146,1)=PARAMETERS!$J$9,C158*0.00000110231131*(VLOOKUP(K158,EmBus1,2)*VLOOKUP(ProjLoc,EmCost,2)+VLOOKUP(K158,EmBus1,3)*VLOOKUP(ProjLoc,EmCost,3)*(1+CO2Uprater)^($B158-YearCurrent)+VLOOKUP(K158,EmBus1,4)*VLOOKUP(ProjLoc,EmCost,4)+VLOOKUP(K158,EmBus1,5)*VLOOKUP(ProjLoc,EmCost,5)+VLOOKUP(K158,EmBus1,6)*VLOOKUP(ProjLoc,EmCost,6)+VLOOKUP(K158,EmBus1,7)*VLOOKUP(ProjLoc,EmCost,7)),0)</f>
        <v>0</v>
      </c>
      <c r="V158" s="802">
        <f>IF(INDEX(HwyTransitModelGroup,A146,1)=PARAMETERS!$J$9,D158*0.00000110231131*(VLOOKUP(L158,EmBus1,2)*VLOOKUP(ProjLoc,EmCost,2)+VLOOKUP(L158,EmBus1,3)*VLOOKUP(ProjLoc,EmCost,3)*(1+CO2Uprater)^($B158-YearCurrent)+VLOOKUP(L158,EmBus1,4)*VLOOKUP(ProjLoc,EmCost,4)+VLOOKUP(L158,EmBus1,5)*VLOOKUP(ProjLoc,EmCost,5)+VLOOKUP(L158,EmBus1,6)*VLOOKUP(ProjLoc,EmCost,6)+VLOOKUP(L158,EmBus1,7)*VLOOKUP(ProjLoc,EmCost,7)),0)</f>
        <v>0</v>
      </c>
      <c r="W158" s="808">
        <f>IF(INDEX(HwyTransitModelGroup,A146,1)=PARAMETERS!$J$10,C158*0.00000110231131*(PARAMETERS!$CQ$28*VLOOKUP(ProjLoc,EmCost,2)+PARAMETERS!$CR$28*VLOOKUP(ProjLoc,EmCost,3)*(1+CO2Uprater)^($B158-YearCurrent)+PARAMETERS!$CS$28*VLOOKUP(ProjLoc,EmCost,4)+PARAMETERS!$CT$28*VLOOKUP(ProjLoc,EmCost,5)+PARAMETERS!$CU$28*VLOOKUP(ProjLoc,EmCost,6)+PARAMETERS!$CV$28*VLOOKUP(ProjLoc,EmCost,7)),0)</f>
        <v>0</v>
      </c>
      <c r="X158" s="844">
        <f>IF(INDEX(HwyTransitModelGroup,A146,1)=PARAMETERS!$J$10,D158*0.00000110231131*(PARAMETERS!$CQ$28*VLOOKUP(ProjLoc,EmCost,2)+PARAMETERS!$CR$28*VLOOKUP(ProjLoc,EmCost,3)*(1+CO2Uprater)^($B158-YearCurrent)+PARAMETERS!$CS$28*VLOOKUP(ProjLoc,EmCost,4)+PARAMETERS!$CT$28*VLOOKUP(ProjLoc,EmCost,5)+PARAMETERS!$CU$28*VLOOKUP(ProjLoc,EmCost,6)+PARAMETERS!$CV$28*VLOOKUP(ProjLoc,EmCost,7)),0)</f>
        <v>0</v>
      </c>
      <c r="Y158" s="808">
        <f>IF(INDEX(HwyTransitModelGroup,A146,1)=PARAMETERS!$J$11,C158*0.00000110231131*(PARAMETERS!$CQ$36*VLOOKUP(ProjLoc,EmCost,2)+PARAMETERS!$CR$36*VLOOKUP(ProjLoc,EmCost,3)*(1+CO2Uprater)^($B158-YearCurrent)+PARAMETERS!$CS$36*VLOOKUP(ProjLoc,EmCost,4)+PARAMETERS!$CT$36*VLOOKUP(ProjLoc,EmCost,5)+PARAMETERS!$CU$36*VLOOKUP(ProjLoc,EmCost,6)+PARAMETERS!$CV$36*VLOOKUP(ProjLoc,EmCost,7)),0)</f>
        <v>0</v>
      </c>
      <c r="Z158" s="844">
        <f>IF(INDEX(HwyTransitModelGroup,A146,1)=PARAMETERS!$J$11,D158*0.00000110231131*(PARAMETERS!$CQ$36*VLOOKUP(ProjLoc,EmCost,2)+PARAMETERS!$CR$36*VLOOKUP(ProjLoc,EmCost,3)*(1+CO2Uprater)^($B158-YearCurrent)+PARAMETERS!$CS$36*VLOOKUP(ProjLoc,EmCost,4)+PARAMETERS!$CT$36*VLOOKUP(ProjLoc,EmCost,5)+PARAMETERS!$CU$36*VLOOKUP(ProjLoc,EmCost,6)+PARAMETERS!$CV$36*VLOOKUP(ProjLoc,EmCost,7)),0)</f>
        <v>0</v>
      </c>
      <c r="AA158" s="369">
        <f t="shared" si="64"/>
        <v>63837.194152624463</v>
      </c>
      <c r="AB158" s="370">
        <f t="shared" si="65"/>
        <v>48511.020981417918</v>
      </c>
      <c r="AC158" s="371"/>
      <c r="AD158" s="401">
        <f>IF(INDEX(HwyTransitModelGroup,A146,1)=Hwy,0.00000110231131*(C158*(1-M158)*VLOOKUP(K158,EmAuto1,2)-D158*(1-N158)*VLOOKUP(L158,EmAuto1,2)+(O158*(1-M158)-P158*(1-N158))*VLOOKUP(0,EmAuto1,2))+0.00000110231131*(C158*M158*VLOOKUP(K158,EmTruck1,2)-D158*N158*VLOOKUP(L158,EmTruck1,2)+(O158*M158-P158*N158)*VLOOKUP(0,EmTruck1,2)),0)</f>
        <v>1.0404872802362644</v>
      </c>
      <c r="AE158" s="863">
        <f>IF(INDEX(HwyTransitModelGroup,A146,1)=Hwy,0.00000110231131*(C158*(1-M158)*VLOOKUP(K158,EmAuto1,3)-D158*(1-N158)*VLOOKUP(L158,EmAuto1,3)+(O158*(1-M158)-P158*(1-N158))*VLOOKUP(0,EmAuto1,3))+0.00000110231131*(C158*M158*VLOOKUP(K158,EmTruck1,3)-D158*N158*VLOOKUP(L158,EmTruck1,3)+(O158*M158-P158*N158)*VLOOKUP(0,EmTruck1,3)),0)</f>
        <v>943.57908925058496</v>
      </c>
      <c r="AF158" s="861">
        <f>IF(INDEX(HwyTransitModelGroup,A146,1)=Hwy,0.00000110231131*(C158*(1-M158)*VLOOKUP(K158,EmAuto1,4)-D158*(1-N158)*VLOOKUP(L158,EmAuto1,4)+(O158*(1-M158)-P158*(1-N158))*VLOOKUP(0,EmAuto1,4))+0.00000110231131*(C158*M158*VLOOKUP(K158,EmTruck1,4)-D158*N158*VLOOKUP(L158,EmTruck1,4)+(O158*M158-P158*N158)*VLOOKUP(0,EmTruck1,4)),0)</f>
        <v>0.63859624875544463</v>
      </c>
      <c r="AG158" s="863">
        <f>IF(INDEX(HwyTransitModelGroup,A146,1)=Hwy,0.00000110231131*(C158*(1-M158)*VLOOKUP(K158,EmAuto1,5)-D158*(1-N158)*VLOOKUP(L158,EmAuto1,5)+(O158*(1-M158)-P158*(1-N158))*VLOOKUP(0,EmAuto1,5))+0.00000110231131*(C158*M158*VLOOKUP(K158,EmTruck1,5)-D158*N158*VLOOKUP(L158,EmTruck1,5)+(O158*M158-P158*N158)*VLOOKUP(0,EmTruck1,5)),0)</f>
        <v>1.2953163742751876E-2</v>
      </c>
      <c r="AH158" s="861">
        <f>IF(INDEX(HwyTransitModelGroup,A146,1)=Hwy,0.00000110231131*(C158*(1-M158)*VLOOKUP(K158,EmAuto1,6)-D158*(1-N158)*VLOOKUP(L158,EmAuto1,6)+(O158*(1-M158)-P158*(1-N158))*VLOOKUP(0,EmAuto1,6))+0.00000110231131*(C158*M158*VLOOKUP(K158,EmTruck1,6)-D158*N158*VLOOKUP(L158,EmTruck1,6)+(O158*M158-P158*N158)*VLOOKUP(0,EmTruck1,6)),0)</f>
        <v>9.1278913543628316E-3</v>
      </c>
      <c r="AI158" s="863">
        <f>IF(INDEX(HwyTransitModelGroup,A146,1)=Hwy,0.00000110231131*(C158*(1-M158)*VLOOKUP(K158,EmAuto1,7)-D158*(1-N158)*VLOOKUP(L158,EmAuto1,7)+(O158*(1-M158)-P158*(1-N158))*VLOOKUP(0,EmAuto1,7))+0.00000110231131*(C158*M158*VLOOKUP(K158,EmTruck1,7)-D158*N158*VLOOKUP(L158,EmTruck1,7)+(O158*M158-P158*N158)*VLOOKUP(0,EmTruck1,7)),0)</f>
        <v>3.1472758340331981E-2</v>
      </c>
      <c r="AJ158" s="861">
        <f>IF(INDEX(HwyTransitModelGroup,A146,1)=Hwy,0.00000110231131*(C158*(1-M158)*VLOOKUP(K158,EmAuto1,8)-D158*(1-N158)*VLOOKUP(L158,EmAuto1,8)+(O158*(1-M158)-P158*(1-N158))*VLOOKUP(0,EmAuto1,8))+0.00000110231131*(C158*M158*VLOOKUP(K158,EmTruck1,8)-D158*N158*VLOOKUP(L158,EmTruck1,8)+(O158*M158-P158*N158)*VLOOKUP(0,EmTruck1,8)),0)</f>
        <v>1.2352991695608072E-2</v>
      </c>
      <c r="AK158" s="401">
        <f>IF(INDEX(HwyTransitModelGroup,A146,1)=PARAMETERS!$J$9,0.00000110231131*(C158*VLOOKUP(K158,EmBus1,2)-D158*VLOOKUP(L158,EmBus1,2)+(O158-P158)*VLOOKUP(0,EmBus1,2)),0)</f>
        <v>0</v>
      </c>
      <c r="AL158" s="863">
        <f>IF(INDEX(HwyTransitModelGroup,A146,1)=PARAMETERS!$J$9,0.00000110231131*(C158*VLOOKUP(K158,EmBus1,3)-D158*VLOOKUP(L158,EmBus1,3)+(O158-P158)*VLOOKUP(0,EmBus1,3)),0)</f>
        <v>0</v>
      </c>
      <c r="AM158" s="861">
        <f>IF(INDEX(HwyTransitModelGroup,A146,1)=PARAMETERS!$J$9,0.00000110231131*(C158*VLOOKUP(K158,EmBus1,4)-D158*VLOOKUP(L158,EmBus1,4)+(O158-P158)*VLOOKUP(0,EmBus1,4)),0)</f>
        <v>0</v>
      </c>
      <c r="AN158" s="863">
        <f>IF(INDEX(HwyTransitModelGroup,A146,1)=PARAMETERS!$J$9,0.00000110231131*(C158*VLOOKUP(K158,EmBus1,5)-D158*VLOOKUP(L158,EmBus1,5)+(O158-P158)*VLOOKUP(0,EmBus1,5)),0)</f>
        <v>0</v>
      </c>
      <c r="AO158" s="861">
        <f>IF(INDEX(HwyTransitModelGroup,A146,1)=PARAMETERS!$J$9,0.00000110231131*(C158*VLOOKUP(K158,EmBus1,6)-D158*VLOOKUP(L158,EmBus1,6)+(O158-P158)*VLOOKUP(0,EmBus1,6)),0)</f>
        <v>0</v>
      </c>
      <c r="AP158" s="863">
        <f>IF(INDEX(HwyTransitModelGroup,A146,1)=PARAMETERS!$J$9,0.00000110231131*(C158*VLOOKUP(K158,EmBus1,7)-D158*VLOOKUP(L158,EmBus1,7)+(O158-P158)*VLOOKUP(0,EmBus1,7)),0)</f>
        <v>0</v>
      </c>
      <c r="AQ158" s="861">
        <f>IF(INDEX(HwyTransitModelGroup,A146,1)=PARAMETERS!$J$9,0.00000110231131*(C158*VLOOKUP(K158,EmBus1,8)-D158*VLOOKUP(L158,EmBus1,8)+(O158-P158)*VLOOKUP(0,EmBus1,8)),0)</f>
        <v>0</v>
      </c>
      <c r="AR158" s="401">
        <f>IF(INDEX(HwyTransitModelGroup,A146,1)=PARAMETERS!$J$10,0.00000110231131*((C158-D158)*PARAMETERS!$CQ$28),0)</f>
        <v>0</v>
      </c>
      <c r="AS158" s="863">
        <f>IF(INDEX(HwyTransitModelGroup,A146,1)=PARAMETERS!$J$10,0.00000110231131*((C158-D158)*PARAMETERS!$CR$28),0)</f>
        <v>0</v>
      </c>
      <c r="AT158" s="861">
        <f>IF(INDEX(HwyTransitModelGroup,A146,1)=PARAMETERS!$J$10,0.00000110231131*((C158-D158)*PARAMETERS!$CS$28),0)</f>
        <v>0</v>
      </c>
      <c r="AU158" s="863">
        <f>IF(INDEX(HwyTransitModelGroup,A146,1)=PARAMETERS!$J$10,0.00000110231131*((C158-D158)*PARAMETERS!$CT$28),0)</f>
        <v>0</v>
      </c>
      <c r="AV158" s="861">
        <f>IF(INDEX(HwyTransitModelGroup,A146,1)=PARAMETERS!$J$10,0.00000110231131*((C158-D158)*PARAMETERS!$CU$28),0)</f>
        <v>0</v>
      </c>
      <c r="AW158" s="863">
        <f>IF(INDEX(HwyTransitModelGroup,A146,1)=PARAMETERS!$J$10,0.00000110231131*((C158-D158)*PARAMETERS!$CV$28),0)</f>
        <v>0</v>
      </c>
      <c r="AX158" s="861">
        <f>IF(INDEX(HwyTransitModelGroup,A146,1)=PARAMETERS!$J$10,0.00000110231131*((C158-D158)*PARAMETERS!$CW$28),0)</f>
        <v>0</v>
      </c>
      <c r="AY158" s="401">
        <f>IF(INDEX(HwyTransitModelGroup,A146,1)=PARAMETERS!$J$11,0.00000110231131*((C158-D158)*PARAMETERS!$CQ$36),0)</f>
        <v>0</v>
      </c>
      <c r="AZ158" s="863">
        <f>IF(INDEX(HwyTransitModelGroup,A146,1)=PARAMETERS!$J$11,0.00000110231131*((C158-D158)*PARAMETERS!$CR$36),0)</f>
        <v>0</v>
      </c>
      <c r="BA158" s="861">
        <f>IF(INDEX(HwyTransitModelGroup,A146,1)=PARAMETERS!$J$11,0.00000110231131*((C158-D158)*PARAMETERS!$CS$36),0)</f>
        <v>0</v>
      </c>
      <c r="BB158" s="863">
        <f>IF(INDEX(HwyTransitModelGroup,A146,1)=PARAMETERS!$J$11,0.00000110231131*((C158-D158)*PARAMETERS!$CT$36),0)</f>
        <v>0</v>
      </c>
      <c r="BC158" s="861">
        <f>IF(INDEX(HwyTransitModelGroup,A146,1)=PARAMETERS!$J$11,0.00000110231131*((C158-D158)*PARAMETERS!$CU$36),0)</f>
        <v>0</v>
      </c>
      <c r="BD158" s="863">
        <f>IF(INDEX(HwyTransitModelGroup,A146,1)=PARAMETERS!$J$11,0.00000110231131*((C158-D158)*PARAMETERS!$CV$36),0)</f>
        <v>0</v>
      </c>
      <c r="BE158" s="865">
        <f>IF(INDEX(HwyTransitModelGroup,A146,1)=PARAMETERS!$J$11,0.00000110231131*((C158-D158)*PARAMETERS!$CW$36),0)</f>
        <v>0</v>
      </c>
      <c r="BF158" s="729">
        <f t="shared" si="66"/>
        <v>63.25478549293635</v>
      </c>
      <c r="BG158" s="867">
        <f t="shared" si="67"/>
        <v>39535.512459289806</v>
      </c>
      <c r="BH158" s="867">
        <f t="shared" si="68"/>
        <v>7327.7380395865021</v>
      </c>
      <c r="BI158" s="867">
        <f t="shared" si="69"/>
        <v>1148.7177622968782</v>
      </c>
      <c r="BJ158" s="867">
        <f t="shared" si="70"/>
        <v>409.25038699205192</v>
      </c>
      <c r="BK158" s="869">
        <f t="shared" si="71"/>
        <v>26.547547759698507</v>
      </c>
      <c r="BL158" s="431"/>
      <c r="BN158" s="77" t="s">
        <v>34</v>
      </c>
      <c r="BO158" s="1778"/>
      <c r="BP158" s="1778"/>
      <c r="BQ158" s="1778"/>
      <c r="BR158" s="1778"/>
      <c r="BS158" s="1778"/>
      <c r="BT158" s="1778"/>
    </row>
    <row r="159" spans="1:72" x14ac:dyDescent="0.25">
      <c r="B159" s="375">
        <f t="shared" si="72"/>
        <v>2030</v>
      </c>
      <c r="C159" s="401">
        <f>MAX(TREND(C152:C153,B152:B153,B159),0)</f>
        <v>19432673</v>
      </c>
      <c r="D159" s="402">
        <f>MAX(TREND(D152:D153,B152:B153,B159),0)</f>
        <v>17865217</v>
      </c>
      <c r="E159" s="401">
        <f>MAX(TREND(E152:E153,B152:B153,B159),0)</f>
        <v>280320</v>
      </c>
      <c r="F159" s="402">
        <f>MAX(TREND(F152:F153,B152:B153,B159),0)</f>
        <v>257106</v>
      </c>
      <c r="G159" s="401">
        <f>MAX(TREND(G152:G153,B152:B153,B159),0)</f>
        <v>0</v>
      </c>
      <c r="H159" s="402">
        <f>MAX(TREND(H152:H153,B152:B153,B159),0)</f>
        <v>0</v>
      </c>
      <c r="I159" s="401">
        <f>MAX(TREND(I152:I153,B152:B153,B159),0)</f>
        <v>0</v>
      </c>
      <c r="J159" s="402">
        <f>MAX(TREND(J152:J153,B152:B153,B159),0)</f>
        <v>0</v>
      </c>
      <c r="K159" s="435">
        <f>IFERROR(IF(INDEX(HwyTransitModelGroup,A146,1)=Hwy,MAX(5,ROUND(C159/E159,1)),MAX(5,ROUND(G159/I159,1))),55)</f>
        <v>69.3</v>
      </c>
      <c r="L159" s="436">
        <f>IFERROR(IF(INDEX(HwyTransitModelGroup,A146,1)=Hwy,MAX(5,ROUND(D159/F159,1)),MAX(5,ROUND(H159/J159,1))),55)</f>
        <v>69.5</v>
      </c>
      <c r="M159" s="405">
        <f>MIN(MAX(TREND(M152:M153,B152:B153,B159),0),1)</f>
        <v>0.24</v>
      </c>
      <c r="N159" s="406">
        <f>MIN(MAX(TREND(N152:N153,B152:B153,B159),0),1)</f>
        <v>0.24</v>
      </c>
      <c r="O159" s="401">
        <f>MAX(TREND(O152:O153,B152:B153,B159),0)</f>
        <v>0</v>
      </c>
      <c r="P159" s="402">
        <f>MAX(TREND(P152:P153,B152:B153,B159),0)</f>
        <v>0</v>
      </c>
      <c r="Q159" s="729">
        <f>IF(INDEX(HwyTransitModelGroup,A146,1)=Hwy,C159*(1-M159)*0.00000110231131*(VLOOKUP(K159,EmAuto1,2)*VLOOKUP(ProjLoc,EmCost,2)+VLOOKUP(K159,EmAuto1,3)*VLOOKUP(ProjLoc,EmCost,3)*(1+CO2Uprater)^($B159-YearCurrent)+VLOOKUP(K159,EmAuto1,4)*VLOOKUP(ProjLoc,EmCost,4)+VLOOKUP(K159,EmAuto1,5)*VLOOKUP(ProjLoc,EmCost,5)+VLOOKUP(K159,EmAuto1,6)*VLOOKUP(ProjLoc,EmCost,6)+VLOOKUP(K159,EmAuto1,7)*VLOOKUP(ProjLoc,EmCost,7))+C159*M159*0.00000110231131*(VLOOKUP(K159,EmTruck1,2)*VLOOKUP(ProjLoc,EmCost,2)+VLOOKUP(K159,EmTruck1,3)*VLOOKUP(ProjLoc,EmCost,3)*(1+CO2Uprater)^($B159-YearCurrent)+VLOOKUP(K159,EmTruck1,4)*VLOOKUP(ProjLoc,EmCost,4)+VLOOKUP(K159,EmTruck1,5)*VLOOKUP(ProjLoc,EmCost,5)+VLOOKUP(K159,EmTruck1,6)*VLOOKUP(ProjLoc,EmCost,6)+VLOOKUP(K159,EmTruck1,7)*VLOOKUP(ProjLoc,EmCost,7)),0)</f>
        <v>842864.90323355957</v>
      </c>
      <c r="R159" s="802">
        <f>IF(INDEX(HwyTransitModelGroup,A146,1)=Hwy,D159*(1-N159)*0.00000110231131*(VLOOKUP(L159,EmAuto1,2)*VLOOKUP(ProjLoc,EmCost,2)+VLOOKUP(L159,EmAuto1,3)*VLOOKUP(ProjLoc,EmCost,3)*(1+CO2Uprater)^($B159-YearCurrent)+VLOOKUP(L159,EmAuto1,4)*VLOOKUP(ProjLoc,EmCost,4)+VLOOKUP(L159,EmAuto1,5)*VLOOKUP(ProjLoc,EmCost,5)+VLOOKUP(L159,EmAuto1,6)*VLOOKUP(ProjLoc,EmCost,6)+VLOOKUP(L159,EmAuto1,7)*VLOOKUP(ProjLoc,EmCost,7))+D159*N159*0.00000110231131*(VLOOKUP(L159,EmTruck1,2)*VLOOKUP(ProjLoc,EmCost,2)+VLOOKUP(L159,EmTruck1,3)*VLOOKUP(ProjLoc,EmCost,3)*(1+CO2Uprater)^($B159-YearCurrent)+VLOOKUP(L159,EmTruck1,4)*VLOOKUP(ProjLoc,EmCost,4)+VLOOKUP(L159,EmTruck1,5)*VLOOKUP(ProjLoc,EmCost,5)+VLOOKUP(L159,EmTruck1,6)*VLOOKUP(ProjLoc,EmCost,6)+VLOOKUP(L159,EmTruck1,7)*VLOOKUP(ProjLoc,EmCost,7)),0)</f>
        <v>774878.70031835278</v>
      </c>
      <c r="S159" s="729">
        <f>IF(INDEX(HwyTransitModelGroup,A146,1)=Hwy,O159*(1-M159)*0.00000110231131*(VLOOKUP(0,EmAuto1,2)*VLOOKUP(ProjLoc,EmCost,2)+VLOOKUP(0,EmAuto1,3)*VLOOKUP(ProjLoc,EmCost,3)*(1+CO2Uprater)^($B159-YearCurrent)+VLOOKUP(0,EmAuto1,4)*VLOOKUP(ProjLoc,EmCost,4)+VLOOKUP(0,EmAuto1,5)*VLOOKUP(ProjLoc,EmCost,5)+VLOOKUP(0,EmAuto1,6)*VLOOKUP(ProjLoc,EmCost,6)+VLOOKUP(0,EmAuto1,7)*VLOOKUP(ProjLoc,EmCost,7))+O159*M159*0.00000110231131*(VLOOKUP(0,EmTruck1,2)*VLOOKUP(ProjLoc,EmCost,2)+VLOOKUP(0,EmTruck1,3)*VLOOKUP(ProjLoc,EmCost,3)*(1+CO2Uprater)^($B159-YearCurrent)+VLOOKUP(0,EmTruck1,4)*VLOOKUP(ProjLoc,EmCost,4)+VLOOKUP(0,EmTruck1,5)*VLOOKUP(ProjLoc,EmCost,5)+VLOOKUP(0,EmTruck1,6)*VLOOKUP(ProjLoc,EmCost,6)+VLOOKUP(0,EmTruck1,7)*VLOOKUP(ProjLoc,EmCost,7)),0)</f>
        <v>0</v>
      </c>
      <c r="T159" s="802">
        <f>IF(INDEX(HwyTransitModelGroup,A146,1)=Hwy,P159*(1-N159)*0.00000110231131*(VLOOKUP(0,EmAuto1,2)*VLOOKUP(ProjLoc,EmCost,2)+VLOOKUP(0,EmAuto1,3)*VLOOKUP(ProjLoc,EmCost,3)*(1+CO2Uprater)^($B159-YearCurrent)+VLOOKUP(0,EmAuto1,4)*VLOOKUP(ProjLoc,EmCost,4)+VLOOKUP(0,EmAuto1,5)*VLOOKUP(ProjLoc,EmCost,5)+VLOOKUP(0,EmAuto1,6)*VLOOKUP(ProjLoc,EmCost,6)+VLOOKUP(0,EmAuto1,7)*VLOOKUP(ProjLoc,EmCost,7))+P159*N159*0.00000110231131*(VLOOKUP(0,EmTruck1,2)*VLOOKUP(ProjLoc,EmCost,2)+VLOOKUP(0,EmTruck1,3)*VLOOKUP(ProjLoc,EmCost,3)*(1+CO2Uprater)^($B159-YearCurrent)+VLOOKUP(0,EmTruck1,4)*VLOOKUP(ProjLoc,EmCost,4)+VLOOKUP(0,EmTruck1,5)*VLOOKUP(ProjLoc,EmCost,5)+VLOOKUP(0,EmTruck1,6)*VLOOKUP(ProjLoc,EmCost,6)+VLOOKUP(0,EmTruck1,7)*VLOOKUP(ProjLoc,EmCost,7)),0)</f>
        <v>0</v>
      </c>
      <c r="U159" s="729">
        <f>IF(INDEX(HwyTransitModelGroup,A146,1)=PARAMETERS!$J$9,C159*0.00000110231131*(VLOOKUP(K159,EmBus1,2)*VLOOKUP(ProjLoc,EmCost,2)+VLOOKUP(K159,EmBus1,3)*VLOOKUP(ProjLoc,EmCost,3)*(1+CO2Uprater)^($B159-YearCurrent)+VLOOKUP(K159,EmBus1,4)*VLOOKUP(ProjLoc,EmCost,4)+VLOOKUP(K159,EmBus1,5)*VLOOKUP(ProjLoc,EmCost,5)+VLOOKUP(K159,EmBus1,6)*VLOOKUP(ProjLoc,EmCost,6)+VLOOKUP(K159,EmBus1,7)*VLOOKUP(ProjLoc,EmCost,7)),0)</f>
        <v>0</v>
      </c>
      <c r="V159" s="802">
        <f>IF(INDEX(HwyTransitModelGroup,A146,1)=PARAMETERS!$J$9,D159*0.00000110231131*(VLOOKUP(L159,EmBus1,2)*VLOOKUP(ProjLoc,EmCost,2)+VLOOKUP(L159,EmBus1,3)*VLOOKUP(ProjLoc,EmCost,3)*(1+CO2Uprater)^($B159-YearCurrent)+VLOOKUP(L159,EmBus1,4)*VLOOKUP(ProjLoc,EmCost,4)+VLOOKUP(L159,EmBus1,5)*VLOOKUP(ProjLoc,EmCost,5)+VLOOKUP(L159,EmBus1,6)*VLOOKUP(ProjLoc,EmCost,6)+VLOOKUP(L159,EmBus1,7)*VLOOKUP(ProjLoc,EmCost,7)),0)</f>
        <v>0</v>
      </c>
      <c r="W159" s="808">
        <f>IF(INDEX(HwyTransitModelGroup,A146,1)=PARAMETERS!$J$10,C159*0.00000110231131*(PARAMETERS!$CQ$28*VLOOKUP(ProjLoc,EmCost,2)+PARAMETERS!$CR$28*VLOOKUP(ProjLoc,EmCost,3)*(1+CO2Uprater)^($B159-YearCurrent)+PARAMETERS!$CS$28*VLOOKUP(ProjLoc,EmCost,4)+PARAMETERS!$CT$28*VLOOKUP(ProjLoc,EmCost,5)+PARAMETERS!$CU$28*VLOOKUP(ProjLoc,EmCost,6)+PARAMETERS!$CV$28*VLOOKUP(ProjLoc,EmCost,7)),0)</f>
        <v>0</v>
      </c>
      <c r="X159" s="844">
        <f>IF(INDEX(HwyTransitModelGroup,A146,1)=PARAMETERS!$J$10,D159*0.00000110231131*(PARAMETERS!$CQ$28*VLOOKUP(ProjLoc,EmCost,2)+PARAMETERS!$CR$28*VLOOKUP(ProjLoc,EmCost,3)*(1+CO2Uprater)^($B159-YearCurrent)+PARAMETERS!$CS$28*VLOOKUP(ProjLoc,EmCost,4)+PARAMETERS!$CT$28*VLOOKUP(ProjLoc,EmCost,5)+PARAMETERS!$CU$28*VLOOKUP(ProjLoc,EmCost,6)+PARAMETERS!$CV$28*VLOOKUP(ProjLoc,EmCost,7)),0)</f>
        <v>0</v>
      </c>
      <c r="Y159" s="808">
        <f>IF(INDEX(HwyTransitModelGroup,A146,1)=PARAMETERS!$J$11,C159*0.00000110231131*(PARAMETERS!$CQ$36*VLOOKUP(ProjLoc,EmCost,2)+PARAMETERS!$CR$36*VLOOKUP(ProjLoc,EmCost,3)*(1+CO2Uprater)^($B159-YearCurrent)+PARAMETERS!$CS$36*VLOOKUP(ProjLoc,EmCost,4)+PARAMETERS!$CT$36*VLOOKUP(ProjLoc,EmCost,5)+PARAMETERS!$CU$36*VLOOKUP(ProjLoc,EmCost,6)+PARAMETERS!$CV$36*VLOOKUP(ProjLoc,EmCost,7)),0)</f>
        <v>0</v>
      </c>
      <c r="Z159" s="844">
        <f>IF(INDEX(HwyTransitModelGroup,A146,1)=PARAMETERS!$J$11,D159*0.00000110231131*(PARAMETERS!$CQ$36*VLOOKUP(ProjLoc,EmCost,2)+PARAMETERS!$CR$36*VLOOKUP(ProjLoc,EmCost,3)*(1+CO2Uprater)^($B159-YearCurrent)+PARAMETERS!$CS$36*VLOOKUP(ProjLoc,EmCost,4)+PARAMETERS!$CT$36*VLOOKUP(ProjLoc,EmCost,5)+PARAMETERS!$CU$36*VLOOKUP(ProjLoc,EmCost,6)+PARAMETERS!$CV$36*VLOOKUP(ProjLoc,EmCost,7)),0)</f>
        <v>0</v>
      </c>
      <c r="AA159" s="369">
        <f t="shared" si="64"/>
        <v>67986.202915206784</v>
      </c>
      <c r="AB159" s="370">
        <f t="shared" si="65"/>
        <v>49676.852545418915</v>
      </c>
      <c r="AC159" s="371"/>
      <c r="AD159" s="401">
        <f>IF(INDEX(HwyTransitModelGroup,A146,1)=Hwy,0.00000110231131*(C159*(1-M159)*VLOOKUP(K159,EmAuto1,2)-D159*(1-N159)*VLOOKUP(L159,EmAuto1,2)+(O159*(1-M159)-P159*(1-N159))*VLOOKUP(0,EmAuto1,2))+0.00000110231131*(C159*M159*VLOOKUP(K159,EmTruck1,2)-D159*N159*VLOOKUP(L159,EmTruck1,2)+(O159*M159-P159*N159)*VLOOKUP(0,EmTruck1,2)),0)</f>
        <v>1.0903401803898487</v>
      </c>
      <c r="AE159" s="863">
        <f>IF(INDEX(HwyTransitModelGroup,A146,1)=Hwy,0.00000110231131*(C159*(1-M159)*VLOOKUP(K159,EmAuto1,3)-D159*(1-N159)*VLOOKUP(L159,EmAuto1,3)+(O159*(1-M159)-P159*(1-N159))*VLOOKUP(0,EmAuto1,3))+0.00000110231131*(C159*M159*VLOOKUP(K159,EmTruck1,3)-D159*N159*VLOOKUP(L159,EmTruck1,3)+(O159*M159-P159*N159)*VLOOKUP(0,EmTruck1,3)),0)</f>
        <v>988.78882416703209</v>
      </c>
      <c r="AF159" s="861">
        <f>IF(INDEX(HwyTransitModelGroup,A146,1)=Hwy,0.00000110231131*(C159*(1-M159)*VLOOKUP(K159,EmAuto1,4)-D159*(1-N159)*VLOOKUP(L159,EmAuto1,4)+(O159*(1-M159)-P159*(1-N159))*VLOOKUP(0,EmAuto1,4))+0.00000110231131*(C159*M159*VLOOKUP(K159,EmTruck1,4)-D159*N159*VLOOKUP(L159,EmTruck1,4)+(O159*M159-P159*N159)*VLOOKUP(0,EmTruck1,4)),0)</f>
        <v>0.66919333113441237</v>
      </c>
      <c r="AG159" s="863">
        <f>IF(INDEX(HwyTransitModelGroup,A146,1)=Hwy,0.00000110231131*(C159*(1-M159)*VLOOKUP(K159,EmAuto1,5)-D159*(1-N159)*VLOOKUP(L159,EmAuto1,5)+(O159*(1-M159)-P159*(1-N159))*VLOOKUP(0,EmAuto1,5))+0.00000110231131*(C159*M159*VLOOKUP(K159,EmTruck1,5)-D159*N159*VLOOKUP(L159,EmTruck1,5)+(O159*M159-P159*N159)*VLOOKUP(0,EmTruck1,5)),0)</f>
        <v>1.357378908917011E-2</v>
      </c>
      <c r="AH159" s="861">
        <f>IF(INDEX(HwyTransitModelGroup,A146,1)=Hwy,0.00000110231131*(C159*(1-M159)*VLOOKUP(K159,EmAuto1,6)-D159*(1-N159)*VLOOKUP(L159,EmAuto1,6)+(O159*(1-M159)-P159*(1-N159))*VLOOKUP(0,EmAuto1,6))+0.00000110231131*(C159*M159*VLOOKUP(K159,EmTruck1,6)-D159*N159*VLOOKUP(L159,EmTruck1,6)+(O159*M159-P159*N159)*VLOOKUP(0,EmTruck1,6)),0)</f>
        <v>9.5652363031626525E-3</v>
      </c>
      <c r="AI159" s="863">
        <f>IF(INDEX(HwyTransitModelGroup,A146,1)=Hwy,0.00000110231131*(C159*(1-M159)*VLOOKUP(K159,EmAuto1,7)-D159*(1-N159)*VLOOKUP(L159,EmAuto1,7)+(O159*(1-M159)-P159*(1-N159))*VLOOKUP(0,EmAuto1,7))+0.00000110231131*(C159*M159*VLOOKUP(K159,EmTruck1,7)-D159*N159*VLOOKUP(L159,EmTruck1,7)+(O159*M159-P159*N159)*VLOOKUP(0,EmTruck1,7)),0)</f>
        <v>3.298071361177185E-2</v>
      </c>
      <c r="AJ159" s="861">
        <f>IF(INDEX(HwyTransitModelGroup,A146,1)=Hwy,0.00000110231131*(C159*(1-M159)*VLOOKUP(K159,EmAuto1,8)-D159*(1-N159)*VLOOKUP(L159,EmAuto1,8)+(O159*(1-M159)-P159*(1-N159))*VLOOKUP(0,EmAuto1,8))+0.00000110231131*(C159*M159*VLOOKUP(K159,EmTruck1,8)-D159*N159*VLOOKUP(L159,EmTruck1,8)+(O159*M159-P159*N159)*VLOOKUP(0,EmTruck1,8)),0)</f>
        <v>1.2944860979641376E-2</v>
      </c>
      <c r="AK159" s="401">
        <f>IF(INDEX(HwyTransitModelGroup,A146,1)=PARAMETERS!$J$9,0.00000110231131*(C159*VLOOKUP(K159,EmBus1,2)-D159*VLOOKUP(L159,EmBus1,2)+(O159-P159)*VLOOKUP(0,EmBus1,2)),0)</f>
        <v>0</v>
      </c>
      <c r="AL159" s="863">
        <f>IF(INDEX(HwyTransitModelGroup,A146,1)=PARAMETERS!$J$9,0.00000110231131*(C159*VLOOKUP(K159,EmBus1,3)-D159*VLOOKUP(L159,EmBus1,3)+(O159-P159)*VLOOKUP(0,EmBus1,3)),0)</f>
        <v>0</v>
      </c>
      <c r="AM159" s="861">
        <f>IF(INDEX(HwyTransitModelGroup,A146,1)=PARAMETERS!$J$9,0.00000110231131*(C159*VLOOKUP(K159,EmBus1,4)-D159*VLOOKUP(L159,EmBus1,4)+(O159-P159)*VLOOKUP(0,EmBus1,4)),0)</f>
        <v>0</v>
      </c>
      <c r="AN159" s="863">
        <f>IF(INDEX(HwyTransitModelGroup,A146,1)=PARAMETERS!$J$9,0.00000110231131*(C159*VLOOKUP(K159,EmBus1,5)-D159*VLOOKUP(L159,EmBus1,5)+(O159-P159)*VLOOKUP(0,EmBus1,5)),0)</f>
        <v>0</v>
      </c>
      <c r="AO159" s="861">
        <f>IF(INDEX(HwyTransitModelGroup,A146,1)=PARAMETERS!$J$9,0.00000110231131*(C159*VLOOKUP(K159,EmBus1,6)-D159*VLOOKUP(L159,EmBus1,6)+(O159-P159)*VLOOKUP(0,EmBus1,6)),0)</f>
        <v>0</v>
      </c>
      <c r="AP159" s="863">
        <f>IF(INDEX(HwyTransitModelGroup,A146,1)=PARAMETERS!$J$9,0.00000110231131*(C159*VLOOKUP(K159,EmBus1,7)-D159*VLOOKUP(L159,EmBus1,7)+(O159-P159)*VLOOKUP(0,EmBus1,7)),0)</f>
        <v>0</v>
      </c>
      <c r="AQ159" s="861">
        <f>IF(INDEX(HwyTransitModelGroup,A146,1)=PARAMETERS!$J$9,0.00000110231131*(C159*VLOOKUP(K159,EmBus1,8)-D159*VLOOKUP(L159,EmBus1,8)+(O159-P159)*VLOOKUP(0,EmBus1,8)),0)</f>
        <v>0</v>
      </c>
      <c r="AR159" s="401">
        <f>IF(INDEX(HwyTransitModelGroup,A146,1)=PARAMETERS!$J$10,0.00000110231131*((C159-D159)*PARAMETERS!$CQ$28),0)</f>
        <v>0</v>
      </c>
      <c r="AS159" s="863">
        <f>IF(INDEX(HwyTransitModelGroup,A146,1)=PARAMETERS!$J$10,0.00000110231131*((C159-D159)*PARAMETERS!$CR$28),0)</f>
        <v>0</v>
      </c>
      <c r="AT159" s="861">
        <f>IF(INDEX(HwyTransitModelGroup,A146,1)=PARAMETERS!$J$10,0.00000110231131*((C159-D159)*PARAMETERS!$CS$28),0)</f>
        <v>0</v>
      </c>
      <c r="AU159" s="863">
        <f>IF(INDEX(HwyTransitModelGroup,A146,1)=PARAMETERS!$J$10,0.00000110231131*((C159-D159)*PARAMETERS!$CT$28),0)</f>
        <v>0</v>
      </c>
      <c r="AV159" s="861">
        <f>IF(INDEX(HwyTransitModelGroup,A146,1)=PARAMETERS!$J$10,0.00000110231131*((C159-D159)*PARAMETERS!$CU$28),0)</f>
        <v>0</v>
      </c>
      <c r="AW159" s="863">
        <f>IF(INDEX(HwyTransitModelGroup,A146,1)=PARAMETERS!$J$10,0.00000110231131*((C159-D159)*PARAMETERS!$CV$28),0)</f>
        <v>0</v>
      </c>
      <c r="AX159" s="861">
        <f>IF(INDEX(HwyTransitModelGroup,A146,1)=PARAMETERS!$J$10,0.00000110231131*((C159-D159)*PARAMETERS!$CW$28),0)</f>
        <v>0</v>
      </c>
      <c r="AY159" s="401">
        <f>IF(INDEX(HwyTransitModelGroup,A146,1)=PARAMETERS!$J$11,0.00000110231131*((C159-D159)*PARAMETERS!$CQ$36),0)</f>
        <v>0</v>
      </c>
      <c r="AZ159" s="863">
        <f>IF(INDEX(HwyTransitModelGroup,A146,1)=PARAMETERS!$J$11,0.00000110231131*((C159-D159)*PARAMETERS!$CR$36),0)</f>
        <v>0</v>
      </c>
      <c r="BA159" s="861">
        <f>IF(INDEX(HwyTransitModelGroup,A146,1)=PARAMETERS!$J$11,0.00000110231131*((C159-D159)*PARAMETERS!$CS$36),0)</f>
        <v>0</v>
      </c>
      <c r="BB159" s="863">
        <f>IF(INDEX(HwyTransitModelGroup,A146,1)=PARAMETERS!$J$11,0.00000110231131*((C159-D159)*PARAMETERS!$CT$36),0)</f>
        <v>0</v>
      </c>
      <c r="BC159" s="861">
        <f>IF(INDEX(HwyTransitModelGroup,A146,1)=PARAMETERS!$J$11,0.00000110231131*((C159-D159)*PARAMETERS!$CU$36),0)</f>
        <v>0</v>
      </c>
      <c r="BD159" s="863">
        <f>IF(INDEX(HwyTransitModelGroup,A146,1)=PARAMETERS!$J$11,0.00000110231131*((C159-D159)*PARAMETERS!$CV$36),0)</f>
        <v>0</v>
      </c>
      <c r="BE159" s="865">
        <f>IF(INDEX(HwyTransitModelGroup,A146,1)=PARAMETERS!$J$11,0.00000110231131*((C159-D159)*PARAMETERS!$CW$36),0)</f>
        <v>0</v>
      </c>
      <c r="BF159" s="729">
        <f t="shared" si="66"/>
        <v>63.736071194476679</v>
      </c>
      <c r="BG159" s="867">
        <f t="shared" si="67"/>
        <v>40633.052211341921</v>
      </c>
      <c r="BH159" s="867">
        <f t="shared" si="68"/>
        <v>7383.4924859197199</v>
      </c>
      <c r="BI159" s="867">
        <f t="shared" si="69"/>
        <v>1157.4579932500037</v>
      </c>
      <c r="BJ159" s="867">
        <f t="shared" si="70"/>
        <v>412.36424403976986</v>
      </c>
      <c r="BK159" s="869">
        <f t="shared" si="71"/>
        <v>26.749539673007995</v>
      </c>
      <c r="BL159" s="431"/>
      <c r="BN159" s="355"/>
      <c r="BO159" s="1779"/>
      <c r="BP159" s="1779"/>
      <c r="BQ159" s="1779"/>
      <c r="BR159" s="1779"/>
      <c r="BS159" s="1779"/>
      <c r="BT159" s="1779"/>
    </row>
    <row r="160" spans="1:72" x14ac:dyDescent="0.25">
      <c r="B160" s="375">
        <f t="shared" si="72"/>
        <v>2031</v>
      </c>
      <c r="C160" s="401">
        <f>MAX(TREND(C152:C153,B152:B153,B160),0)</f>
        <v>19681073.75</v>
      </c>
      <c r="D160" s="402">
        <f>MAX(TREND(D152:D153,B152:B153,B160),0)</f>
        <v>18041950</v>
      </c>
      <c r="E160" s="401">
        <f>MAX(TREND(E152:E153,B152:B153,B160),0)</f>
        <v>283970</v>
      </c>
      <c r="F160" s="402">
        <f>MAX(TREND(F152:F153,B152:B153,B160),0)</f>
        <v>259697.5</v>
      </c>
      <c r="G160" s="401">
        <f>MAX(TREND(G152:G153,B152:B153,B160),0)</f>
        <v>0</v>
      </c>
      <c r="H160" s="402">
        <f>MAX(TREND(H152:H153,B152:B153,B160),0)</f>
        <v>0</v>
      </c>
      <c r="I160" s="401">
        <f>MAX(TREND(I152:I153,B152:B153,B160),0)</f>
        <v>0</v>
      </c>
      <c r="J160" s="402">
        <f>MAX(TREND(J152:J153,B152:B153,B160),0)</f>
        <v>0</v>
      </c>
      <c r="K160" s="435">
        <f>IFERROR(IF(INDEX(HwyTransitModelGroup,A146,1)=Hwy,MAX(5,ROUND(C160/E160,1)),MAX(5,ROUND(G160/I160,1))),55)</f>
        <v>69.3</v>
      </c>
      <c r="L160" s="436">
        <f>IFERROR(IF(INDEX(HwyTransitModelGroup,A146,1)=Hwy,MAX(5,ROUND(D160/F160,1)),MAX(5,ROUND(H160/J160,1))),55)</f>
        <v>69.5</v>
      </c>
      <c r="M160" s="405">
        <f>MIN(MAX(TREND(M152:M153,B152:B153,B160),0),1)</f>
        <v>0.24</v>
      </c>
      <c r="N160" s="406">
        <f>MIN(MAX(TREND(N152:N153,B152:B153,B160),0),1)</f>
        <v>0.24</v>
      </c>
      <c r="O160" s="401">
        <f>MAX(TREND(O152:O153,B152:B153,B160),0)</f>
        <v>0</v>
      </c>
      <c r="P160" s="402">
        <f>MAX(TREND(P152:P153,B152:B153,B160),0)</f>
        <v>0</v>
      </c>
      <c r="Q160" s="729">
        <f>IF(INDEX(HwyTransitModelGroup,A146,1)=Hwy,C160*(1-M160)*0.00000110231131*(VLOOKUP(K160,EmAuto1,2)*VLOOKUP(ProjLoc,EmCost,2)+VLOOKUP(K160,EmAuto1,3)*VLOOKUP(ProjLoc,EmCost,3)*(1+CO2Uprater)^($B160-YearCurrent)+VLOOKUP(K160,EmAuto1,4)*VLOOKUP(ProjLoc,EmCost,4)+VLOOKUP(K160,EmAuto1,5)*VLOOKUP(ProjLoc,EmCost,5)+VLOOKUP(K160,EmAuto1,6)*VLOOKUP(ProjLoc,EmCost,6)+VLOOKUP(K160,EmAuto1,7)*VLOOKUP(ProjLoc,EmCost,7))+C160*M160*0.00000110231131*(VLOOKUP(K160,EmTruck1,2)*VLOOKUP(ProjLoc,EmCost,2)+VLOOKUP(K160,EmTruck1,3)*VLOOKUP(ProjLoc,EmCost,3)*(1+CO2Uprater)^($B160-YearCurrent)+VLOOKUP(K160,EmTruck1,4)*VLOOKUP(ProjLoc,EmCost,4)+VLOOKUP(K160,EmTruck1,5)*VLOOKUP(ProjLoc,EmCost,5)+VLOOKUP(K160,EmTruck1,6)*VLOOKUP(ProjLoc,EmCost,6)+VLOOKUP(K160,EmTruck1,7)*VLOOKUP(ProjLoc,EmCost,7)),0)</f>
        <v>867603.5718729645</v>
      </c>
      <c r="R160" s="802">
        <f>IF(INDEX(HwyTransitModelGroup,A146,1)=Hwy,D160*(1-N160)*0.00000110231131*(VLOOKUP(L160,EmAuto1,2)*VLOOKUP(ProjLoc,EmCost,2)+VLOOKUP(L160,EmAuto1,3)*VLOOKUP(ProjLoc,EmCost,3)*(1+CO2Uprater)^($B160-YearCurrent)+VLOOKUP(L160,EmAuto1,4)*VLOOKUP(ProjLoc,EmCost,4)+VLOOKUP(L160,EmAuto1,5)*VLOOKUP(ProjLoc,EmCost,5)+VLOOKUP(L160,EmAuto1,6)*VLOOKUP(ProjLoc,EmCost,6)+VLOOKUP(L160,EmAuto1,7)*VLOOKUP(ProjLoc,EmCost,7))+D160*N160*0.00000110231131*(VLOOKUP(L160,EmTruck1,2)*VLOOKUP(ProjLoc,EmCost,2)+VLOOKUP(L160,EmTruck1,3)*VLOOKUP(ProjLoc,EmCost,3)*(1+CO2Uprater)^($B160-YearCurrent)+VLOOKUP(L160,EmTruck1,4)*VLOOKUP(ProjLoc,EmCost,4)+VLOOKUP(L160,EmTruck1,5)*VLOOKUP(ProjLoc,EmCost,5)+VLOOKUP(L160,EmTruck1,6)*VLOOKUP(ProjLoc,EmCost,6)+VLOOKUP(L160,EmTruck1,7)*VLOOKUP(ProjLoc,EmCost,7)),0)</f>
        <v>795345.84659302107</v>
      </c>
      <c r="S160" s="729">
        <f>IF(INDEX(HwyTransitModelGroup,A146,1)=Hwy,O160*(1-M160)*0.00000110231131*(VLOOKUP(0,EmAuto1,2)*VLOOKUP(ProjLoc,EmCost,2)+VLOOKUP(0,EmAuto1,3)*VLOOKUP(ProjLoc,EmCost,3)*(1+CO2Uprater)^($B160-YearCurrent)+VLOOKUP(0,EmAuto1,4)*VLOOKUP(ProjLoc,EmCost,4)+VLOOKUP(0,EmAuto1,5)*VLOOKUP(ProjLoc,EmCost,5)+VLOOKUP(0,EmAuto1,6)*VLOOKUP(ProjLoc,EmCost,6)+VLOOKUP(0,EmAuto1,7)*VLOOKUP(ProjLoc,EmCost,7))+O160*M160*0.00000110231131*(VLOOKUP(0,EmTruck1,2)*VLOOKUP(ProjLoc,EmCost,2)+VLOOKUP(0,EmTruck1,3)*VLOOKUP(ProjLoc,EmCost,3)*(1+CO2Uprater)^($B160-YearCurrent)+VLOOKUP(0,EmTruck1,4)*VLOOKUP(ProjLoc,EmCost,4)+VLOOKUP(0,EmTruck1,5)*VLOOKUP(ProjLoc,EmCost,5)+VLOOKUP(0,EmTruck1,6)*VLOOKUP(ProjLoc,EmCost,6)+VLOOKUP(0,EmTruck1,7)*VLOOKUP(ProjLoc,EmCost,7)),0)</f>
        <v>0</v>
      </c>
      <c r="T160" s="802">
        <f>IF(INDEX(HwyTransitModelGroup,A146,1)=Hwy,P160*(1-N160)*0.00000110231131*(VLOOKUP(0,EmAuto1,2)*VLOOKUP(ProjLoc,EmCost,2)+VLOOKUP(0,EmAuto1,3)*VLOOKUP(ProjLoc,EmCost,3)*(1+CO2Uprater)^($B160-YearCurrent)+VLOOKUP(0,EmAuto1,4)*VLOOKUP(ProjLoc,EmCost,4)+VLOOKUP(0,EmAuto1,5)*VLOOKUP(ProjLoc,EmCost,5)+VLOOKUP(0,EmAuto1,6)*VLOOKUP(ProjLoc,EmCost,6)+VLOOKUP(0,EmAuto1,7)*VLOOKUP(ProjLoc,EmCost,7))+P160*N160*0.00000110231131*(VLOOKUP(0,EmTruck1,2)*VLOOKUP(ProjLoc,EmCost,2)+VLOOKUP(0,EmTruck1,3)*VLOOKUP(ProjLoc,EmCost,3)*(1+CO2Uprater)^($B160-YearCurrent)+VLOOKUP(0,EmTruck1,4)*VLOOKUP(ProjLoc,EmCost,4)+VLOOKUP(0,EmTruck1,5)*VLOOKUP(ProjLoc,EmCost,5)+VLOOKUP(0,EmTruck1,6)*VLOOKUP(ProjLoc,EmCost,6)+VLOOKUP(0,EmTruck1,7)*VLOOKUP(ProjLoc,EmCost,7)),0)</f>
        <v>0</v>
      </c>
      <c r="U160" s="729">
        <f>IF(INDEX(HwyTransitModelGroup,A146,1)=PARAMETERS!$J$9,C160*0.00000110231131*(VLOOKUP(K160,EmBus1,2)*VLOOKUP(ProjLoc,EmCost,2)+VLOOKUP(K160,EmBus1,3)*VLOOKUP(ProjLoc,EmCost,3)*(1+CO2Uprater)^($B160-YearCurrent)+VLOOKUP(K160,EmBus1,4)*VLOOKUP(ProjLoc,EmCost,4)+VLOOKUP(K160,EmBus1,5)*VLOOKUP(ProjLoc,EmCost,5)+VLOOKUP(K160,EmBus1,6)*VLOOKUP(ProjLoc,EmCost,6)+VLOOKUP(K160,EmBus1,7)*VLOOKUP(ProjLoc,EmCost,7)),0)</f>
        <v>0</v>
      </c>
      <c r="V160" s="802">
        <f>IF(INDEX(HwyTransitModelGroup,A146,1)=PARAMETERS!$J$9,D160*0.00000110231131*(VLOOKUP(L160,EmBus1,2)*VLOOKUP(ProjLoc,EmCost,2)+VLOOKUP(L160,EmBus1,3)*VLOOKUP(ProjLoc,EmCost,3)*(1+CO2Uprater)^($B160-YearCurrent)+VLOOKUP(L160,EmBus1,4)*VLOOKUP(ProjLoc,EmCost,4)+VLOOKUP(L160,EmBus1,5)*VLOOKUP(ProjLoc,EmCost,5)+VLOOKUP(L160,EmBus1,6)*VLOOKUP(ProjLoc,EmCost,6)+VLOOKUP(L160,EmBus1,7)*VLOOKUP(ProjLoc,EmCost,7)),0)</f>
        <v>0</v>
      </c>
      <c r="W160" s="808">
        <f>IF(INDEX(HwyTransitModelGroup,A146,1)=PARAMETERS!$J$10,C160*0.00000110231131*(PARAMETERS!$CQ$28*VLOOKUP(ProjLoc,EmCost,2)+PARAMETERS!$CR$28*VLOOKUP(ProjLoc,EmCost,3)*(1+CO2Uprater)^($B160-YearCurrent)+PARAMETERS!$CS$28*VLOOKUP(ProjLoc,EmCost,4)+PARAMETERS!$CT$28*VLOOKUP(ProjLoc,EmCost,5)+PARAMETERS!$CU$28*VLOOKUP(ProjLoc,EmCost,6)+PARAMETERS!$CV$28*VLOOKUP(ProjLoc,EmCost,7)),0)</f>
        <v>0</v>
      </c>
      <c r="X160" s="844">
        <f>IF(INDEX(HwyTransitModelGroup,A146,1)=PARAMETERS!$J$10,D160*0.00000110231131*(PARAMETERS!$CQ$28*VLOOKUP(ProjLoc,EmCost,2)+PARAMETERS!$CR$28*VLOOKUP(ProjLoc,EmCost,3)*(1+CO2Uprater)^($B160-YearCurrent)+PARAMETERS!$CS$28*VLOOKUP(ProjLoc,EmCost,4)+PARAMETERS!$CT$28*VLOOKUP(ProjLoc,EmCost,5)+PARAMETERS!$CU$28*VLOOKUP(ProjLoc,EmCost,6)+PARAMETERS!$CV$28*VLOOKUP(ProjLoc,EmCost,7)),0)</f>
        <v>0</v>
      </c>
      <c r="Y160" s="808">
        <f>IF(INDEX(HwyTransitModelGroup,A146,1)=PARAMETERS!$J$11,C160*0.00000110231131*(PARAMETERS!$CQ$36*VLOOKUP(ProjLoc,EmCost,2)+PARAMETERS!$CR$36*VLOOKUP(ProjLoc,EmCost,3)*(1+CO2Uprater)^($B160-YearCurrent)+PARAMETERS!$CS$36*VLOOKUP(ProjLoc,EmCost,4)+PARAMETERS!$CT$36*VLOOKUP(ProjLoc,EmCost,5)+PARAMETERS!$CU$36*VLOOKUP(ProjLoc,EmCost,6)+PARAMETERS!$CV$36*VLOOKUP(ProjLoc,EmCost,7)),0)</f>
        <v>0</v>
      </c>
      <c r="Z160" s="844">
        <f>IF(INDEX(HwyTransitModelGroup,A146,1)=PARAMETERS!$J$11,D160*0.00000110231131*(PARAMETERS!$CQ$36*VLOOKUP(ProjLoc,EmCost,2)+PARAMETERS!$CR$36*VLOOKUP(ProjLoc,EmCost,3)*(1+CO2Uprater)^($B160-YearCurrent)+PARAMETERS!$CS$36*VLOOKUP(ProjLoc,EmCost,4)+PARAMETERS!$CT$36*VLOOKUP(ProjLoc,EmCost,5)+PARAMETERS!$CU$36*VLOOKUP(ProjLoc,EmCost,6)+PARAMETERS!$CV$36*VLOOKUP(ProjLoc,EmCost,7)),0)</f>
        <v>0</v>
      </c>
      <c r="AA160" s="369">
        <f t="shared" si="64"/>
        <v>72257.725279943435</v>
      </c>
      <c r="AB160" s="370">
        <f t="shared" si="65"/>
        <v>50767.319324787393</v>
      </c>
      <c r="AC160" s="371"/>
      <c r="AD160" s="401">
        <f>IF(INDEX(HwyTransitModelGroup,A146,1)=Hwy,0.00000110231131*(C160*(1-M160)*VLOOKUP(K160,EmAuto1,2)-D160*(1-N160)*VLOOKUP(L160,EmAuto1,2)+(O160*(1-M160)-P160*(1-N160))*VLOOKUP(0,EmAuto1,2))+0.00000110231131*(C160*M160*VLOOKUP(K160,EmTruck1,2)-D160*N160*VLOOKUP(L160,EmTruck1,2)+(O160*M160-P160*N160)*VLOOKUP(0,EmTruck1,2)),0)</f>
        <v>1.1401930805434313</v>
      </c>
      <c r="AE160" s="863">
        <f>IF(INDEX(HwyTransitModelGroup,A146,1)=Hwy,0.00000110231131*(C160*(1-M160)*VLOOKUP(K160,EmAuto1,3)-D160*(1-N160)*VLOOKUP(L160,EmAuto1,3)+(O160*(1-M160)-P160*(1-N160))*VLOOKUP(0,EmAuto1,3))+0.00000110231131*(C160*M160*VLOOKUP(K160,EmTruck1,3)-D160*N160*VLOOKUP(L160,EmTruck1,3)+(O160*M160-P160*N160)*VLOOKUP(0,EmTruck1,3)),0)</f>
        <v>1033.9985590834847</v>
      </c>
      <c r="AF160" s="861">
        <f>IF(INDEX(HwyTransitModelGroup,A146,1)=Hwy,0.00000110231131*(C160*(1-M160)*VLOOKUP(K160,EmAuto1,4)-D160*(1-N160)*VLOOKUP(L160,EmAuto1,4)+(O160*(1-M160)-P160*(1-N160))*VLOOKUP(0,EmAuto1,4))+0.00000110231131*(C160*M160*VLOOKUP(K160,EmTruck1,4)-D160*N160*VLOOKUP(L160,EmTruck1,4)+(O160*M160-P160*N160)*VLOOKUP(0,EmTruck1,4)),0)</f>
        <v>0.69979041351338223</v>
      </c>
      <c r="AG160" s="863">
        <f>IF(INDEX(HwyTransitModelGroup,A146,1)=Hwy,0.00000110231131*(C160*(1-M160)*VLOOKUP(K160,EmAuto1,5)-D160*(1-N160)*VLOOKUP(L160,EmAuto1,5)+(O160*(1-M160)-P160*(1-N160))*VLOOKUP(0,EmAuto1,5))+0.00000110231131*(C160*M160*VLOOKUP(K160,EmTruck1,5)-D160*N160*VLOOKUP(L160,EmTruck1,5)+(O160*M160-P160*N160)*VLOOKUP(0,EmTruck1,5)),0)</f>
        <v>1.4194414435588392E-2</v>
      </c>
      <c r="AH160" s="861">
        <f>IF(INDEX(HwyTransitModelGroup,A146,1)=Hwy,0.00000110231131*(C160*(1-M160)*VLOOKUP(K160,EmAuto1,6)-D160*(1-N160)*VLOOKUP(L160,EmAuto1,6)+(O160*(1-M160)-P160*(1-N160))*VLOOKUP(0,EmAuto1,6))+0.00000110231131*(C160*M160*VLOOKUP(K160,EmTruck1,6)-D160*N160*VLOOKUP(L160,EmTruck1,6)+(O160*M160-P160*N160)*VLOOKUP(0,EmTruck1,6)),0)</f>
        <v>1.0002581251962499E-2</v>
      </c>
      <c r="AI160" s="863">
        <f>IF(INDEX(HwyTransitModelGroup,A146,1)=Hwy,0.00000110231131*(C160*(1-M160)*VLOOKUP(K160,EmAuto1,7)-D160*(1-N160)*VLOOKUP(L160,EmAuto1,7)+(O160*(1-M160)-P160*(1-N160))*VLOOKUP(0,EmAuto1,7))+0.00000110231131*(C160*M160*VLOOKUP(K160,EmTruck1,7)-D160*N160*VLOOKUP(L160,EmTruck1,7)+(O160*M160-P160*N160)*VLOOKUP(0,EmTruck1,7)),0)</f>
        <v>3.4488668883211726E-2</v>
      </c>
      <c r="AJ160" s="861">
        <f>IF(INDEX(HwyTransitModelGroup,A146,1)=Hwy,0.00000110231131*(C160*(1-M160)*VLOOKUP(K160,EmAuto1,8)-D160*(1-N160)*VLOOKUP(L160,EmAuto1,8)+(O160*(1-M160)-P160*(1-N160))*VLOOKUP(0,EmAuto1,8))+0.00000110231131*(C160*M160*VLOOKUP(K160,EmTruck1,8)-D160*N160*VLOOKUP(L160,EmTruck1,8)+(O160*M160-P160*N160)*VLOOKUP(0,EmTruck1,8)),0)</f>
        <v>1.3536730263674681E-2</v>
      </c>
      <c r="AK160" s="401">
        <f>IF(INDEX(HwyTransitModelGroup,A146,1)=PARAMETERS!$J$9,0.00000110231131*(C160*VLOOKUP(K160,EmBus1,2)-D160*VLOOKUP(L160,EmBus1,2)+(O160-P160)*VLOOKUP(0,EmBus1,2)),0)</f>
        <v>0</v>
      </c>
      <c r="AL160" s="863">
        <f>IF(INDEX(HwyTransitModelGroup,A146,1)=PARAMETERS!$J$9,0.00000110231131*(C160*VLOOKUP(K160,EmBus1,3)-D160*VLOOKUP(L160,EmBus1,3)+(O160-P160)*VLOOKUP(0,EmBus1,3)),0)</f>
        <v>0</v>
      </c>
      <c r="AM160" s="861">
        <f>IF(INDEX(HwyTransitModelGroup,A146,1)=PARAMETERS!$J$9,0.00000110231131*(C160*VLOOKUP(K160,EmBus1,4)-D160*VLOOKUP(L160,EmBus1,4)+(O160-P160)*VLOOKUP(0,EmBus1,4)),0)</f>
        <v>0</v>
      </c>
      <c r="AN160" s="863">
        <f>IF(INDEX(HwyTransitModelGroup,A146,1)=PARAMETERS!$J$9,0.00000110231131*(C160*VLOOKUP(K160,EmBus1,5)-D160*VLOOKUP(L160,EmBus1,5)+(O160-P160)*VLOOKUP(0,EmBus1,5)),0)</f>
        <v>0</v>
      </c>
      <c r="AO160" s="861">
        <f>IF(INDEX(HwyTransitModelGroup,A146,1)=PARAMETERS!$J$9,0.00000110231131*(C160*VLOOKUP(K160,EmBus1,6)-D160*VLOOKUP(L160,EmBus1,6)+(O160-P160)*VLOOKUP(0,EmBus1,6)),0)</f>
        <v>0</v>
      </c>
      <c r="AP160" s="863">
        <f>IF(INDEX(HwyTransitModelGroup,A146,1)=PARAMETERS!$J$9,0.00000110231131*(C160*VLOOKUP(K160,EmBus1,7)-D160*VLOOKUP(L160,EmBus1,7)+(O160-P160)*VLOOKUP(0,EmBus1,7)),0)</f>
        <v>0</v>
      </c>
      <c r="AQ160" s="861">
        <f>IF(INDEX(HwyTransitModelGroup,A146,1)=PARAMETERS!$J$9,0.00000110231131*(C160*VLOOKUP(K160,EmBus1,8)-D160*VLOOKUP(L160,EmBus1,8)+(O160-P160)*VLOOKUP(0,EmBus1,8)),0)</f>
        <v>0</v>
      </c>
      <c r="AR160" s="401">
        <f>IF(INDEX(HwyTransitModelGroup,A146,1)=PARAMETERS!$J$10,0.00000110231131*((C160-D160)*PARAMETERS!$CQ$28),0)</f>
        <v>0</v>
      </c>
      <c r="AS160" s="863">
        <f>IF(INDEX(HwyTransitModelGroup,A146,1)=PARAMETERS!$J$10,0.00000110231131*((C160-D160)*PARAMETERS!$CR$28),0)</f>
        <v>0</v>
      </c>
      <c r="AT160" s="861">
        <f>IF(INDEX(HwyTransitModelGroup,A146,1)=PARAMETERS!$J$10,0.00000110231131*((C160-D160)*PARAMETERS!$CS$28),0)</f>
        <v>0</v>
      </c>
      <c r="AU160" s="863">
        <f>IF(INDEX(HwyTransitModelGroup,A146,1)=PARAMETERS!$J$10,0.00000110231131*((C160-D160)*PARAMETERS!$CT$28),0)</f>
        <v>0</v>
      </c>
      <c r="AV160" s="861">
        <f>IF(INDEX(HwyTransitModelGroup,A146,1)=PARAMETERS!$J$10,0.00000110231131*((C160-D160)*PARAMETERS!$CU$28),0)</f>
        <v>0</v>
      </c>
      <c r="AW160" s="863">
        <f>IF(INDEX(HwyTransitModelGroup,A146,1)=PARAMETERS!$J$10,0.00000110231131*((C160-D160)*PARAMETERS!$CV$28),0)</f>
        <v>0</v>
      </c>
      <c r="AX160" s="861">
        <f>IF(INDEX(HwyTransitModelGroup,A146,1)=PARAMETERS!$J$10,0.00000110231131*((C160-D160)*PARAMETERS!$CW$28),0)</f>
        <v>0</v>
      </c>
      <c r="AY160" s="401">
        <f>IF(INDEX(HwyTransitModelGroup,A146,1)=PARAMETERS!$J$11,0.00000110231131*((C160-D160)*PARAMETERS!$CQ$36),0)</f>
        <v>0</v>
      </c>
      <c r="AZ160" s="863">
        <f>IF(INDEX(HwyTransitModelGroup,A146,1)=PARAMETERS!$J$11,0.00000110231131*((C160-D160)*PARAMETERS!$CR$36),0)</f>
        <v>0</v>
      </c>
      <c r="BA160" s="861">
        <f>IF(INDEX(HwyTransitModelGroup,A146,1)=PARAMETERS!$J$11,0.00000110231131*((C160-D160)*PARAMETERS!$CS$36),0)</f>
        <v>0</v>
      </c>
      <c r="BB160" s="863">
        <f>IF(INDEX(HwyTransitModelGroup,A146,1)=PARAMETERS!$J$11,0.00000110231131*((C160-D160)*PARAMETERS!$CT$36),0)</f>
        <v>0</v>
      </c>
      <c r="BC160" s="861">
        <f>IF(INDEX(HwyTransitModelGroup,A146,1)=PARAMETERS!$J$11,0.00000110231131*((C160-D160)*PARAMETERS!$CU$36),0)</f>
        <v>0</v>
      </c>
      <c r="BD160" s="863">
        <f>IF(INDEX(HwyTransitModelGroup,A146,1)=PARAMETERS!$J$11,0.00000110231131*((C160-D160)*PARAMETERS!$CV$36),0)</f>
        <v>0</v>
      </c>
      <c r="BE160" s="865">
        <f>IF(INDEX(HwyTransitModelGroup,A146,1)=PARAMETERS!$J$11,0.00000110231131*((C160-D160)*PARAMETERS!$CW$36),0)</f>
        <v>0</v>
      </c>
      <c r="BF160" s="729">
        <f t="shared" si="66"/>
        <v>64.086762751086397</v>
      </c>
      <c r="BG160" s="867">
        <f t="shared" si="67"/>
        <v>41673.757774536003</v>
      </c>
      <c r="BH160" s="867">
        <f t="shared" si="68"/>
        <v>7424.1182795178802</v>
      </c>
      <c r="BI160" s="867">
        <f t="shared" si="69"/>
        <v>1163.8266121145839</v>
      </c>
      <c r="BJ160" s="867">
        <f t="shared" si="70"/>
        <v>414.63317364152226</v>
      </c>
      <c r="BK160" s="869">
        <f t="shared" si="71"/>
        <v>26.896722226477561</v>
      </c>
      <c r="BL160" s="431"/>
      <c r="BN160" s="375">
        <f>YearOpen</f>
        <v>2026</v>
      </c>
      <c r="BO160" s="870">
        <f t="shared" ref="BO160:BO179" ca="1" si="74">OFFSET($AG9,MATCH(BO$156,$A:$A),0)+OFFSET($AN9,MATCH(BO$156,$A:$A),0)+OFFSET($AU9,MATCH(BO$156,$A:$A),0)+OFFSET($BB9,MATCH(BO$156,$A:$A),0)</f>
        <v>1.0843160778642506E-4</v>
      </c>
      <c r="BP160" s="870">
        <f t="shared" ref="BP160:BT169" ca="1" si="75">OFFSET($AG9,MATCH(BP$156,$A:$A),0)+OFFSET($AN9,MATCH(BP$156,$A:$A),0)+OFFSET($AU9,MATCH(BP$156,$A:$A),0)+OFFSET($BB9,MATCH(BP$156,$A:$A),0)</f>
        <v>-1.5192334461492721E-4</v>
      </c>
      <c r="BQ160" s="870">
        <f t="shared" ca="1" si="75"/>
        <v>1.4415972196614498E-4</v>
      </c>
      <c r="BR160" s="870">
        <f t="shared" ca="1" si="75"/>
        <v>-3.0704113669991454E-3</v>
      </c>
      <c r="BS160" s="870">
        <f t="shared" ca="1" si="75"/>
        <v>1.1091287703497113E-2</v>
      </c>
      <c r="BT160" s="870">
        <f t="shared" ca="1" si="75"/>
        <v>1.648679300696524E-2</v>
      </c>
    </row>
    <row r="161" spans="2:72" x14ac:dyDescent="0.25">
      <c r="B161" s="375">
        <f t="shared" si="72"/>
        <v>2032</v>
      </c>
      <c r="C161" s="401">
        <f>MAX(TREND(C152:C153,B152:B153,B161),0)</f>
        <v>19929474.5</v>
      </c>
      <c r="D161" s="402">
        <f>MAX(TREND(D152:D153,B152:B153,B161),0)</f>
        <v>18218683</v>
      </c>
      <c r="E161" s="401">
        <f>MAX(TREND(E152:E153,B152:B153,B161),0)</f>
        <v>287620</v>
      </c>
      <c r="F161" s="402">
        <f>MAX(TREND(F152:F153,B152:B153,B161),0)</f>
        <v>262289</v>
      </c>
      <c r="G161" s="401">
        <f>MAX(TREND(G152:G153,B152:B153,B161),0)</f>
        <v>0</v>
      </c>
      <c r="H161" s="402">
        <f>MAX(TREND(H152:H153,B152:B153,B161),0)</f>
        <v>0</v>
      </c>
      <c r="I161" s="401">
        <f>MAX(TREND(I152:I153,B152:B153,B161),0)</f>
        <v>0</v>
      </c>
      <c r="J161" s="402">
        <f>MAX(TREND(J152:J153,B152:B153,B161),0)</f>
        <v>0</v>
      </c>
      <c r="K161" s="435">
        <f>IFERROR(IF(INDEX(HwyTransitModelGroup,A146,1)=Hwy,MAX(5,ROUND(C161/E161,1)),MAX(5,ROUND(G161/I161,1))),55)</f>
        <v>69.3</v>
      </c>
      <c r="L161" s="436">
        <f>IFERROR(IF(INDEX(HwyTransitModelGroup,A146,1)=Hwy,MAX(5,ROUND(D161/F161,1)),MAX(5,ROUND(H161/J161,1))),55)</f>
        <v>69.5</v>
      </c>
      <c r="M161" s="405">
        <f>MIN(MAX(TREND(M152:M153,B152:B153,B161),0),1)</f>
        <v>0.24</v>
      </c>
      <c r="N161" s="406">
        <f>MIN(MAX(TREND(N152:N153,B152:B153,B161),0),1)</f>
        <v>0.24</v>
      </c>
      <c r="O161" s="401">
        <f>MAX(TREND(O152:O153,B152:B153,B161),0)</f>
        <v>0</v>
      </c>
      <c r="P161" s="402">
        <f>MAX(TREND(P152:P153,B152:B153,B161),0)</f>
        <v>0</v>
      </c>
      <c r="Q161" s="729">
        <f>IF(INDEX(HwyTransitModelGroup,A146,1)=Hwy,C161*(1-M161)*0.00000110231131*(VLOOKUP(K161,EmAuto1,2)*VLOOKUP(ProjLoc,EmCost,2)+VLOOKUP(K161,EmAuto1,3)*VLOOKUP(ProjLoc,EmCost,3)*(1+CO2Uprater)^($B161-YearCurrent)+VLOOKUP(K161,EmAuto1,4)*VLOOKUP(ProjLoc,EmCost,4)+VLOOKUP(K161,EmAuto1,5)*VLOOKUP(ProjLoc,EmCost,5)+VLOOKUP(K161,EmAuto1,6)*VLOOKUP(ProjLoc,EmCost,6)+VLOOKUP(K161,EmAuto1,7)*VLOOKUP(ProjLoc,EmCost,7))+C161*M161*0.00000110231131*(VLOOKUP(K161,EmTruck1,2)*VLOOKUP(ProjLoc,EmCost,2)+VLOOKUP(K161,EmTruck1,3)*VLOOKUP(ProjLoc,EmCost,3)*(1+CO2Uprater)^($B161-YearCurrent)+VLOOKUP(K161,EmTruck1,4)*VLOOKUP(ProjLoc,EmCost,4)+VLOOKUP(K161,EmTruck1,5)*VLOOKUP(ProjLoc,EmCost,5)+VLOOKUP(K161,EmTruck1,6)*VLOOKUP(ProjLoc,EmCost,6)+VLOOKUP(K161,EmTruck1,7)*VLOOKUP(ProjLoc,EmCost,7)),0)</f>
        <v>892977.56196114141</v>
      </c>
      <c r="R161" s="802">
        <f>IF(INDEX(HwyTransitModelGroup,A146,1)=Hwy,D161*(1-N161)*0.00000110231131*(VLOOKUP(L161,EmAuto1,2)*VLOOKUP(ProjLoc,EmCost,2)+VLOOKUP(L161,EmAuto1,3)*VLOOKUP(ProjLoc,EmCost,3)*(1+CO2Uprater)^($B161-YearCurrent)+VLOOKUP(L161,EmAuto1,4)*VLOOKUP(ProjLoc,EmCost,4)+VLOOKUP(L161,EmAuto1,5)*VLOOKUP(ProjLoc,EmCost,5)+VLOOKUP(L161,EmAuto1,6)*VLOOKUP(ProjLoc,EmCost,6)+VLOOKUP(L161,EmAuto1,7)*VLOOKUP(ProjLoc,EmCost,7))+D161*N161*0.00000110231131*(VLOOKUP(L161,EmTruck1,2)*VLOOKUP(ProjLoc,EmCost,2)+VLOOKUP(L161,EmTruck1,3)*VLOOKUP(ProjLoc,EmCost,3)*(1+CO2Uprater)^($B161-YearCurrent)+VLOOKUP(L161,EmTruck1,4)*VLOOKUP(ProjLoc,EmCost,4)+VLOOKUP(L161,EmTruck1,5)*VLOOKUP(ProjLoc,EmCost,5)+VLOOKUP(L161,EmTruck1,6)*VLOOKUP(ProjLoc,EmCost,6)+VLOOKUP(L161,EmTruck1,7)*VLOOKUP(ProjLoc,EmCost,7)),0)</f>
        <v>816322.33341039135</v>
      </c>
      <c r="S161" s="729">
        <f>IF(INDEX(HwyTransitModelGroup,A146,1)=Hwy,O161*(1-M161)*0.00000110231131*(VLOOKUP(0,EmAuto1,2)*VLOOKUP(ProjLoc,EmCost,2)+VLOOKUP(0,EmAuto1,3)*VLOOKUP(ProjLoc,EmCost,3)*(1+CO2Uprater)^($B161-YearCurrent)+VLOOKUP(0,EmAuto1,4)*VLOOKUP(ProjLoc,EmCost,4)+VLOOKUP(0,EmAuto1,5)*VLOOKUP(ProjLoc,EmCost,5)+VLOOKUP(0,EmAuto1,6)*VLOOKUP(ProjLoc,EmCost,6)+VLOOKUP(0,EmAuto1,7)*VLOOKUP(ProjLoc,EmCost,7))+O161*M161*0.00000110231131*(VLOOKUP(0,EmTruck1,2)*VLOOKUP(ProjLoc,EmCost,2)+VLOOKUP(0,EmTruck1,3)*VLOOKUP(ProjLoc,EmCost,3)*(1+CO2Uprater)^($B161-YearCurrent)+VLOOKUP(0,EmTruck1,4)*VLOOKUP(ProjLoc,EmCost,4)+VLOOKUP(0,EmTruck1,5)*VLOOKUP(ProjLoc,EmCost,5)+VLOOKUP(0,EmTruck1,6)*VLOOKUP(ProjLoc,EmCost,6)+VLOOKUP(0,EmTruck1,7)*VLOOKUP(ProjLoc,EmCost,7)),0)</f>
        <v>0</v>
      </c>
      <c r="T161" s="802">
        <f>IF(INDEX(HwyTransitModelGroup,A146,1)=Hwy,P161*(1-N161)*0.00000110231131*(VLOOKUP(0,EmAuto1,2)*VLOOKUP(ProjLoc,EmCost,2)+VLOOKUP(0,EmAuto1,3)*VLOOKUP(ProjLoc,EmCost,3)*(1+CO2Uprater)^($B161-YearCurrent)+VLOOKUP(0,EmAuto1,4)*VLOOKUP(ProjLoc,EmCost,4)+VLOOKUP(0,EmAuto1,5)*VLOOKUP(ProjLoc,EmCost,5)+VLOOKUP(0,EmAuto1,6)*VLOOKUP(ProjLoc,EmCost,6)+VLOOKUP(0,EmAuto1,7)*VLOOKUP(ProjLoc,EmCost,7))+P161*N161*0.00000110231131*(VLOOKUP(0,EmTruck1,2)*VLOOKUP(ProjLoc,EmCost,2)+VLOOKUP(0,EmTruck1,3)*VLOOKUP(ProjLoc,EmCost,3)*(1+CO2Uprater)^($B161-YearCurrent)+VLOOKUP(0,EmTruck1,4)*VLOOKUP(ProjLoc,EmCost,4)+VLOOKUP(0,EmTruck1,5)*VLOOKUP(ProjLoc,EmCost,5)+VLOOKUP(0,EmTruck1,6)*VLOOKUP(ProjLoc,EmCost,6)+VLOOKUP(0,EmTruck1,7)*VLOOKUP(ProjLoc,EmCost,7)),0)</f>
        <v>0</v>
      </c>
      <c r="U161" s="729">
        <f>IF(INDEX(HwyTransitModelGroup,A146,1)=PARAMETERS!$J$9,C161*0.00000110231131*(VLOOKUP(K161,EmBus1,2)*VLOOKUP(ProjLoc,EmCost,2)+VLOOKUP(K161,EmBus1,3)*VLOOKUP(ProjLoc,EmCost,3)*(1+CO2Uprater)^($B161-YearCurrent)+VLOOKUP(K161,EmBus1,4)*VLOOKUP(ProjLoc,EmCost,4)+VLOOKUP(K161,EmBus1,5)*VLOOKUP(ProjLoc,EmCost,5)+VLOOKUP(K161,EmBus1,6)*VLOOKUP(ProjLoc,EmCost,6)+VLOOKUP(K161,EmBus1,7)*VLOOKUP(ProjLoc,EmCost,7)),0)</f>
        <v>0</v>
      </c>
      <c r="V161" s="802">
        <f>IF(INDEX(HwyTransitModelGroup,A146,1)=PARAMETERS!$J$9,D161*0.00000110231131*(VLOOKUP(L161,EmBus1,2)*VLOOKUP(ProjLoc,EmCost,2)+VLOOKUP(L161,EmBus1,3)*VLOOKUP(ProjLoc,EmCost,3)*(1+CO2Uprater)^($B161-YearCurrent)+VLOOKUP(L161,EmBus1,4)*VLOOKUP(ProjLoc,EmCost,4)+VLOOKUP(L161,EmBus1,5)*VLOOKUP(ProjLoc,EmCost,5)+VLOOKUP(L161,EmBus1,6)*VLOOKUP(ProjLoc,EmCost,6)+VLOOKUP(L161,EmBus1,7)*VLOOKUP(ProjLoc,EmCost,7)),0)</f>
        <v>0</v>
      </c>
      <c r="W161" s="808">
        <f>IF(INDEX(HwyTransitModelGroup,A146,1)=PARAMETERS!$J$10,C161*0.00000110231131*(PARAMETERS!$CQ$28*VLOOKUP(ProjLoc,EmCost,2)+PARAMETERS!$CR$28*VLOOKUP(ProjLoc,EmCost,3)*(1+CO2Uprater)^($B161-YearCurrent)+PARAMETERS!$CS$28*VLOOKUP(ProjLoc,EmCost,4)+PARAMETERS!$CT$28*VLOOKUP(ProjLoc,EmCost,5)+PARAMETERS!$CU$28*VLOOKUP(ProjLoc,EmCost,6)+PARAMETERS!$CV$28*VLOOKUP(ProjLoc,EmCost,7)),0)</f>
        <v>0</v>
      </c>
      <c r="X161" s="844">
        <f>IF(INDEX(HwyTransitModelGroup,A146,1)=PARAMETERS!$J$10,D161*0.00000110231131*(PARAMETERS!$CQ$28*VLOOKUP(ProjLoc,EmCost,2)+PARAMETERS!$CR$28*VLOOKUP(ProjLoc,EmCost,3)*(1+CO2Uprater)^($B161-YearCurrent)+PARAMETERS!$CS$28*VLOOKUP(ProjLoc,EmCost,4)+PARAMETERS!$CT$28*VLOOKUP(ProjLoc,EmCost,5)+PARAMETERS!$CU$28*VLOOKUP(ProjLoc,EmCost,6)+PARAMETERS!$CV$28*VLOOKUP(ProjLoc,EmCost,7)),0)</f>
        <v>0</v>
      </c>
      <c r="Y161" s="808">
        <f>IF(INDEX(HwyTransitModelGroup,A146,1)=PARAMETERS!$J$11,C161*0.00000110231131*(PARAMETERS!$CQ$36*VLOOKUP(ProjLoc,EmCost,2)+PARAMETERS!$CR$36*VLOOKUP(ProjLoc,EmCost,3)*(1+CO2Uprater)^($B161-YearCurrent)+PARAMETERS!$CS$36*VLOOKUP(ProjLoc,EmCost,4)+PARAMETERS!$CT$36*VLOOKUP(ProjLoc,EmCost,5)+PARAMETERS!$CU$36*VLOOKUP(ProjLoc,EmCost,6)+PARAMETERS!$CV$36*VLOOKUP(ProjLoc,EmCost,7)),0)</f>
        <v>0</v>
      </c>
      <c r="Z161" s="844">
        <f>IF(INDEX(HwyTransitModelGroup,A146,1)=PARAMETERS!$J$11,D161*0.00000110231131*(PARAMETERS!$CQ$36*VLOOKUP(ProjLoc,EmCost,2)+PARAMETERS!$CR$36*VLOOKUP(ProjLoc,EmCost,3)*(1+CO2Uprater)^($B161-YearCurrent)+PARAMETERS!$CS$36*VLOOKUP(ProjLoc,EmCost,4)+PARAMETERS!$CT$36*VLOOKUP(ProjLoc,EmCost,5)+PARAMETERS!$CU$36*VLOOKUP(ProjLoc,EmCost,6)+PARAMETERS!$CV$36*VLOOKUP(ProjLoc,EmCost,7)),0)</f>
        <v>0</v>
      </c>
      <c r="AA161" s="369">
        <f t="shared" si="64"/>
        <v>76655.228550750064</v>
      </c>
      <c r="AB161" s="370">
        <f t="shared" si="65"/>
        <v>51785.525762039091</v>
      </c>
      <c r="AC161" s="371"/>
      <c r="AD161" s="401">
        <f>IF(INDEX(HwyTransitModelGroup,A146,1)=Hwy,0.00000110231131*(C161*(1-M161)*VLOOKUP(K161,EmAuto1,2)-D161*(1-N161)*VLOOKUP(L161,EmAuto1,2)+(O161*(1-M161)-P161*(1-N161))*VLOOKUP(0,EmAuto1,2))+0.00000110231131*(C161*M161*VLOOKUP(K161,EmTruck1,2)-D161*N161*VLOOKUP(L161,EmTruck1,2)+(O161*M161-P161*N161)*VLOOKUP(0,EmTruck1,2)),0)</f>
        <v>1.1900459806970132</v>
      </c>
      <c r="AE161" s="863">
        <f>IF(INDEX(HwyTransitModelGroup,A146,1)=Hwy,0.00000110231131*(C161*(1-M161)*VLOOKUP(K161,EmAuto1,3)-D161*(1-N161)*VLOOKUP(L161,EmAuto1,3)+(O161*(1-M161)-P161*(1-N161))*VLOOKUP(0,EmAuto1,3))+0.00000110231131*(C161*M161*VLOOKUP(K161,EmTruck1,3)-D161*N161*VLOOKUP(L161,EmTruck1,3)+(O161*M161-P161*N161)*VLOOKUP(0,EmTruck1,3)),0)</f>
        <v>1079.2082939999318</v>
      </c>
      <c r="AF161" s="861">
        <f>IF(INDEX(HwyTransitModelGroup,A146,1)=Hwy,0.00000110231131*(C161*(1-M161)*VLOOKUP(K161,EmAuto1,4)-D161*(1-N161)*VLOOKUP(L161,EmAuto1,4)+(O161*(1-M161)-P161*(1-N161))*VLOOKUP(0,EmAuto1,4))+0.00000110231131*(C161*M161*VLOOKUP(K161,EmTruck1,4)-D161*N161*VLOOKUP(L161,EmTruck1,4)+(O161*M161-P161*N161)*VLOOKUP(0,EmTruck1,4)),0)</f>
        <v>0.73038749589234997</v>
      </c>
      <c r="AG161" s="863">
        <f>IF(INDEX(HwyTransitModelGroup,A146,1)=Hwy,0.00000110231131*(C161*(1-M161)*VLOOKUP(K161,EmAuto1,5)-D161*(1-N161)*VLOOKUP(L161,EmAuto1,5)+(O161*(1-M161)-P161*(1-N161))*VLOOKUP(0,EmAuto1,5))+0.00000110231131*(C161*M161*VLOOKUP(K161,EmTruck1,5)-D161*N161*VLOOKUP(L161,EmTruck1,5)+(O161*M161-P161*N161)*VLOOKUP(0,EmTruck1,5)),0)</f>
        <v>1.4815039782006663E-2</v>
      </c>
      <c r="AH161" s="861">
        <f>IF(INDEX(HwyTransitModelGroup,A146,1)=Hwy,0.00000110231131*(C161*(1-M161)*VLOOKUP(K161,EmAuto1,6)-D161*(1-N161)*VLOOKUP(L161,EmAuto1,6)+(O161*(1-M161)-P161*(1-N161))*VLOOKUP(0,EmAuto1,6))+0.00000110231131*(C161*M161*VLOOKUP(K161,EmTruck1,6)-D161*N161*VLOOKUP(L161,EmTruck1,6)+(O161*M161-P161*N161)*VLOOKUP(0,EmTruck1,6)),0)</f>
        <v>1.0439926200762336E-2</v>
      </c>
      <c r="AI161" s="863">
        <f>IF(INDEX(HwyTransitModelGroup,A146,1)=Hwy,0.00000110231131*(C161*(1-M161)*VLOOKUP(K161,EmAuto1,7)-D161*(1-N161)*VLOOKUP(L161,EmAuto1,7)+(O161*(1-M161)-P161*(1-N161))*VLOOKUP(0,EmAuto1,7))+0.00000110231131*(C161*M161*VLOOKUP(K161,EmTruck1,7)-D161*N161*VLOOKUP(L161,EmTruck1,7)+(O161*M161-P161*N161)*VLOOKUP(0,EmTruck1,7)),0)</f>
        <v>3.599662415465163E-2</v>
      </c>
      <c r="AJ161" s="861">
        <f>IF(INDEX(HwyTransitModelGroup,A146,1)=Hwy,0.00000110231131*(C161*(1-M161)*VLOOKUP(K161,EmAuto1,8)-D161*(1-N161)*VLOOKUP(L161,EmAuto1,8)+(O161*(1-M161)-P161*(1-N161))*VLOOKUP(0,EmAuto1,8))+0.00000110231131*(C161*M161*VLOOKUP(K161,EmTruck1,8)-D161*N161*VLOOKUP(L161,EmTruck1,8)+(O161*M161-P161*N161)*VLOOKUP(0,EmTruck1,8)),0)</f>
        <v>1.412859954770797E-2</v>
      </c>
      <c r="AK161" s="401">
        <f>IF(INDEX(HwyTransitModelGroup,A146,1)=PARAMETERS!$J$9,0.00000110231131*(C161*VLOOKUP(K161,EmBus1,2)-D161*VLOOKUP(L161,EmBus1,2)+(O161-P161)*VLOOKUP(0,EmBus1,2)),0)</f>
        <v>0</v>
      </c>
      <c r="AL161" s="863">
        <f>IF(INDEX(HwyTransitModelGroup,A146,1)=PARAMETERS!$J$9,0.00000110231131*(C161*VLOOKUP(K161,EmBus1,3)-D161*VLOOKUP(L161,EmBus1,3)+(O161-P161)*VLOOKUP(0,EmBus1,3)),0)</f>
        <v>0</v>
      </c>
      <c r="AM161" s="861">
        <f>IF(INDEX(HwyTransitModelGroup,A146,1)=PARAMETERS!$J$9,0.00000110231131*(C161*VLOOKUP(K161,EmBus1,4)-D161*VLOOKUP(L161,EmBus1,4)+(O161-P161)*VLOOKUP(0,EmBus1,4)),0)</f>
        <v>0</v>
      </c>
      <c r="AN161" s="863">
        <f>IF(INDEX(HwyTransitModelGroup,A146,1)=PARAMETERS!$J$9,0.00000110231131*(C161*VLOOKUP(K161,EmBus1,5)-D161*VLOOKUP(L161,EmBus1,5)+(O161-P161)*VLOOKUP(0,EmBus1,5)),0)</f>
        <v>0</v>
      </c>
      <c r="AO161" s="861">
        <f>IF(INDEX(HwyTransitModelGroup,A146,1)=PARAMETERS!$J$9,0.00000110231131*(C161*VLOOKUP(K161,EmBus1,6)-D161*VLOOKUP(L161,EmBus1,6)+(O161-P161)*VLOOKUP(0,EmBus1,6)),0)</f>
        <v>0</v>
      </c>
      <c r="AP161" s="863">
        <f>IF(INDEX(HwyTransitModelGroup,A146,1)=PARAMETERS!$J$9,0.00000110231131*(C161*VLOOKUP(K161,EmBus1,7)-D161*VLOOKUP(L161,EmBus1,7)+(O161-P161)*VLOOKUP(0,EmBus1,7)),0)</f>
        <v>0</v>
      </c>
      <c r="AQ161" s="861">
        <f>IF(INDEX(HwyTransitModelGroup,A146,1)=PARAMETERS!$J$9,0.00000110231131*(C161*VLOOKUP(K161,EmBus1,8)-D161*VLOOKUP(L161,EmBus1,8)+(O161-P161)*VLOOKUP(0,EmBus1,8)),0)</f>
        <v>0</v>
      </c>
      <c r="AR161" s="401">
        <f>IF(INDEX(HwyTransitModelGroup,A146,1)=PARAMETERS!$J$10,0.00000110231131*((C161-D161)*PARAMETERS!$CQ$28),0)</f>
        <v>0</v>
      </c>
      <c r="AS161" s="863">
        <f>IF(INDEX(HwyTransitModelGroup,A146,1)=PARAMETERS!$J$10,0.00000110231131*((C161-D161)*PARAMETERS!$CR$28),0)</f>
        <v>0</v>
      </c>
      <c r="AT161" s="861">
        <f>IF(INDEX(HwyTransitModelGroup,A146,1)=PARAMETERS!$J$10,0.00000110231131*((C161-D161)*PARAMETERS!$CS$28),0)</f>
        <v>0</v>
      </c>
      <c r="AU161" s="863">
        <f>IF(INDEX(HwyTransitModelGroup,A146,1)=PARAMETERS!$J$10,0.00000110231131*((C161-D161)*PARAMETERS!$CT$28),0)</f>
        <v>0</v>
      </c>
      <c r="AV161" s="861">
        <f>IF(INDEX(HwyTransitModelGroup,A146,1)=PARAMETERS!$J$10,0.00000110231131*((C161-D161)*PARAMETERS!$CU$28),0)</f>
        <v>0</v>
      </c>
      <c r="AW161" s="863">
        <f>IF(INDEX(HwyTransitModelGroup,A146,1)=PARAMETERS!$J$10,0.00000110231131*((C161-D161)*PARAMETERS!$CV$28),0)</f>
        <v>0</v>
      </c>
      <c r="AX161" s="861">
        <f>IF(INDEX(HwyTransitModelGroup,A146,1)=PARAMETERS!$J$10,0.00000110231131*((C161-D161)*PARAMETERS!$CW$28),0)</f>
        <v>0</v>
      </c>
      <c r="AY161" s="401">
        <f>IF(INDEX(HwyTransitModelGroup,A146,1)=PARAMETERS!$J$11,0.00000110231131*((C161-D161)*PARAMETERS!$CQ$36),0)</f>
        <v>0</v>
      </c>
      <c r="AZ161" s="863">
        <f>IF(INDEX(HwyTransitModelGroup,A146,1)=PARAMETERS!$J$11,0.00000110231131*((C161-D161)*PARAMETERS!$CR$36),0)</f>
        <v>0</v>
      </c>
      <c r="BA161" s="861">
        <f>IF(INDEX(HwyTransitModelGroup,A146,1)=PARAMETERS!$J$11,0.00000110231131*((C161-D161)*PARAMETERS!$CS$36),0)</f>
        <v>0</v>
      </c>
      <c r="BB161" s="863">
        <f>IF(INDEX(HwyTransitModelGroup,A146,1)=PARAMETERS!$J$11,0.00000110231131*((C161-D161)*PARAMETERS!$CT$36),0)</f>
        <v>0</v>
      </c>
      <c r="BC161" s="861">
        <f>IF(INDEX(HwyTransitModelGroup,A146,1)=PARAMETERS!$J$11,0.00000110231131*((C161-D161)*PARAMETERS!$CU$36),0)</f>
        <v>0</v>
      </c>
      <c r="BD161" s="863">
        <f>IF(INDEX(HwyTransitModelGroup,A146,1)=PARAMETERS!$J$11,0.00000110231131*((C161-D161)*PARAMETERS!$CV$36),0)</f>
        <v>0</v>
      </c>
      <c r="BE161" s="865">
        <f>IF(INDEX(HwyTransitModelGroup,A146,1)=PARAMETERS!$J$11,0.00000110231131*((C161-D161)*PARAMETERS!$CW$36),0)</f>
        <v>0</v>
      </c>
      <c r="BF161" s="729">
        <f t="shared" si="66"/>
        <v>64.316193905124805</v>
      </c>
      <c r="BG161" s="867">
        <f t="shared" si="67"/>
        <v>42659.409184333599</v>
      </c>
      <c r="BH161" s="867">
        <f t="shared" si="68"/>
        <v>7450.6966859074028</v>
      </c>
      <c r="BI161" s="867">
        <f t="shared" si="69"/>
        <v>1167.9931212540034</v>
      </c>
      <c r="BJ161" s="867">
        <f t="shared" si="70"/>
        <v>416.11756391882039</v>
      </c>
      <c r="BK161" s="869">
        <f t="shared" si="71"/>
        <v>26.993012720104801</v>
      </c>
      <c r="BL161" s="431"/>
      <c r="BN161" s="375">
        <f>BN160+1</f>
        <v>2027</v>
      </c>
      <c r="BO161" s="871">
        <f t="shared" ca="1" si="74"/>
        <v>8.3576830157458727E-5</v>
      </c>
      <c r="BP161" s="871">
        <f t="shared" ca="1" si="75"/>
        <v>-1.5482609295457852E-4</v>
      </c>
      <c r="BQ161" s="871">
        <f t="shared" ca="1" si="75"/>
        <v>1.4687851879900535E-4</v>
      </c>
      <c r="BR161" s="871">
        <f t="shared" ca="1" si="75"/>
        <v>-3.1097041652555476E-3</v>
      </c>
      <c r="BS161" s="871">
        <f t="shared" ca="1" si="75"/>
        <v>1.1711913049915351E-2</v>
      </c>
      <c r="BT161" s="871">
        <f t="shared" ca="1" si="75"/>
        <v>1.6992048732073231E-2</v>
      </c>
    </row>
    <row r="162" spans="2:72" x14ac:dyDescent="0.25">
      <c r="B162" s="375">
        <f t="shared" si="72"/>
        <v>2033</v>
      </c>
      <c r="C162" s="401">
        <f>MAX(TREND(C152:C153,B152:B153,B162),0)</f>
        <v>20177875.25</v>
      </c>
      <c r="D162" s="402">
        <f>MAX(TREND(D152:D153,B152:B153,B162),0)</f>
        <v>18395416</v>
      </c>
      <c r="E162" s="401">
        <f>MAX(TREND(E152:E153,B152:B153,B162),0)</f>
        <v>291270</v>
      </c>
      <c r="F162" s="402">
        <f>MAX(TREND(F152:F153,B152:B153,B162),0)</f>
        <v>264880.5</v>
      </c>
      <c r="G162" s="401">
        <f>MAX(TREND(G152:G153,B152:B153,B162),0)</f>
        <v>0</v>
      </c>
      <c r="H162" s="402">
        <f>MAX(TREND(H152:H153,B152:B153,B162),0)</f>
        <v>0</v>
      </c>
      <c r="I162" s="401">
        <f>MAX(TREND(I152:I153,B152:B153,B162),0)</f>
        <v>0</v>
      </c>
      <c r="J162" s="402">
        <f>MAX(TREND(J152:J153,B152:B153,B162),0)</f>
        <v>0</v>
      </c>
      <c r="K162" s="435">
        <f>IFERROR(IF(INDEX(HwyTransitModelGroup,A146,1)=Hwy,MAX(5,ROUND(C162/E162,1)),MAX(5,ROUND(G162/I162,1))),55)</f>
        <v>69.3</v>
      </c>
      <c r="L162" s="436">
        <f>IFERROR(IF(INDEX(HwyTransitModelGroup,A146,1)=Hwy,MAX(5,ROUND(D162/F162,1)),MAX(5,ROUND(H162/J162,1))),55)</f>
        <v>69.400000000000006</v>
      </c>
      <c r="M162" s="405">
        <f>MIN(MAX(TREND(M152:M153,B152:B153,B162),0),1)</f>
        <v>0.24</v>
      </c>
      <c r="N162" s="406">
        <f>MIN(MAX(TREND(N152:N153,B152:B153,B162),0),1)</f>
        <v>0.24</v>
      </c>
      <c r="O162" s="401">
        <f>MAX(TREND(O152:O153,B152:B153,B162),0)</f>
        <v>0</v>
      </c>
      <c r="P162" s="402">
        <f>MAX(TREND(P152:P153,B152:B153,B162),0)</f>
        <v>0</v>
      </c>
      <c r="Q162" s="729">
        <f>IF(INDEX(HwyTransitModelGroup,A146,1)=Hwy,C162*(1-M162)*0.00000110231131*(VLOOKUP(K162,EmAuto20,2)*VLOOKUP(ProjLoc,EmCost,2)+VLOOKUP(K162,EmAuto20,3)*VLOOKUP(ProjLoc,EmCost,3)*(1+CO2Uprater)^($B162-YearCurrent)+VLOOKUP(K162,EmAuto20,4)*VLOOKUP(ProjLoc,EmCost,4)+VLOOKUP(K162,EmAuto20,5)*VLOOKUP(ProjLoc,EmCost,5)+VLOOKUP(K162,EmAuto20,6)*VLOOKUP(ProjLoc,EmCost,6)+VLOOKUP(K162,EmAuto20,7)*VLOOKUP(ProjLoc,EmCost,7))+C162*M162*0.00000110231131*(VLOOKUP(K162,EmTruck20,2)*VLOOKUP(ProjLoc,EmCost,2)+VLOOKUP(K162,EmTruck20,3)*VLOOKUP(ProjLoc,EmCost,3)*(1+CO2Uprater)^($B162-YearCurrent)+VLOOKUP(K162,EmTruck20,4)*VLOOKUP(ProjLoc,EmCost,4)+VLOOKUP(K162,EmTruck20,5)*VLOOKUP(ProjLoc,EmCost,5)+VLOOKUP(K162,EmTruck20,6)*VLOOKUP(ProjLoc,EmCost,6)+VLOOKUP(K162,EmTruck20,7)*VLOOKUP(ProjLoc,EmCost,7)),0)</f>
        <v>680198.83763483609</v>
      </c>
      <c r="R162" s="802">
        <f>IF(INDEX(HwyTransitModelGroup,A146,1)=Hwy,D162*(1-N162)*0.00000110231131*(VLOOKUP(L162,EmAuto20,2)*VLOOKUP(ProjLoc,EmCost,2)+VLOOKUP(L162,EmAuto20,3)*VLOOKUP(ProjLoc,EmCost,3)*(1+CO2Uprater)^($B162-YearCurrent)+VLOOKUP(L162,EmAuto20,4)*VLOOKUP(ProjLoc,EmCost,4)+VLOOKUP(L162,EmAuto20,5)*VLOOKUP(ProjLoc,EmCost,5)+VLOOKUP(L162,EmAuto20,6)*VLOOKUP(ProjLoc,EmCost,6)+VLOOKUP(L162,EmAuto20,7)*VLOOKUP(ProjLoc,EmCost,7))+D162*N162*0.00000110231131*(VLOOKUP(L162,EmTruck20,2)*VLOOKUP(ProjLoc,EmCost,2)+VLOOKUP(L162,EmTruck20,3)*VLOOKUP(ProjLoc,EmCost,3)*(1+CO2Uprater)^($B162-YearCurrent)+VLOOKUP(L162,EmTruck20,4)*VLOOKUP(ProjLoc,EmCost,4)+VLOOKUP(L162,EmTruck20,5)*VLOOKUP(ProjLoc,EmCost,5)+VLOOKUP(L162,EmTruck20,6)*VLOOKUP(ProjLoc,EmCost,6)+VLOOKUP(L162,EmTruck20,7)*VLOOKUP(ProjLoc,EmCost,7)),0)</f>
        <v>620111.90107884468</v>
      </c>
      <c r="S162" s="729">
        <f>IF(INDEX(HwyTransitModelGroup,A146,1)=Hwy,O162*(1-M162)*0.00000110231131*(VLOOKUP(0,EmAuto20,2)*VLOOKUP(ProjLoc,EmCost,2)+VLOOKUP(0,EmAuto20,3)*VLOOKUP(ProjLoc,EmCost,3)*(1+CO2Uprater)^($B162-YearCurrent)+VLOOKUP(0,EmAuto20,4)*VLOOKUP(ProjLoc,EmCost,4)+VLOOKUP(0,EmAuto20,5)*VLOOKUP(ProjLoc,EmCost,5)+VLOOKUP(0,EmAuto20,6)*VLOOKUP(ProjLoc,EmCost,6)+VLOOKUP(0,EmAuto20,7)*VLOOKUP(ProjLoc,EmCost,7))+O162*M162*0.00000110231131*(VLOOKUP(0,EmTruck20,2)*VLOOKUP(ProjLoc,EmCost,2)+VLOOKUP(0,EmTruck20,3)*VLOOKUP(ProjLoc,EmCost,3)*(1+CO2Uprater)^($B162-YearCurrent)+VLOOKUP(0,EmTruck20,4)*VLOOKUP(ProjLoc,EmCost,4)+VLOOKUP(0,EmTruck20,5)*VLOOKUP(ProjLoc,EmCost,5)+VLOOKUP(0,EmTruck20,6)*VLOOKUP(ProjLoc,EmCost,6)+VLOOKUP(0,EmTruck20,7)*VLOOKUP(ProjLoc,EmCost,7)),0)</f>
        <v>0</v>
      </c>
      <c r="T162" s="802">
        <f>IF(INDEX(HwyTransitModelGroup,A146,1)=Hwy,P162*(1-N162)*0.00000110231131*(VLOOKUP(0,EmAuto20,2)*VLOOKUP(ProjLoc,EmCost,2)+VLOOKUP(0,EmAuto20,3)*VLOOKUP(ProjLoc,EmCost,3)*(1+CO2Uprater)^($B162-YearCurrent)+VLOOKUP(0,EmAuto20,4)*VLOOKUP(ProjLoc,EmCost,4)+VLOOKUP(0,EmAuto20,5)*VLOOKUP(ProjLoc,EmCost,5)+VLOOKUP(0,EmAuto20,6)*VLOOKUP(ProjLoc,EmCost,6)+VLOOKUP(0,EmAuto20,7)*VLOOKUP(ProjLoc,EmCost,7))+P162*N162*0.00000110231131*(VLOOKUP(0,EmTruck20,2)*VLOOKUP(ProjLoc,EmCost,2)+VLOOKUP(0,EmTruck20,3)*VLOOKUP(ProjLoc,EmCost,3)*(1+CO2Uprater)^($B162-YearCurrent)+VLOOKUP(0,EmTruck20,4)*VLOOKUP(ProjLoc,EmCost,4)+VLOOKUP(0,EmTruck20,5)*VLOOKUP(ProjLoc,EmCost,5)+VLOOKUP(0,EmTruck20,6)*VLOOKUP(ProjLoc,EmCost,6)+VLOOKUP(0,EmTruck20,7)*VLOOKUP(ProjLoc,EmCost,7)),0)</f>
        <v>0</v>
      </c>
      <c r="U162" s="729">
        <f>IF(INDEX(HwyTransitModelGroup,A146,1)=PARAMETERS!$J$9,C162*0.00000110231131*(VLOOKUP(K162,EmBus20,2)*VLOOKUP(ProjLoc,EmCost,2)+VLOOKUP(K162,EmBus20,3)*VLOOKUP(ProjLoc,EmCost,3)*(1+CO2Uprater)^($B162-YearCurrent)+VLOOKUP(K162,EmBus20,4)*VLOOKUP(ProjLoc,EmCost,4)+VLOOKUP(K162,EmBus20,5)*VLOOKUP(ProjLoc,EmCost,5)+VLOOKUP(K162,EmBus20,6)*VLOOKUP(ProjLoc,EmCost,6)+VLOOKUP(K162,EmBus20,7)*VLOOKUP(ProjLoc,EmCost,7)),0)</f>
        <v>0</v>
      </c>
      <c r="V162" s="802">
        <f>IF(INDEX(HwyTransitModelGroup,A146,1)=PARAMETERS!$J$9,D162*0.00000110231131*(VLOOKUP(L162,EmBus20,2)*VLOOKUP(ProjLoc,EmCost,2)+VLOOKUP(L162,EmBus20,3)*VLOOKUP(ProjLoc,EmCost,3)*(1+CO2Uprater)^($B162-YearCurrent)+VLOOKUP(L162,EmBus20,4)*VLOOKUP(ProjLoc,EmCost,4)+VLOOKUP(L162,EmBus20,5)*VLOOKUP(ProjLoc,EmCost,5)+VLOOKUP(L162,EmBus20,6)*VLOOKUP(ProjLoc,EmCost,6)+VLOOKUP(L162,EmBus20,7)*VLOOKUP(ProjLoc,EmCost,7)),0)</f>
        <v>0</v>
      </c>
      <c r="W162" s="808">
        <f>IF(INDEX(HwyTransitModelGroup,A146,1)=PARAMETERS!$J$10,C162*0.00000110231131*(PARAMETERS!$CQ$29*VLOOKUP(ProjLoc,EmCost,2)+PARAMETERS!$CR$29*VLOOKUP(ProjLoc,EmCost,3)*(1+CO2Uprater)^($B162-YearCurrent)+PARAMETERS!$CS$29*VLOOKUP(ProjLoc,EmCost,4)+PARAMETERS!$CT$29*VLOOKUP(ProjLoc,EmCost,5)+PARAMETERS!$CU$29*VLOOKUP(ProjLoc,EmCost,6)+PARAMETERS!$CV$29*VLOOKUP(ProjLoc,EmCost,7)),0)</f>
        <v>0</v>
      </c>
      <c r="X162" s="844">
        <f>IF(INDEX(HwyTransitModelGroup,A146,1)=PARAMETERS!$J$10,D162*0.00000110231131*(PARAMETERS!$CQ$29*VLOOKUP(ProjLoc,EmCost,2)+PARAMETERS!$CR$29*VLOOKUP(ProjLoc,EmCost,3)*(1+CO2Uprater)^($B162-YearCurrent)+PARAMETERS!$CS$29*VLOOKUP(ProjLoc,EmCost,4)+PARAMETERS!$CT$29*VLOOKUP(ProjLoc,EmCost,5)+PARAMETERS!$CU$29*VLOOKUP(ProjLoc,EmCost,6)+PARAMETERS!$CV$29*VLOOKUP(ProjLoc,EmCost,7)),0)</f>
        <v>0</v>
      </c>
      <c r="Y162" s="808">
        <f>IF(INDEX(HwyTransitModelGroup,A146,1)=PARAMETERS!$J$11,C162*0.00000110231131*(PARAMETERS!$CQ$37*VLOOKUP(ProjLoc,EmCost,2)+PARAMETERS!$CR$37*VLOOKUP(ProjLoc,EmCost,3)*(1+CO2Uprater)^($B162-YearCurrent)+PARAMETERS!$CS$37*VLOOKUP(ProjLoc,EmCost,4)+PARAMETERS!$CT$37*VLOOKUP(ProjLoc,EmCost,5)+PARAMETERS!$CU$37*VLOOKUP(ProjLoc,EmCost,6)+PARAMETERS!$CV$37*VLOOKUP(ProjLoc,EmCost,7)),0)</f>
        <v>0</v>
      </c>
      <c r="Z162" s="844">
        <f>IF(INDEX(HwyTransitModelGroup,A146,1)=PARAMETERS!$J$11,D162*0.00000110231131*(PARAMETERS!$CQ$37*VLOOKUP(ProjLoc,EmCost,2)+PARAMETERS!$CR$37*VLOOKUP(ProjLoc,EmCost,3)*(1+CO2Uprater)^($B162-YearCurrent)+PARAMETERS!$CS$37*VLOOKUP(ProjLoc,EmCost,4)+PARAMETERS!$CT$37*VLOOKUP(ProjLoc,EmCost,5)+PARAMETERS!$CU$37*VLOOKUP(ProjLoc,EmCost,6)+PARAMETERS!$CV$37*VLOOKUP(ProjLoc,EmCost,7)),0)</f>
        <v>0</v>
      </c>
      <c r="AA162" s="369">
        <f t="shared" si="64"/>
        <v>60086.936555991415</v>
      </c>
      <c r="AB162" s="370">
        <f t="shared" si="65"/>
        <v>39031.328222823882</v>
      </c>
      <c r="AC162" s="371"/>
      <c r="AD162" s="401">
        <f>IF(INDEX(HwyTransitModelGroup,A146,1)=Hwy,0.00000110231131*(C162*(1-M162)*VLOOKUP(K162,EmAuto20,2)-D162*(1-N162)*VLOOKUP(L162,EmAuto20,2)+(O162*(1-M162)-P162*(1-N162))*VLOOKUP(0,EmAuto20,2))+0.00000110231131*(C162*M162*VLOOKUP(K162,EmTruck20,2)-D162*N162*VLOOKUP(L162,EmTruck20,2)+(O162*M162-P162*N162)*VLOOKUP(0,EmTruck20,2)),0)</f>
        <v>0.66493607341669458</v>
      </c>
      <c r="AE162" s="863">
        <f>IF(INDEX(HwyTransitModelGroup,A146,1)=Hwy,0.00000110231131*(C162*(1-M162)*VLOOKUP(K162,EmAuto20,3)-D162*(1-N162)*VLOOKUP(L162,EmAuto20,3)+(O162*(1-M162)-P162*(1-N162))*VLOOKUP(0,EmAuto20,3))+0.00000110231131*(C162*M162*VLOOKUP(K162,EmTruck20,3)-D162*N162*VLOOKUP(L162,EmTruck20,3)+(O162*M162-P162*N162)*VLOOKUP(0,EmTruck20,3)),0)</f>
        <v>865.67345603847662</v>
      </c>
      <c r="AF162" s="861">
        <f>IF(INDEX(HwyTransitModelGroup,A146,1)=Hwy,0.00000110231131*(C162*(1-M162)*VLOOKUP(K162,EmAuto20,4)-D162*(1-N162)*VLOOKUP(L162,EmAuto20,4)+(O162*(1-M162)-P162*(1-N162))*VLOOKUP(0,EmAuto20,4))+0.00000110231131*(C162*M162*VLOOKUP(K162,EmTruck20,4)-D162*N162*VLOOKUP(L162,EmTruck20,4)+(O162*M162-P162*N162)*VLOOKUP(0,EmTruck20,4)),0)</f>
        <v>0.4309961507014729</v>
      </c>
      <c r="AG162" s="863">
        <f>IF(INDEX(HwyTransitModelGroup,A146,1)=Hwy,0.00000110231131*(C162*(1-M162)*VLOOKUP(K162,EmAuto20,5)-D162*(1-N162)*VLOOKUP(L162,EmAuto20,5)+(O162*(1-M162)-P162*(1-N162))*VLOOKUP(0,EmAuto20,5))+0.00000110231131*(C162*M162*VLOOKUP(K162,EmTruck20,5)-D162*N162*VLOOKUP(L162,EmTruck20,5)+(O162*M162-P162*N162)*VLOOKUP(0,EmTruck20,5)),0)</f>
        <v>1.1592467446245787E-2</v>
      </c>
      <c r="AH162" s="861">
        <f>IF(INDEX(HwyTransitModelGroup,A146,1)=Hwy,0.00000110231131*(C162*(1-M162)*VLOOKUP(K162,EmAuto20,6)-D162*(1-N162)*VLOOKUP(L162,EmAuto20,6)+(O162*(1-M162)-P162*(1-N162))*VLOOKUP(0,EmAuto20,6))+0.00000110231131*(C162*M162*VLOOKUP(K162,EmTruck20,6)-D162*N162*VLOOKUP(L162,EmTruck20,6)+(O162*M162-P162*N162)*VLOOKUP(0,EmTruck20,6)),0)</f>
        <v>8.3308579613698454E-3</v>
      </c>
      <c r="AI162" s="863">
        <f>IF(INDEX(HwyTransitModelGroup,A146,1)=Hwy,0.00000110231131*(C162*(1-M162)*VLOOKUP(K162,EmAuto20,7)-D162*(1-N162)*VLOOKUP(L162,EmAuto20,7)+(O162*(1-M162)-P162*(1-N162))*VLOOKUP(0,EmAuto20,7))+0.00000110231131*(C162*M162*VLOOKUP(K162,EmTruck20,7)-D162*N162*VLOOKUP(L162,EmTruck20,7)+(O162*M162-P162*N162)*VLOOKUP(0,EmTruck20,7)),0)</f>
        <v>1.4634016532142132E-2</v>
      </c>
      <c r="AJ162" s="861">
        <f>IF(INDEX(HwyTransitModelGroup,A146,1)=Hwy,0.00000110231131*(C162*(1-M162)*VLOOKUP(K162,EmAuto20,8)-D162*(1-N162)*VLOOKUP(L162,EmAuto20,8)+(O162*(1-M162)-P162*(1-N162))*VLOOKUP(0,EmAuto20,8))+0.00000110231131*(C162*M162*VLOOKUP(K162,EmTruck20,8)-D162*N162*VLOOKUP(L162,EmTruck20,8)+(O162*M162-P162*N162)*VLOOKUP(0,EmTruck20,8)),0)</f>
        <v>1.1120909448432404E-2</v>
      </c>
      <c r="AK162" s="401">
        <f>IF(INDEX(HwyTransitModelGroup,A146,1)=PARAMETERS!$J$9,0.00000110231131*(C162*VLOOKUP(K162,EmBus20,2)-D162*VLOOKUP(L162,EmBus20,2)+(O162-P162)*VLOOKUP(0,EmBus20,2)),0)</f>
        <v>0</v>
      </c>
      <c r="AL162" s="863">
        <f>IF(INDEX(HwyTransitModelGroup,A146,1)=PARAMETERS!$J$9,0.00000110231131*(C162*VLOOKUP(K162,EmBus20,3)-D162*VLOOKUP(L162,EmBus20,3)+(O162-P162)*VLOOKUP(0,EmBus20,3)),0)</f>
        <v>0</v>
      </c>
      <c r="AM162" s="861">
        <f>IF(INDEX(HwyTransitModelGroup,A146,1)=PARAMETERS!$J$9,0.00000110231131*(C162*VLOOKUP(K162,EmBus20,4)-D162*VLOOKUP(L162,EmBus20,4)+(O162-P162)*VLOOKUP(0,EmBus20,4)),0)</f>
        <v>0</v>
      </c>
      <c r="AN162" s="863">
        <f>IF(INDEX(HwyTransitModelGroup,A146,1)=PARAMETERS!$J$9,0.00000110231131*(C162*VLOOKUP(K162,EmBus20,5)-D162*VLOOKUP(L162,EmBus20,5)+(O162-P162)*VLOOKUP(0,EmBus20,5)),0)</f>
        <v>0</v>
      </c>
      <c r="AO162" s="861">
        <f>IF(INDEX(HwyTransitModelGroup,A146,1)=PARAMETERS!$J$9,0.00000110231131*(C162*VLOOKUP(K162,EmBus20,6)-D162*VLOOKUP(L162,EmBus20,6)+(O162-P162)*VLOOKUP(0,EmBus20,6)),0)</f>
        <v>0</v>
      </c>
      <c r="AP162" s="863">
        <f>IF(INDEX(HwyTransitModelGroup,A146,1)=PARAMETERS!$J$9,0.00000110231131*(C162*VLOOKUP(K162,EmBus20,7)-D162*VLOOKUP(L162,EmBus20,7)+(O162-P162)*VLOOKUP(0,EmBus20,7)),0)</f>
        <v>0</v>
      </c>
      <c r="AQ162" s="861">
        <f>IF(INDEX(HwyTransitModelGroup,A146,1)=PARAMETERS!$J$9,0.00000110231131*(C162*VLOOKUP(K162,EmBus20,8)-D162*VLOOKUP(L162,EmBus20,8)+(O162-P162)*VLOOKUP(0,EmBus20,8)),0)</f>
        <v>0</v>
      </c>
      <c r="AR162" s="401">
        <f>IF(INDEX(HwyTransitModelGroup,A146,1)=PARAMETERS!$J$10,0.00000110231131*((C162-D162)*PARAMETERS!$CQ$29),0)</f>
        <v>0</v>
      </c>
      <c r="AS162" s="863">
        <f>IF(INDEX(HwyTransitModelGroup,A146,1)=PARAMETERS!$J$10,0.00000110231131*((C162-D162)*PARAMETERS!$CR$29),0)</f>
        <v>0</v>
      </c>
      <c r="AT162" s="861">
        <f>IF(INDEX(HwyTransitModelGroup,A146,1)=PARAMETERS!$J$10,0.00000110231131*((C162-D162)*PARAMETERS!$CS$29),0)</f>
        <v>0</v>
      </c>
      <c r="AU162" s="863">
        <f>IF(INDEX(HwyTransitModelGroup,A146,1)=PARAMETERS!$J$10,0.00000110231131*((C162-D162)*PARAMETERS!$CT$29),0)</f>
        <v>0</v>
      </c>
      <c r="AV162" s="861">
        <f>IF(INDEX(HwyTransitModelGroup,A146,1)=PARAMETERS!$J$10,0.00000110231131*((C162-D162)*PARAMETERS!$CU$29),0)</f>
        <v>0</v>
      </c>
      <c r="AW162" s="863">
        <f>IF(INDEX(HwyTransitModelGroup,A146,1)=PARAMETERS!$J$10,0.00000110231131*((C162-D162)*PARAMETERS!$CV$29),0)</f>
        <v>0</v>
      </c>
      <c r="AX162" s="861">
        <f>IF(INDEX(HwyTransitModelGroup,A146,1)=PARAMETERS!$J$10,0.00000110231131*((C162-D162)*PARAMETERS!$CW$29),0)</f>
        <v>0</v>
      </c>
      <c r="AY162" s="401">
        <f>IF(INDEX(HwyTransitModelGroup,A146,1)=PARAMETERS!$J$11,0.00000110231131*((C162-D162)*PARAMETERS!$CQ$37),0)</f>
        <v>0</v>
      </c>
      <c r="AZ162" s="863">
        <f>IF(INDEX(HwyTransitModelGroup,A146,1)=PARAMETERS!$J$11,0.00000110231131*((C162-D162)*PARAMETERS!$CR$37),0)</f>
        <v>0</v>
      </c>
      <c r="BA162" s="861">
        <f>IF(INDEX(HwyTransitModelGroup,A146,1)=PARAMETERS!$J$11,0.00000110231131*((C162-D162)*PARAMETERS!$CS$37),0)</f>
        <v>0</v>
      </c>
      <c r="BB162" s="863">
        <f>IF(INDEX(HwyTransitModelGroup,A146,1)=PARAMETERS!$J$11,0.00000110231131*((C162-D162)*PARAMETERS!$CT$37),0)</f>
        <v>0</v>
      </c>
      <c r="BC162" s="861">
        <f>IF(INDEX(HwyTransitModelGroup,A146,1)=PARAMETERS!$J$11,0.00000110231131*((C162-D162)*PARAMETERS!$CU$37),0)</f>
        <v>0</v>
      </c>
      <c r="BD162" s="863">
        <f>IF(INDEX(HwyTransitModelGroup,A146,1)=PARAMETERS!$J$11,0.00000110231131*((C162-D162)*PARAMETERS!$CV$37),0)</f>
        <v>0</v>
      </c>
      <c r="BE162" s="865">
        <f>IF(INDEX(HwyTransitModelGroup,A146,1)=PARAMETERS!$J$11,0.00000110231131*((C162-D162)*PARAMETERS!$CW$37),0)</f>
        <v>0</v>
      </c>
      <c r="BF162" s="729">
        <f t="shared" si="66"/>
        <v>34.554383520003036</v>
      </c>
      <c r="BG162" s="867">
        <f t="shared" si="67"/>
        <v>33560.660192189142</v>
      </c>
      <c r="BH162" s="867">
        <f t="shared" si="68"/>
        <v>4227.4999041999654</v>
      </c>
      <c r="BI162" s="867">
        <f t="shared" si="69"/>
        <v>878.77968519250112</v>
      </c>
      <c r="BJ162" s="867">
        <f t="shared" si="70"/>
        <v>319.28242204080556</v>
      </c>
      <c r="BK162" s="869">
        <f t="shared" si="71"/>
        <v>10.551635681521875</v>
      </c>
      <c r="BL162" s="431"/>
      <c r="BN162" s="375">
        <f t="shared" ref="BN162:BN179" si="76">BN161+1</f>
        <v>2028</v>
      </c>
      <c r="BO162" s="871">
        <f t="shared" ca="1" si="74"/>
        <v>5.8722052528492492E-5</v>
      </c>
      <c r="BP162" s="871">
        <f t="shared" ca="1" si="75"/>
        <v>-1.5772884129422953E-4</v>
      </c>
      <c r="BQ162" s="871">
        <f t="shared" ca="1" si="75"/>
        <v>1.4959731563186641E-4</v>
      </c>
      <c r="BR162" s="871">
        <f t="shared" ca="1" si="75"/>
        <v>-3.1489969635119515E-3</v>
      </c>
      <c r="BS162" s="871">
        <f t="shared" ca="1" si="75"/>
        <v>1.2332538396333633E-2</v>
      </c>
      <c r="BT162" s="871">
        <f t="shared" ca="1" si="75"/>
        <v>1.7497304457181253E-2</v>
      </c>
    </row>
    <row r="163" spans="2:72" x14ac:dyDescent="0.25">
      <c r="B163" s="375">
        <f t="shared" si="72"/>
        <v>2034</v>
      </c>
      <c r="C163" s="401">
        <f>MAX(TREND(C152:C153,B152:B153,B163),0)</f>
        <v>20426276</v>
      </c>
      <c r="D163" s="402">
        <f>MAX(TREND(D152:D153,B152:B153,B163),0)</f>
        <v>18572149</v>
      </c>
      <c r="E163" s="401">
        <f>MAX(TREND(E152:E153,B152:B153,B163),0)</f>
        <v>294920</v>
      </c>
      <c r="F163" s="402">
        <f>MAX(TREND(F152:F153,B152:B153,B163),0)</f>
        <v>267472</v>
      </c>
      <c r="G163" s="401">
        <f>MAX(TREND(G152:G153,B152:B153,B163),0)</f>
        <v>0</v>
      </c>
      <c r="H163" s="402">
        <f>MAX(TREND(H152:H153,B152:B153,B163),0)</f>
        <v>0</v>
      </c>
      <c r="I163" s="401">
        <f>MAX(TREND(I152:I153,B152:B153,B163),0)</f>
        <v>0</v>
      </c>
      <c r="J163" s="402">
        <f>MAX(TREND(J152:J153,B152:B153,B163),0)</f>
        <v>0</v>
      </c>
      <c r="K163" s="435">
        <f>IFERROR(IF(INDEX(HwyTransitModelGroup,A146,1)=Hwy,MAX(5,ROUND(C163/E163,1)),MAX(5,ROUND(G163/I163,1))),55)</f>
        <v>69.3</v>
      </c>
      <c r="L163" s="436">
        <f>IFERROR(IF(INDEX(HwyTransitModelGroup,A146,1)=Hwy,MAX(5,ROUND(D163/F163,1)),MAX(5,ROUND(H163/J163,1))),55)</f>
        <v>69.400000000000006</v>
      </c>
      <c r="M163" s="405">
        <f>MIN(MAX(TREND(M152:M153,B152:B153,B163),0),1)</f>
        <v>0.24</v>
      </c>
      <c r="N163" s="406">
        <f>MIN(MAX(TREND(N152:N153,B152:B153,B163),0),1)</f>
        <v>0.24</v>
      </c>
      <c r="O163" s="401">
        <f>MAX(TREND(O152:O153,B152:B153,B163),0)</f>
        <v>0</v>
      </c>
      <c r="P163" s="402">
        <f>MAX(TREND(P152:P153,B152:B153,B163),0)</f>
        <v>0</v>
      </c>
      <c r="Q163" s="729">
        <f>IF(INDEX(HwyTransitModelGroup,A146,1)=Hwy,C163*(1-M163)*0.00000110231131*(VLOOKUP(K163,EmAuto20,2)*VLOOKUP(ProjLoc,EmCost,2)+VLOOKUP(K163,EmAuto20,3)*VLOOKUP(ProjLoc,EmCost,3)*(1+CO2Uprater)^($B163-YearCurrent)+VLOOKUP(K163,EmAuto20,4)*VLOOKUP(ProjLoc,EmCost,4)+VLOOKUP(K163,EmAuto20,5)*VLOOKUP(ProjLoc,EmCost,5)+VLOOKUP(K163,EmAuto20,6)*VLOOKUP(ProjLoc,EmCost,6)+VLOOKUP(K163,EmAuto20,7)*VLOOKUP(ProjLoc,EmCost,7))+C163*M163*0.00000110231131*(VLOOKUP(K163,EmTruck20,2)*VLOOKUP(ProjLoc,EmCost,2)+VLOOKUP(K163,EmTruck20,3)*VLOOKUP(ProjLoc,EmCost,3)*(1+CO2Uprater)^($B163-YearCurrent)+VLOOKUP(K163,EmTruck20,4)*VLOOKUP(ProjLoc,EmCost,4)+VLOOKUP(K163,EmTruck20,5)*VLOOKUP(ProjLoc,EmCost,5)+VLOOKUP(K163,EmTruck20,6)*VLOOKUP(ProjLoc,EmCost,6)+VLOOKUP(K163,EmTruck20,7)*VLOOKUP(ProjLoc,EmCost,7)),0)</f>
        <v>700413.68949642521</v>
      </c>
      <c r="R163" s="802">
        <f>IF(INDEX(HwyTransitModelGroup,A146,1)=Hwy,D163*(1-N163)*0.00000110231131*(VLOOKUP(L163,EmAuto20,2)*VLOOKUP(ProjLoc,EmCost,2)+VLOOKUP(L163,EmAuto20,3)*VLOOKUP(ProjLoc,EmCost,3)*(1+CO2Uprater)^($B163-YearCurrent)+VLOOKUP(L163,EmAuto20,4)*VLOOKUP(ProjLoc,EmCost,4)+VLOOKUP(L163,EmAuto20,5)*VLOOKUP(ProjLoc,EmCost,5)+VLOOKUP(L163,EmAuto20,6)*VLOOKUP(ProjLoc,EmCost,6)+VLOOKUP(L163,EmAuto20,7)*VLOOKUP(ProjLoc,EmCost,7))+D163*N163*0.00000110231131*(VLOOKUP(L163,EmTruck20,2)*VLOOKUP(ProjLoc,EmCost,2)+VLOOKUP(L163,EmTruck20,3)*VLOOKUP(ProjLoc,EmCost,3)*(1+CO2Uprater)^($B163-YearCurrent)+VLOOKUP(L163,EmTruck20,4)*VLOOKUP(ProjLoc,EmCost,4)+VLOOKUP(L163,EmTruck20,5)*VLOOKUP(ProjLoc,EmCost,5)+VLOOKUP(L163,EmTruck20,6)*VLOOKUP(ProjLoc,EmCost,6)+VLOOKUP(L163,EmTruck20,7)*VLOOKUP(ProjLoc,EmCost,7)),0)</f>
        <v>636835.97553305083</v>
      </c>
      <c r="S163" s="729">
        <f>IF(INDEX(HwyTransitModelGroup,A146,1)=Hwy,O163*(1-M163)*0.00000110231131*(VLOOKUP(0,EmAuto20,2)*VLOOKUP(ProjLoc,EmCost,2)+VLOOKUP(0,EmAuto20,3)*VLOOKUP(ProjLoc,EmCost,3)*(1+CO2Uprater)^($B163-YearCurrent)+VLOOKUP(0,EmAuto20,4)*VLOOKUP(ProjLoc,EmCost,4)+VLOOKUP(0,EmAuto20,5)*VLOOKUP(ProjLoc,EmCost,5)+VLOOKUP(0,EmAuto20,6)*VLOOKUP(ProjLoc,EmCost,6)+VLOOKUP(0,EmAuto20,7)*VLOOKUP(ProjLoc,EmCost,7))+O163*M163*0.00000110231131*(VLOOKUP(0,EmTruck20,2)*VLOOKUP(ProjLoc,EmCost,2)+VLOOKUP(0,EmTruck20,3)*VLOOKUP(ProjLoc,EmCost,3)*(1+CO2Uprater)^($B163-YearCurrent)+VLOOKUP(0,EmTruck20,4)*VLOOKUP(ProjLoc,EmCost,4)+VLOOKUP(0,EmTruck20,5)*VLOOKUP(ProjLoc,EmCost,5)+VLOOKUP(0,EmTruck20,6)*VLOOKUP(ProjLoc,EmCost,6)+VLOOKUP(0,EmTruck20,7)*VLOOKUP(ProjLoc,EmCost,7)),0)</f>
        <v>0</v>
      </c>
      <c r="T163" s="802">
        <f>IF(INDEX(HwyTransitModelGroup,A146,1)=Hwy,P163*(1-N163)*0.00000110231131*(VLOOKUP(0,EmAuto20,2)*VLOOKUP(ProjLoc,EmCost,2)+VLOOKUP(0,EmAuto20,3)*VLOOKUP(ProjLoc,EmCost,3)*(1+CO2Uprater)^($B163-YearCurrent)+VLOOKUP(0,EmAuto20,4)*VLOOKUP(ProjLoc,EmCost,4)+VLOOKUP(0,EmAuto20,5)*VLOOKUP(ProjLoc,EmCost,5)+VLOOKUP(0,EmAuto20,6)*VLOOKUP(ProjLoc,EmCost,6)+VLOOKUP(0,EmAuto20,7)*VLOOKUP(ProjLoc,EmCost,7))+P163*N163*0.00000110231131*(VLOOKUP(0,EmTruck20,2)*VLOOKUP(ProjLoc,EmCost,2)+VLOOKUP(0,EmTruck20,3)*VLOOKUP(ProjLoc,EmCost,3)*(1+CO2Uprater)^($B163-YearCurrent)+VLOOKUP(0,EmTruck20,4)*VLOOKUP(ProjLoc,EmCost,4)+VLOOKUP(0,EmTruck20,5)*VLOOKUP(ProjLoc,EmCost,5)+VLOOKUP(0,EmTruck20,6)*VLOOKUP(ProjLoc,EmCost,6)+VLOOKUP(0,EmTruck20,7)*VLOOKUP(ProjLoc,EmCost,7)),0)</f>
        <v>0</v>
      </c>
      <c r="U163" s="729">
        <f>IF(INDEX(HwyTransitModelGroup,A146,1)=PARAMETERS!$J$9,C163*0.00000110231131*(VLOOKUP(K163,EmBus20,2)*VLOOKUP(ProjLoc,EmCost,2)+VLOOKUP(K163,EmBus20,3)*VLOOKUP(ProjLoc,EmCost,3)*(1+CO2Uprater)^($B163-YearCurrent)+VLOOKUP(K163,EmBus20,4)*VLOOKUP(ProjLoc,EmCost,4)+VLOOKUP(K163,EmBus20,5)*VLOOKUP(ProjLoc,EmCost,5)+VLOOKUP(K163,EmBus20,6)*VLOOKUP(ProjLoc,EmCost,6)+VLOOKUP(K163,EmBus20,7)*VLOOKUP(ProjLoc,EmCost,7)),0)</f>
        <v>0</v>
      </c>
      <c r="V163" s="802">
        <f>IF(INDEX(HwyTransitModelGroup,A146,1)=PARAMETERS!$J$9,D163*0.00000110231131*(VLOOKUP(L163,EmBus20,2)*VLOOKUP(ProjLoc,EmCost,2)+VLOOKUP(L163,EmBus20,3)*VLOOKUP(ProjLoc,EmCost,3)*(1+CO2Uprater)^($B163-YearCurrent)+VLOOKUP(L163,EmBus20,4)*VLOOKUP(ProjLoc,EmCost,4)+VLOOKUP(L163,EmBus20,5)*VLOOKUP(ProjLoc,EmCost,5)+VLOOKUP(L163,EmBus20,6)*VLOOKUP(ProjLoc,EmCost,6)+VLOOKUP(L163,EmBus20,7)*VLOOKUP(ProjLoc,EmCost,7)),0)</f>
        <v>0</v>
      </c>
      <c r="W163" s="808">
        <f>IF(INDEX(HwyTransitModelGroup,A146,1)=PARAMETERS!$J$10,C163*0.00000110231131*(PARAMETERS!$CQ$29*VLOOKUP(ProjLoc,EmCost,2)+PARAMETERS!$CR$29*VLOOKUP(ProjLoc,EmCost,3)*(1+CO2Uprater)^($B163-YearCurrent)+PARAMETERS!$CS$29*VLOOKUP(ProjLoc,EmCost,4)+PARAMETERS!$CT$29*VLOOKUP(ProjLoc,EmCost,5)+PARAMETERS!$CU$29*VLOOKUP(ProjLoc,EmCost,6)+PARAMETERS!$CV$29*VLOOKUP(ProjLoc,EmCost,7)),0)</f>
        <v>0</v>
      </c>
      <c r="X163" s="844">
        <f>IF(INDEX(HwyTransitModelGroup,A146,1)=PARAMETERS!$J$10,D163*0.00000110231131*(PARAMETERS!$CQ$29*VLOOKUP(ProjLoc,EmCost,2)+PARAMETERS!$CR$29*VLOOKUP(ProjLoc,EmCost,3)*(1+CO2Uprater)^($B163-YearCurrent)+PARAMETERS!$CS$29*VLOOKUP(ProjLoc,EmCost,4)+PARAMETERS!$CT$29*VLOOKUP(ProjLoc,EmCost,5)+PARAMETERS!$CU$29*VLOOKUP(ProjLoc,EmCost,6)+PARAMETERS!$CV$29*VLOOKUP(ProjLoc,EmCost,7)),0)</f>
        <v>0</v>
      </c>
      <c r="Y163" s="808">
        <f>IF(INDEX(HwyTransitModelGroup,A146,1)=PARAMETERS!$J$11,C163*0.00000110231131*(PARAMETERS!$CQ$37*VLOOKUP(ProjLoc,EmCost,2)+PARAMETERS!$CR$37*VLOOKUP(ProjLoc,EmCost,3)*(1+CO2Uprater)^($B163-YearCurrent)+PARAMETERS!$CS$37*VLOOKUP(ProjLoc,EmCost,4)+PARAMETERS!$CT$37*VLOOKUP(ProjLoc,EmCost,5)+PARAMETERS!$CU$37*VLOOKUP(ProjLoc,EmCost,6)+PARAMETERS!$CV$37*VLOOKUP(ProjLoc,EmCost,7)),0)</f>
        <v>0</v>
      </c>
      <c r="Z163" s="844">
        <f>IF(INDEX(HwyTransitModelGroup,A146,1)=PARAMETERS!$J$11,D163*0.00000110231131*(PARAMETERS!$CQ$37*VLOOKUP(ProjLoc,EmCost,2)+PARAMETERS!$CR$37*VLOOKUP(ProjLoc,EmCost,3)*(1+CO2Uprater)^($B163-YearCurrent)+PARAMETERS!$CS$37*VLOOKUP(ProjLoc,EmCost,4)+PARAMETERS!$CT$37*VLOOKUP(ProjLoc,EmCost,5)+PARAMETERS!$CU$37*VLOOKUP(ProjLoc,EmCost,6)+PARAMETERS!$CV$37*VLOOKUP(ProjLoc,EmCost,7)),0)</f>
        <v>0</v>
      </c>
      <c r="AA163" s="369">
        <f t="shared" si="64"/>
        <v>63577.713963374379</v>
      </c>
      <c r="AB163" s="370">
        <f t="shared" si="65"/>
        <v>39710.452560568949</v>
      </c>
      <c r="AC163" s="371"/>
      <c r="AD163" s="401">
        <f>IF(INDEX(HwyTransitModelGroup,A146,1)=Hwy,0.00000110231131*(C163*(1-M163)*VLOOKUP(K163,EmAuto20,2)-D163*(1-N163)*VLOOKUP(L163,EmAuto20,2)+(O163*(1-M163)-P163*(1-N163))*VLOOKUP(0,EmAuto20,2))+0.00000110231131*(C163*M163*VLOOKUP(K163,EmTruck20,2)-D163*N163*VLOOKUP(L163,EmTruck20,2)+(O163*M163-P163*N163)*VLOOKUP(0,EmTruck20,2)),0)</f>
        <v>0.69167131141756977</v>
      </c>
      <c r="AE163" s="863">
        <f>IF(INDEX(HwyTransitModelGroup,A146,1)=Hwy,0.00000110231131*(C163*(1-M163)*VLOOKUP(K163,EmAuto20,3)-D163*(1-N163)*VLOOKUP(L163,EmAuto20,3)+(O163*(1-M163)-P163*(1-N163))*VLOOKUP(0,EmAuto20,3))+0.00000110231131*(C163*M163*VLOOKUP(K163,EmTruck20,3)-D163*N163*VLOOKUP(L163,EmTruck20,3)+(O163*M163-P163*N163)*VLOOKUP(0,EmTruck20,3)),0)</f>
        <v>900.47978826122005</v>
      </c>
      <c r="AF163" s="861">
        <f>IF(INDEX(HwyTransitModelGroup,A146,1)=Hwy,0.00000110231131*(C163*(1-M163)*VLOOKUP(K163,EmAuto20,4)-D163*(1-N163)*VLOOKUP(L163,EmAuto20,4)+(O163*(1-M163)-P163*(1-N163))*VLOOKUP(0,EmAuto20,4))+0.00000110231131*(C163*M163*VLOOKUP(K163,EmTruck20,4)-D163*N163*VLOOKUP(L163,EmTruck20,4)+(O163*M163-P163*N163)*VLOOKUP(0,EmTruck20,4)),0)</f>
        <v>0.44832531229629591</v>
      </c>
      <c r="AG163" s="863">
        <f>IF(INDEX(HwyTransitModelGroup,A146,1)=Hwy,0.00000110231131*(C163*(1-M163)*VLOOKUP(K163,EmAuto20,5)-D163*(1-N163)*VLOOKUP(L163,EmAuto20,5)+(O163*(1-M163)-P163*(1-N163))*VLOOKUP(0,EmAuto20,5))+0.00000110231131*(C163*M163*VLOOKUP(K163,EmTruck20,5)-D163*N163*VLOOKUP(L163,EmTruck20,5)+(O163*M163-P163*N163)*VLOOKUP(0,EmTruck20,5)),0)</f>
        <v>1.2058568457430601E-2</v>
      </c>
      <c r="AH163" s="861">
        <f>IF(INDEX(HwyTransitModelGroup,A146,1)=Hwy,0.00000110231131*(C163*(1-M163)*VLOOKUP(K163,EmAuto20,6)-D163*(1-N163)*VLOOKUP(L163,EmAuto20,6)+(O163*(1-M163)-P163*(1-N163))*VLOOKUP(0,EmAuto20,6))+0.00000110231131*(C163*M163*VLOOKUP(K163,EmTruck20,6)-D163*N163*VLOOKUP(L163,EmTruck20,6)+(O163*M163-P163*N163)*VLOOKUP(0,EmTruck20,6)),0)</f>
        <v>8.6658186880518191E-3</v>
      </c>
      <c r="AI163" s="863">
        <f>IF(INDEX(HwyTransitModelGroup,A146,1)=Hwy,0.00000110231131*(C163*(1-M163)*VLOOKUP(K163,EmAuto20,7)-D163*(1-N163)*VLOOKUP(L163,EmAuto20,7)+(O163*(1-M163)-P163*(1-N163))*VLOOKUP(0,EmAuto20,7))+0.00000110231131*(C163*M163*VLOOKUP(K163,EmTruck20,7)-D163*N163*VLOOKUP(L163,EmTruck20,7)+(O163*M163-P163*N163)*VLOOKUP(0,EmTruck20,7)),0)</f>
        <v>1.5222409808634412E-2</v>
      </c>
      <c r="AJ163" s="861">
        <f>IF(INDEX(HwyTransitModelGroup,A146,1)=Hwy,0.00000110231131*(C163*(1-M163)*VLOOKUP(K163,EmAuto20,8)-D163*(1-N163)*VLOOKUP(L163,EmAuto20,8)+(O163*(1-M163)-P163*(1-N163))*VLOOKUP(0,EmAuto20,8))+0.00000110231131*(C163*M163*VLOOKUP(K163,EmTruck20,8)-D163*N163*VLOOKUP(L163,EmTruck20,8)+(O163*M163-P163*N163)*VLOOKUP(0,EmTruck20,8)),0)</f>
        <v>1.1568050418484263E-2</v>
      </c>
      <c r="AK163" s="401">
        <f>IF(INDEX(HwyTransitModelGroup,A146,1)=PARAMETERS!$J$9,0.00000110231131*(C163*VLOOKUP(K163,EmBus20,2)-D163*VLOOKUP(L163,EmBus20,2)+(O163-P163)*VLOOKUP(0,EmBus20,2)),0)</f>
        <v>0</v>
      </c>
      <c r="AL163" s="863">
        <f>IF(INDEX(HwyTransitModelGroup,A146,1)=PARAMETERS!$J$9,0.00000110231131*(C163*VLOOKUP(K163,EmBus20,3)-D163*VLOOKUP(L163,EmBus20,3)+(O163-P163)*VLOOKUP(0,EmBus20,3)),0)</f>
        <v>0</v>
      </c>
      <c r="AM163" s="861">
        <f>IF(INDEX(HwyTransitModelGroup,A146,1)=PARAMETERS!$J$9,0.00000110231131*(C163*VLOOKUP(K163,EmBus20,4)-D163*VLOOKUP(L163,EmBus20,4)+(O163-P163)*VLOOKUP(0,EmBus20,4)),0)</f>
        <v>0</v>
      </c>
      <c r="AN163" s="863">
        <f>IF(INDEX(HwyTransitModelGroup,A146,1)=PARAMETERS!$J$9,0.00000110231131*(C163*VLOOKUP(K163,EmBus20,5)-D163*VLOOKUP(L163,EmBus20,5)+(O163-P163)*VLOOKUP(0,EmBus20,5)),0)</f>
        <v>0</v>
      </c>
      <c r="AO163" s="861">
        <f>IF(INDEX(HwyTransitModelGroup,A146,1)=PARAMETERS!$J$9,0.00000110231131*(C163*VLOOKUP(K163,EmBus20,6)-D163*VLOOKUP(L163,EmBus20,6)+(O163-P163)*VLOOKUP(0,EmBus20,6)),0)</f>
        <v>0</v>
      </c>
      <c r="AP163" s="863">
        <f>IF(INDEX(HwyTransitModelGroup,A146,1)=PARAMETERS!$J$9,0.00000110231131*(C163*VLOOKUP(K163,EmBus20,7)-D163*VLOOKUP(L163,EmBus20,7)+(O163-P163)*VLOOKUP(0,EmBus20,7)),0)</f>
        <v>0</v>
      </c>
      <c r="AQ163" s="861">
        <f>IF(INDEX(HwyTransitModelGroup,A146,1)=PARAMETERS!$J$9,0.00000110231131*(C163*VLOOKUP(K163,EmBus20,8)-D163*VLOOKUP(L163,EmBus20,8)+(O163-P163)*VLOOKUP(0,EmBus20,8)),0)</f>
        <v>0</v>
      </c>
      <c r="AR163" s="401">
        <f>IF(INDEX(HwyTransitModelGroup,A146,1)=PARAMETERS!$J$10,0.00000110231131*((C163-D163)*PARAMETERS!$CQ$29),0)</f>
        <v>0</v>
      </c>
      <c r="AS163" s="863">
        <f>IF(INDEX(HwyTransitModelGroup,A146,1)=PARAMETERS!$J$10,0.00000110231131*((C163-D163)*PARAMETERS!$CR$29),0)</f>
        <v>0</v>
      </c>
      <c r="AT163" s="861">
        <f>IF(INDEX(HwyTransitModelGroup,A146,1)=PARAMETERS!$J$10,0.00000110231131*((C163-D163)*PARAMETERS!$CS$29),0)</f>
        <v>0</v>
      </c>
      <c r="AU163" s="863">
        <f>IF(INDEX(HwyTransitModelGroup,A146,1)=PARAMETERS!$J$10,0.00000110231131*((C163-D163)*PARAMETERS!$CT$29),0)</f>
        <v>0</v>
      </c>
      <c r="AV163" s="861">
        <f>IF(INDEX(HwyTransitModelGroup,A146,1)=PARAMETERS!$J$10,0.00000110231131*((C163-D163)*PARAMETERS!$CU$29),0)</f>
        <v>0</v>
      </c>
      <c r="AW163" s="863">
        <f>IF(INDEX(HwyTransitModelGroup,A146,1)=PARAMETERS!$J$10,0.00000110231131*((C163-D163)*PARAMETERS!$CV$29),0)</f>
        <v>0</v>
      </c>
      <c r="AX163" s="861">
        <f>IF(INDEX(HwyTransitModelGroup,A146,1)=PARAMETERS!$J$10,0.00000110231131*((C163-D163)*PARAMETERS!$CW$29),0)</f>
        <v>0</v>
      </c>
      <c r="AY163" s="401">
        <f>IF(INDEX(HwyTransitModelGroup,A146,1)=PARAMETERS!$J$11,0.00000110231131*((C163-D163)*PARAMETERS!$CQ$37),0)</f>
        <v>0</v>
      </c>
      <c r="AZ163" s="863">
        <f>IF(INDEX(HwyTransitModelGroup,A146,1)=PARAMETERS!$J$11,0.00000110231131*((C163-D163)*PARAMETERS!$CR$37),0)</f>
        <v>0</v>
      </c>
      <c r="BA163" s="861">
        <f>IF(INDEX(HwyTransitModelGroup,A146,1)=PARAMETERS!$J$11,0.00000110231131*((C163-D163)*PARAMETERS!$CS$37),0)</f>
        <v>0</v>
      </c>
      <c r="BB163" s="863">
        <f>IF(INDEX(HwyTransitModelGroup,A146,1)=PARAMETERS!$J$11,0.00000110231131*((C163-D163)*PARAMETERS!$CT$37),0)</f>
        <v>0</v>
      </c>
      <c r="BC163" s="861">
        <f>IF(INDEX(HwyTransitModelGroup,A146,1)=PARAMETERS!$J$11,0.00000110231131*((C163-D163)*PARAMETERS!$CU$37),0)</f>
        <v>0</v>
      </c>
      <c r="BD163" s="863">
        <f>IF(INDEX(HwyTransitModelGroup,A146,1)=PARAMETERS!$J$11,0.00000110231131*((C163-D163)*PARAMETERS!$CV$37),0)</f>
        <v>0</v>
      </c>
      <c r="BE163" s="865">
        <f>IF(INDEX(HwyTransitModelGroup,A146,1)=PARAMETERS!$J$11,0.00000110231131*((C163-D163)*PARAMETERS!$CW$37),0)</f>
        <v>0</v>
      </c>
      <c r="BF163" s="729">
        <f t="shared" si="66"/>
        <v>34.561268831247084</v>
      </c>
      <c r="BG163" s="867">
        <f t="shared" si="67"/>
        <v>34238.694443864973</v>
      </c>
      <c r="BH163" s="867">
        <f t="shared" si="68"/>
        <v>4228.3422764161487</v>
      </c>
      <c r="BI163" s="867">
        <f t="shared" si="69"/>
        <v>878.95479095423457</v>
      </c>
      <c r="BJ163" s="867">
        <f t="shared" si="70"/>
        <v>319.34604230042447</v>
      </c>
      <c r="BK163" s="869">
        <f t="shared" si="71"/>
        <v>10.553738201908583</v>
      </c>
      <c r="BL163" s="431"/>
      <c r="BN163" s="375">
        <f t="shared" si="76"/>
        <v>2029</v>
      </c>
      <c r="BO163" s="871">
        <f t="shared" ca="1" si="74"/>
        <v>3.3867274899526021E-5</v>
      </c>
      <c r="BP163" s="871">
        <f t="shared" ca="1" si="75"/>
        <v>-1.6063158963388032E-4</v>
      </c>
      <c r="BQ163" s="871">
        <f t="shared" ca="1" si="75"/>
        <v>1.5231611246472736E-4</v>
      </c>
      <c r="BR163" s="871">
        <f t="shared" ca="1" si="75"/>
        <v>-3.188289761768355E-3</v>
      </c>
      <c r="BS163" s="871">
        <f t="shared" ca="1" si="75"/>
        <v>1.2953163742751876E-2</v>
      </c>
      <c r="BT163" s="871">
        <f t="shared" ca="1" si="75"/>
        <v>1.8002560182289278E-2</v>
      </c>
    </row>
    <row r="164" spans="2:72" x14ac:dyDescent="0.25">
      <c r="B164" s="375">
        <f t="shared" si="72"/>
        <v>2035</v>
      </c>
      <c r="C164" s="401">
        <f>MAX(TREND(C152:C153,B152:B153,B164),0)</f>
        <v>20674676.75</v>
      </c>
      <c r="D164" s="402">
        <f>MAX(TREND(D152:D153,B152:B153,B164),0)</f>
        <v>18748882</v>
      </c>
      <c r="E164" s="401">
        <f>MAX(TREND(E152:E153,B152:B153,B164),0)</f>
        <v>298570</v>
      </c>
      <c r="F164" s="402">
        <f>MAX(TREND(F152:F153,B152:B153,B164),0)</f>
        <v>270063.5</v>
      </c>
      <c r="G164" s="401">
        <f>MAX(TREND(G152:G153,B152:B153,B164),0)</f>
        <v>0</v>
      </c>
      <c r="H164" s="402">
        <f>MAX(TREND(H152:H153,B152:B153,B164),0)</f>
        <v>0</v>
      </c>
      <c r="I164" s="401">
        <f>MAX(TREND(I152:I153,B152:B153,B164),0)</f>
        <v>0</v>
      </c>
      <c r="J164" s="402">
        <f>MAX(TREND(J152:J153,B152:B153,B164),0)</f>
        <v>0</v>
      </c>
      <c r="K164" s="435">
        <f>IFERROR(IF(INDEX(HwyTransitModelGroup,A146,1)=Hwy,MAX(5,ROUND(C164/E164,1)),MAX(5,ROUND(G164/I164,1))),55)</f>
        <v>69.2</v>
      </c>
      <c r="L164" s="436">
        <f>IFERROR(IF(INDEX(HwyTransitModelGroup,A146,1)=Hwy,MAX(5,ROUND(D164/F164,1)),MAX(5,ROUND(H164/J164,1))),55)</f>
        <v>69.400000000000006</v>
      </c>
      <c r="M164" s="405">
        <f>MIN(MAX(TREND(M152:M153,B152:B153,B164),0),1)</f>
        <v>0.24</v>
      </c>
      <c r="N164" s="406">
        <f>MIN(MAX(TREND(N152:N153,B152:B153,B164),0),1)</f>
        <v>0.24</v>
      </c>
      <c r="O164" s="401">
        <f>MAX(TREND(O152:O153,B152:B153,B164),0)</f>
        <v>0</v>
      </c>
      <c r="P164" s="402">
        <f>MAX(TREND(P152:P153,B152:B153,B164),0)</f>
        <v>0</v>
      </c>
      <c r="Q164" s="729">
        <f>IF(INDEX(HwyTransitModelGroup,A146,1)=Hwy,C164*(1-M164)*0.00000110231131*(VLOOKUP(K164,EmAuto20,2)*VLOOKUP(ProjLoc,EmCost,2)+VLOOKUP(K164,EmAuto20,3)*VLOOKUP(ProjLoc,EmCost,3)*(1+CO2Uprater)^($B164-YearCurrent)+VLOOKUP(K164,EmAuto20,4)*VLOOKUP(ProjLoc,EmCost,4)+VLOOKUP(K164,EmAuto20,5)*VLOOKUP(ProjLoc,EmCost,5)+VLOOKUP(K164,EmAuto20,6)*VLOOKUP(ProjLoc,EmCost,6)+VLOOKUP(K164,EmAuto20,7)*VLOOKUP(ProjLoc,EmCost,7))+C164*M164*0.00000110231131*(VLOOKUP(K164,EmTruck20,2)*VLOOKUP(ProjLoc,EmCost,2)+VLOOKUP(K164,EmTruck20,3)*VLOOKUP(ProjLoc,EmCost,3)*(1+CO2Uprater)^($B164-YearCurrent)+VLOOKUP(K164,EmTruck20,4)*VLOOKUP(ProjLoc,EmCost,4)+VLOOKUP(K164,EmTruck20,5)*VLOOKUP(ProjLoc,EmCost,5)+VLOOKUP(K164,EmTruck20,6)*VLOOKUP(ProjLoc,EmCost,6)+VLOOKUP(K164,EmTruck20,7)*VLOOKUP(ProjLoc,EmCost,7)),0)</f>
        <v>721156.24463061057</v>
      </c>
      <c r="R164" s="802">
        <f>IF(INDEX(HwyTransitModelGroup,A146,1)=Hwy,D164*(1-N164)*0.00000110231131*(VLOOKUP(L164,EmAuto20,2)*VLOOKUP(ProjLoc,EmCost,2)+VLOOKUP(L164,EmAuto20,3)*VLOOKUP(ProjLoc,EmCost,3)*(1+CO2Uprater)^($B164-YearCurrent)+VLOOKUP(L164,EmAuto20,4)*VLOOKUP(ProjLoc,EmCost,4)+VLOOKUP(L164,EmAuto20,5)*VLOOKUP(ProjLoc,EmCost,5)+VLOOKUP(L164,EmAuto20,6)*VLOOKUP(ProjLoc,EmCost,6)+VLOOKUP(L164,EmAuto20,7)*VLOOKUP(ProjLoc,EmCost,7))+D164*N164*0.00000110231131*(VLOOKUP(L164,EmTruck20,2)*VLOOKUP(ProjLoc,EmCost,2)+VLOOKUP(L164,EmTruck20,3)*VLOOKUP(ProjLoc,EmCost,3)*(1+CO2Uprater)^($B164-YearCurrent)+VLOOKUP(L164,EmTruck20,4)*VLOOKUP(ProjLoc,EmCost,4)+VLOOKUP(L164,EmTruck20,5)*VLOOKUP(ProjLoc,EmCost,5)+VLOOKUP(L164,EmTruck20,6)*VLOOKUP(ProjLoc,EmCost,6)+VLOOKUP(L164,EmTruck20,7)*VLOOKUP(ProjLoc,EmCost,7)),0)</f>
        <v>653982.33295920584</v>
      </c>
      <c r="S164" s="729">
        <f>IF(INDEX(HwyTransitModelGroup,A146,1)=Hwy,O164*(1-M164)*0.00000110231131*(VLOOKUP(0,EmAuto20,2)*VLOOKUP(ProjLoc,EmCost,2)+VLOOKUP(0,EmAuto20,3)*VLOOKUP(ProjLoc,EmCost,3)*(1+CO2Uprater)^($B164-YearCurrent)+VLOOKUP(0,EmAuto20,4)*VLOOKUP(ProjLoc,EmCost,4)+VLOOKUP(0,EmAuto20,5)*VLOOKUP(ProjLoc,EmCost,5)+VLOOKUP(0,EmAuto20,6)*VLOOKUP(ProjLoc,EmCost,6)+VLOOKUP(0,EmAuto20,7)*VLOOKUP(ProjLoc,EmCost,7))+O164*M164*0.00000110231131*(VLOOKUP(0,EmTruck20,2)*VLOOKUP(ProjLoc,EmCost,2)+VLOOKUP(0,EmTruck20,3)*VLOOKUP(ProjLoc,EmCost,3)*(1+CO2Uprater)^($B164-YearCurrent)+VLOOKUP(0,EmTruck20,4)*VLOOKUP(ProjLoc,EmCost,4)+VLOOKUP(0,EmTruck20,5)*VLOOKUP(ProjLoc,EmCost,5)+VLOOKUP(0,EmTruck20,6)*VLOOKUP(ProjLoc,EmCost,6)+VLOOKUP(0,EmTruck20,7)*VLOOKUP(ProjLoc,EmCost,7)),0)</f>
        <v>0</v>
      </c>
      <c r="T164" s="802">
        <f>IF(INDEX(HwyTransitModelGroup,A146,1)=Hwy,P164*(1-N164)*0.00000110231131*(VLOOKUP(0,EmAuto20,2)*VLOOKUP(ProjLoc,EmCost,2)+VLOOKUP(0,EmAuto20,3)*VLOOKUP(ProjLoc,EmCost,3)*(1+CO2Uprater)^($B164-YearCurrent)+VLOOKUP(0,EmAuto20,4)*VLOOKUP(ProjLoc,EmCost,4)+VLOOKUP(0,EmAuto20,5)*VLOOKUP(ProjLoc,EmCost,5)+VLOOKUP(0,EmAuto20,6)*VLOOKUP(ProjLoc,EmCost,6)+VLOOKUP(0,EmAuto20,7)*VLOOKUP(ProjLoc,EmCost,7))+P164*N164*0.00000110231131*(VLOOKUP(0,EmTruck20,2)*VLOOKUP(ProjLoc,EmCost,2)+VLOOKUP(0,EmTruck20,3)*VLOOKUP(ProjLoc,EmCost,3)*(1+CO2Uprater)^($B164-YearCurrent)+VLOOKUP(0,EmTruck20,4)*VLOOKUP(ProjLoc,EmCost,4)+VLOOKUP(0,EmTruck20,5)*VLOOKUP(ProjLoc,EmCost,5)+VLOOKUP(0,EmTruck20,6)*VLOOKUP(ProjLoc,EmCost,6)+VLOOKUP(0,EmTruck20,7)*VLOOKUP(ProjLoc,EmCost,7)),0)</f>
        <v>0</v>
      </c>
      <c r="U164" s="729">
        <f>IF(INDEX(HwyTransitModelGroup,A146,1)=PARAMETERS!$J$9,C164*0.00000110231131*(VLOOKUP(K164,EmBus20,2)*VLOOKUP(ProjLoc,EmCost,2)+VLOOKUP(K164,EmBus20,3)*VLOOKUP(ProjLoc,EmCost,3)*(1+CO2Uprater)^($B164-YearCurrent)+VLOOKUP(K164,EmBus20,4)*VLOOKUP(ProjLoc,EmCost,4)+VLOOKUP(K164,EmBus20,5)*VLOOKUP(ProjLoc,EmCost,5)+VLOOKUP(K164,EmBus20,6)*VLOOKUP(ProjLoc,EmCost,6)+VLOOKUP(K164,EmBus20,7)*VLOOKUP(ProjLoc,EmCost,7)),0)</f>
        <v>0</v>
      </c>
      <c r="V164" s="802">
        <f>IF(INDEX(HwyTransitModelGroup,A146,1)=PARAMETERS!$J$9,D164*0.00000110231131*(VLOOKUP(L164,EmBus20,2)*VLOOKUP(ProjLoc,EmCost,2)+VLOOKUP(L164,EmBus20,3)*VLOOKUP(ProjLoc,EmCost,3)*(1+CO2Uprater)^($B164-YearCurrent)+VLOOKUP(L164,EmBus20,4)*VLOOKUP(ProjLoc,EmCost,4)+VLOOKUP(L164,EmBus20,5)*VLOOKUP(ProjLoc,EmCost,5)+VLOOKUP(L164,EmBus20,6)*VLOOKUP(ProjLoc,EmCost,6)+VLOOKUP(L164,EmBus20,7)*VLOOKUP(ProjLoc,EmCost,7)),0)</f>
        <v>0</v>
      </c>
      <c r="W164" s="808">
        <f>IF(INDEX(HwyTransitModelGroup,A146,1)=PARAMETERS!$J$10,C164*0.00000110231131*(PARAMETERS!$CQ$29*VLOOKUP(ProjLoc,EmCost,2)+PARAMETERS!$CR$29*VLOOKUP(ProjLoc,EmCost,3)*(1+CO2Uprater)^($B164-YearCurrent)+PARAMETERS!$CS$29*VLOOKUP(ProjLoc,EmCost,4)+PARAMETERS!$CT$29*VLOOKUP(ProjLoc,EmCost,5)+PARAMETERS!$CU$29*VLOOKUP(ProjLoc,EmCost,6)+PARAMETERS!$CV$29*VLOOKUP(ProjLoc,EmCost,7)),0)</f>
        <v>0</v>
      </c>
      <c r="X164" s="844">
        <f>IF(INDEX(HwyTransitModelGroup,A146,1)=PARAMETERS!$J$10,D164*0.00000110231131*(PARAMETERS!$CQ$29*VLOOKUP(ProjLoc,EmCost,2)+PARAMETERS!$CR$29*VLOOKUP(ProjLoc,EmCost,3)*(1+CO2Uprater)^($B164-YearCurrent)+PARAMETERS!$CS$29*VLOOKUP(ProjLoc,EmCost,4)+PARAMETERS!$CT$29*VLOOKUP(ProjLoc,EmCost,5)+PARAMETERS!$CU$29*VLOOKUP(ProjLoc,EmCost,6)+PARAMETERS!$CV$29*VLOOKUP(ProjLoc,EmCost,7)),0)</f>
        <v>0</v>
      </c>
      <c r="Y164" s="808">
        <f>IF(INDEX(HwyTransitModelGroup,A146,1)=PARAMETERS!$J$11,C164*0.00000110231131*(PARAMETERS!$CQ$37*VLOOKUP(ProjLoc,EmCost,2)+PARAMETERS!$CR$37*VLOOKUP(ProjLoc,EmCost,3)*(1+CO2Uprater)^($B164-YearCurrent)+PARAMETERS!$CS$37*VLOOKUP(ProjLoc,EmCost,4)+PARAMETERS!$CT$37*VLOOKUP(ProjLoc,EmCost,5)+PARAMETERS!$CU$37*VLOOKUP(ProjLoc,EmCost,6)+PARAMETERS!$CV$37*VLOOKUP(ProjLoc,EmCost,7)),0)</f>
        <v>0</v>
      </c>
      <c r="Z164" s="844">
        <f>IF(INDEX(HwyTransitModelGroup,A146,1)=PARAMETERS!$J$11,D164*0.00000110231131*(PARAMETERS!$CQ$37*VLOOKUP(ProjLoc,EmCost,2)+PARAMETERS!$CR$37*VLOOKUP(ProjLoc,EmCost,3)*(1+CO2Uprater)^($B164-YearCurrent)+PARAMETERS!$CS$37*VLOOKUP(ProjLoc,EmCost,4)+PARAMETERS!$CT$37*VLOOKUP(ProjLoc,EmCost,5)+PARAMETERS!$CU$37*VLOOKUP(ProjLoc,EmCost,6)+PARAMETERS!$CV$37*VLOOKUP(ProjLoc,EmCost,7)),0)</f>
        <v>0</v>
      </c>
      <c r="AA164" s="369">
        <f t="shared" si="64"/>
        <v>67173.911671404727</v>
      </c>
      <c r="AB164" s="370">
        <f t="shared" si="65"/>
        <v>40342.910614145476</v>
      </c>
      <c r="AC164" s="371"/>
      <c r="AD164" s="401">
        <f>IF(INDEX(HwyTransitModelGroup,A146,1)=Hwy,0.00000110231131*(C164*(1-M164)*VLOOKUP(K164,EmAuto20,2)-D164*(1-N164)*VLOOKUP(L164,EmAuto20,2)+(O164*(1-M164)-P164*(1-N164))*VLOOKUP(0,EmAuto20,2))+0.00000110231131*(C164*M164*VLOOKUP(K164,EmTruck20,2)-D164*N164*VLOOKUP(L164,EmTruck20,2)+(O164*M164-P164*N164)*VLOOKUP(0,EmTruck20,2)),0)</f>
        <v>0.71840654941844362</v>
      </c>
      <c r="AE164" s="863">
        <f>IF(INDEX(HwyTransitModelGroup,A146,1)=Hwy,0.00000110231131*(C164*(1-M164)*VLOOKUP(K164,EmAuto20,3)-D164*(1-N164)*VLOOKUP(L164,EmAuto20,3)+(O164*(1-M164)-P164*(1-N164))*VLOOKUP(0,EmAuto20,3))+0.00000110231131*(C164*M164*VLOOKUP(K164,EmTruck20,3)-D164*N164*VLOOKUP(L164,EmTruck20,3)+(O164*M164-P164*N164)*VLOOKUP(0,EmTruck20,3)),0)</f>
        <v>935.28612048396303</v>
      </c>
      <c r="AF164" s="861">
        <f>IF(INDEX(HwyTransitModelGroup,A146,1)=Hwy,0.00000110231131*(C164*(1-M164)*VLOOKUP(K164,EmAuto20,4)-D164*(1-N164)*VLOOKUP(L164,EmAuto20,4)+(O164*(1-M164)-P164*(1-N164))*VLOOKUP(0,EmAuto20,4))+0.00000110231131*(C164*M164*VLOOKUP(K164,EmTruck20,4)-D164*N164*VLOOKUP(L164,EmTruck20,4)+(O164*M164-P164*N164)*VLOOKUP(0,EmTruck20,4)),0)</f>
        <v>0.46565447389111786</v>
      </c>
      <c r="AG164" s="863">
        <f>IF(INDEX(HwyTransitModelGroup,A146,1)=Hwy,0.00000110231131*(C164*(1-M164)*VLOOKUP(K164,EmAuto20,5)-D164*(1-N164)*VLOOKUP(L164,EmAuto20,5)+(O164*(1-M164)-P164*(1-N164))*VLOOKUP(0,EmAuto20,5))+0.00000110231131*(C164*M164*VLOOKUP(K164,EmTruck20,5)-D164*N164*VLOOKUP(L164,EmTruck20,5)+(O164*M164-P164*N164)*VLOOKUP(0,EmTruck20,5)),0)</f>
        <v>1.2524669468615383E-2</v>
      </c>
      <c r="AH164" s="861">
        <f>IF(INDEX(HwyTransitModelGroup,A146,1)=Hwy,0.00000110231131*(C164*(1-M164)*VLOOKUP(K164,EmAuto20,6)-D164*(1-N164)*VLOOKUP(L164,EmAuto20,6)+(O164*(1-M164)-P164*(1-N164))*VLOOKUP(0,EmAuto20,6))+0.00000110231131*(C164*M164*VLOOKUP(K164,EmTruck20,6)-D164*N164*VLOOKUP(L164,EmTruck20,6)+(O164*M164-P164*N164)*VLOOKUP(0,EmTruck20,6)),0)</f>
        <v>9.000779414733753E-3</v>
      </c>
      <c r="AI164" s="863">
        <f>IF(INDEX(HwyTransitModelGroup,A146,1)=Hwy,0.00000110231131*(C164*(1-M164)*VLOOKUP(K164,EmAuto20,7)-D164*(1-N164)*VLOOKUP(L164,EmAuto20,7)+(O164*(1-M164)-P164*(1-N164))*VLOOKUP(0,EmAuto20,7))+0.00000110231131*(C164*M164*VLOOKUP(K164,EmTruck20,7)-D164*N164*VLOOKUP(L164,EmTruck20,7)+(O164*M164-P164*N164)*VLOOKUP(0,EmTruck20,7)),0)</f>
        <v>1.5810803085126661E-2</v>
      </c>
      <c r="AJ164" s="861">
        <f>IF(INDEX(HwyTransitModelGroup,A146,1)=Hwy,0.00000110231131*(C164*(1-M164)*VLOOKUP(K164,EmAuto20,8)-D164*(1-N164)*VLOOKUP(L164,EmAuto20,8)+(O164*(1-M164)-P164*(1-N164))*VLOOKUP(0,EmAuto20,8))+0.00000110231131*(C164*M164*VLOOKUP(K164,EmTruck20,8)-D164*N164*VLOOKUP(L164,EmTruck20,8)+(O164*M164-P164*N164)*VLOOKUP(0,EmTruck20,8)),0)</f>
        <v>1.2015191388536123E-2</v>
      </c>
      <c r="AK164" s="401">
        <f>IF(INDEX(HwyTransitModelGroup,A146,1)=PARAMETERS!$J$9,0.00000110231131*(C164*VLOOKUP(K164,EmBus20,2)-D164*VLOOKUP(L164,EmBus20,2)+(O164-P164)*VLOOKUP(0,EmBus20,2)),0)</f>
        <v>0</v>
      </c>
      <c r="AL164" s="863">
        <f>IF(INDEX(HwyTransitModelGroup,A146,1)=PARAMETERS!$J$9,0.00000110231131*(C164*VLOOKUP(K164,EmBus20,3)-D164*VLOOKUP(L164,EmBus20,3)+(O164-P164)*VLOOKUP(0,EmBus20,3)),0)</f>
        <v>0</v>
      </c>
      <c r="AM164" s="861">
        <f>IF(INDEX(HwyTransitModelGroup,A146,1)=PARAMETERS!$J$9,0.00000110231131*(C164*VLOOKUP(K164,EmBus20,4)-D164*VLOOKUP(L164,EmBus20,4)+(O164-P164)*VLOOKUP(0,EmBus20,4)),0)</f>
        <v>0</v>
      </c>
      <c r="AN164" s="863">
        <f>IF(INDEX(HwyTransitModelGroup,A146,1)=PARAMETERS!$J$9,0.00000110231131*(C164*VLOOKUP(K164,EmBus20,5)-D164*VLOOKUP(L164,EmBus20,5)+(O164-P164)*VLOOKUP(0,EmBus20,5)),0)</f>
        <v>0</v>
      </c>
      <c r="AO164" s="861">
        <f>IF(INDEX(HwyTransitModelGroup,A146,1)=PARAMETERS!$J$9,0.00000110231131*(C164*VLOOKUP(K164,EmBus20,6)-D164*VLOOKUP(L164,EmBus20,6)+(O164-P164)*VLOOKUP(0,EmBus20,6)),0)</f>
        <v>0</v>
      </c>
      <c r="AP164" s="863">
        <f>IF(INDEX(HwyTransitModelGroup,A146,1)=PARAMETERS!$J$9,0.00000110231131*(C164*VLOOKUP(K164,EmBus20,7)-D164*VLOOKUP(L164,EmBus20,7)+(O164-P164)*VLOOKUP(0,EmBus20,7)),0)</f>
        <v>0</v>
      </c>
      <c r="AQ164" s="861">
        <f>IF(INDEX(HwyTransitModelGroup,A146,1)=PARAMETERS!$J$9,0.00000110231131*(C164*VLOOKUP(K164,EmBus20,8)-D164*VLOOKUP(L164,EmBus20,8)+(O164-P164)*VLOOKUP(0,EmBus20,8)),0)</f>
        <v>0</v>
      </c>
      <c r="AR164" s="401">
        <f>IF(INDEX(HwyTransitModelGroup,A146,1)=PARAMETERS!$J$10,0.00000110231131*((C164-D164)*PARAMETERS!$CQ$29),0)</f>
        <v>0</v>
      </c>
      <c r="AS164" s="863">
        <f>IF(INDEX(HwyTransitModelGroup,A146,1)=PARAMETERS!$J$10,0.00000110231131*((C164-D164)*PARAMETERS!$CR$29),0)</f>
        <v>0</v>
      </c>
      <c r="AT164" s="861">
        <f>IF(INDEX(HwyTransitModelGroup,A146,1)=PARAMETERS!$J$10,0.00000110231131*((C164-D164)*PARAMETERS!$CS$29),0)</f>
        <v>0</v>
      </c>
      <c r="AU164" s="863">
        <f>IF(INDEX(HwyTransitModelGroup,A146,1)=PARAMETERS!$J$10,0.00000110231131*((C164-D164)*PARAMETERS!$CT$29),0)</f>
        <v>0</v>
      </c>
      <c r="AV164" s="861">
        <f>IF(INDEX(HwyTransitModelGroup,A146,1)=PARAMETERS!$J$10,0.00000110231131*((C164-D164)*PARAMETERS!$CU$29),0)</f>
        <v>0</v>
      </c>
      <c r="AW164" s="863">
        <f>IF(INDEX(HwyTransitModelGroup,A146,1)=PARAMETERS!$J$10,0.00000110231131*((C164-D164)*PARAMETERS!$CV$29),0)</f>
        <v>0</v>
      </c>
      <c r="AX164" s="861">
        <f>IF(INDEX(HwyTransitModelGroup,A146,1)=PARAMETERS!$J$10,0.00000110231131*((C164-D164)*PARAMETERS!$CW$29),0)</f>
        <v>0</v>
      </c>
      <c r="AY164" s="401">
        <f>IF(INDEX(HwyTransitModelGroup,A146,1)=PARAMETERS!$J$11,0.00000110231131*((C164-D164)*PARAMETERS!$CQ$37),0)</f>
        <v>0</v>
      </c>
      <c r="AZ164" s="863">
        <f>IF(INDEX(HwyTransitModelGroup,A146,1)=PARAMETERS!$J$11,0.00000110231131*((C164-D164)*PARAMETERS!$CR$37),0)</f>
        <v>0</v>
      </c>
      <c r="BA164" s="861">
        <f>IF(INDEX(HwyTransitModelGroup,A146,1)=PARAMETERS!$J$11,0.00000110231131*((C164-D164)*PARAMETERS!$CS$37),0)</f>
        <v>0</v>
      </c>
      <c r="BB164" s="863">
        <f>IF(INDEX(HwyTransitModelGroup,A146,1)=PARAMETERS!$J$11,0.00000110231131*((C164-D164)*PARAMETERS!$CT$37),0)</f>
        <v>0</v>
      </c>
      <c r="BC164" s="861">
        <f>IF(INDEX(HwyTransitModelGroup,A146,1)=PARAMETERS!$J$11,0.00000110231131*((C164-D164)*PARAMETERS!$CU$37),0)</f>
        <v>0</v>
      </c>
      <c r="BD164" s="863">
        <f>IF(INDEX(HwyTransitModelGroup,A146,1)=PARAMETERS!$J$11,0.00000110231131*((C164-D164)*PARAMETERS!$CV$37),0)</f>
        <v>0</v>
      </c>
      <c r="BE164" s="865">
        <f>IF(INDEX(HwyTransitModelGroup,A146,1)=PARAMETERS!$J$11,0.00000110231131*((C164-D164)*PARAMETERS!$CW$37),0)</f>
        <v>0</v>
      </c>
      <c r="BF164" s="729">
        <f t="shared" si="66"/>
        <v>34.516508551211935</v>
      </c>
      <c r="BG164" s="867">
        <f t="shared" si="67"/>
        <v>34878.238968334255</v>
      </c>
      <c r="BH164" s="867">
        <f t="shared" si="68"/>
        <v>4222.8661526864034</v>
      </c>
      <c r="BI164" s="867">
        <f t="shared" si="69"/>
        <v>877.81645709347697</v>
      </c>
      <c r="BJ164" s="867">
        <f t="shared" si="70"/>
        <v>318.93245741870919</v>
      </c>
      <c r="BK164" s="869">
        <f t="shared" si="71"/>
        <v>10.540070061434873</v>
      </c>
      <c r="BL164" s="431"/>
      <c r="BN164" s="375">
        <f t="shared" si="76"/>
        <v>2030</v>
      </c>
      <c r="BO164" s="871">
        <f t="shared" ca="1" si="74"/>
        <v>9.0124972705601744E-6</v>
      </c>
      <c r="BP164" s="871">
        <f t="shared" ca="1" si="75"/>
        <v>-1.6353433797353125E-4</v>
      </c>
      <c r="BQ164" s="871">
        <f t="shared" ca="1" si="75"/>
        <v>1.5503490929758798E-4</v>
      </c>
      <c r="BR164" s="871">
        <f t="shared" ca="1" si="75"/>
        <v>-3.2275825600247584E-3</v>
      </c>
      <c r="BS164" s="871">
        <f t="shared" ca="1" si="75"/>
        <v>1.357378908917011E-2</v>
      </c>
      <c r="BT164" s="871">
        <f t="shared" ca="1" si="75"/>
        <v>1.8507815907397269E-2</v>
      </c>
    </row>
    <row r="165" spans="2:72" x14ac:dyDescent="0.25">
      <c r="B165" s="375">
        <f t="shared" si="72"/>
        <v>2036</v>
      </c>
      <c r="C165" s="401">
        <f>MAX(TREND(C152:C153,B152:B153,B165),0)</f>
        <v>20923077.5</v>
      </c>
      <c r="D165" s="402">
        <f>MAX(TREND(D152:D153,B152:B153,B165),0)</f>
        <v>18925615</v>
      </c>
      <c r="E165" s="401">
        <f>MAX(TREND(E152:E153,B152:B153,B165),0)</f>
        <v>302220</v>
      </c>
      <c r="F165" s="402">
        <f>MAX(TREND(F152:F153,B152:B153,B165),0)</f>
        <v>272655</v>
      </c>
      <c r="G165" s="401">
        <f>MAX(TREND(G152:G153,B152:B153,B165),0)</f>
        <v>0</v>
      </c>
      <c r="H165" s="402">
        <f>MAX(TREND(H152:H153,B152:B153,B165),0)</f>
        <v>0</v>
      </c>
      <c r="I165" s="401">
        <f>MAX(TREND(I152:I153,B152:B153,B165),0)</f>
        <v>0</v>
      </c>
      <c r="J165" s="402">
        <f>MAX(TREND(J152:J153,B152:B153,B165),0)</f>
        <v>0</v>
      </c>
      <c r="K165" s="435">
        <f>IFERROR(IF(INDEX(HwyTransitModelGroup,A146,1)=Hwy,MAX(5,ROUND(C165/E165,1)),MAX(5,ROUND(G165/I165,1))),55)</f>
        <v>69.2</v>
      </c>
      <c r="L165" s="436">
        <f>IFERROR(IF(INDEX(HwyTransitModelGroup,A146,1)=Hwy,MAX(5,ROUND(D165/F165,1)),MAX(5,ROUND(H165/J165,1))),55)</f>
        <v>69.400000000000006</v>
      </c>
      <c r="M165" s="405">
        <f>MIN(MAX(TREND(M152:M153,B152:B153,B165),0),1)</f>
        <v>0.24</v>
      </c>
      <c r="N165" s="406">
        <f>MIN(MAX(TREND(N152:N153,B152:B153,B165),0),1)</f>
        <v>0.24</v>
      </c>
      <c r="O165" s="401">
        <f>MAX(TREND(O152:O153,B152:B153,B165),0)</f>
        <v>0</v>
      </c>
      <c r="P165" s="402">
        <f>MAX(TREND(P152:P153,B152:B153,B165),0)</f>
        <v>0</v>
      </c>
      <c r="Q165" s="729">
        <f>IF(INDEX(HwyTransitModelGroup,A146,1)=Hwy,C165*(1-M165)*0.00000110231131*(VLOOKUP(K165,EmAuto20,2)*VLOOKUP(ProjLoc,EmCost,2)+VLOOKUP(K165,EmAuto20,3)*VLOOKUP(ProjLoc,EmCost,3)*(1+CO2Uprater)^($B165-YearCurrent)+VLOOKUP(K165,EmAuto20,4)*VLOOKUP(ProjLoc,EmCost,4)+VLOOKUP(K165,EmAuto20,5)*VLOOKUP(ProjLoc,EmCost,5)+VLOOKUP(K165,EmAuto20,6)*VLOOKUP(ProjLoc,EmCost,6)+VLOOKUP(K165,EmAuto20,7)*VLOOKUP(ProjLoc,EmCost,7))+C165*M165*0.00000110231131*(VLOOKUP(K165,EmTruck20,2)*VLOOKUP(ProjLoc,EmCost,2)+VLOOKUP(K165,EmTruck20,3)*VLOOKUP(ProjLoc,EmCost,3)*(1+CO2Uprater)^($B165-YearCurrent)+VLOOKUP(K165,EmTruck20,4)*VLOOKUP(ProjLoc,EmCost,4)+VLOOKUP(K165,EmTruck20,5)*VLOOKUP(ProjLoc,EmCost,5)+VLOOKUP(K165,EmTruck20,6)*VLOOKUP(ProjLoc,EmCost,6)+VLOOKUP(K165,EmTruck20,7)*VLOOKUP(ProjLoc,EmCost,7)),0)</f>
        <v>742439.99468947994</v>
      </c>
      <c r="R165" s="802">
        <f>IF(INDEX(HwyTransitModelGroup,A146,1)=Hwy,D165*(1-N165)*0.00000110231131*(VLOOKUP(L165,EmAuto20,2)*VLOOKUP(ProjLoc,EmCost,2)+VLOOKUP(L165,EmAuto20,3)*VLOOKUP(ProjLoc,EmCost,3)*(1+CO2Uprater)^($B165-YearCurrent)+VLOOKUP(L165,EmAuto20,4)*VLOOKUP(ProjLoc,EmCost,4)+VLOOKUP(L165,EmAuto20,5)*VLOOKUP(ProjLoc,EmCost,5)+VLOOKUP(L165,EmAuto20,6)*VLOOKUP(ProjLoc,EmCost,6)+VLOOKUP(L165,EmAuto20,7)*VLOOKUP(ProjLoc,EmCost,7))+D165*N165*0.00000110231131*(VLOOKUP(L165,EmTruck20,2)*VLOOKUP(ProjLoc,EmCost,2)+VLOOKUP(L165,EmTruck20,3)*VLOOKUP(ProjLoc,EmCost,3)*(1+CO2Uprater)^($B165-YearCurrent)+VLOOKUP(L165,EmTruck20,4)*VLOOKUP(ProjLoc,EmCost,4)+VLOOKUP(L165,EmTruck20,5)*VLOOKUP(ProjLoc,EmCost,5)+VLOOKUP(L165,EmTruck20,6)*VLOOKUP(ProjLoc,EmCost,6)+VLOOKUP(L165,EmTruck20,7)*VLOOKUP(ProjLoc,EmCost,7)),0)</f>
        <v>671561.50906075549</v>
      </c>
      <c r="S165" s="729">
        <f>IF(INDEX(HwyTransitModelGroup,A146,1)=Hwy,O165*(1-M165)*0.00000110231131*(VLOOKUP(0,EmAuto20,2)*VLOOKUP(ProjLoc,EmCost,2)+VLOOKUP(0,EmAuto20,3)*VLOOKUP(ProjLoc,EmCost,3)*(1+CO2Uprater)^($B165-YearCurrent)+VLOOKUP(0,EmAuto20,4)*VLOOKUP(ProjLoc,EmCost,4)+VLOOKUP(0,EmAuto20,5)*VLOOKUP(ProjLoc,EmCost,5)+VLOOKUP(0,EmAuto20,6)*VLOOKUP(ProjLoc,EmCost,6)+VLOOKUP(0,EmAuto20,7)*VLOOKUP(ProjLoc,EmCost,7))+O165*M165*0.00000110231131*(VLOOKUP(0,EmTruck20,2)*VLOOKUP(ProjLoc,EmCost,2)+VLOOKUP(0,EmTruck20,3)*VLOOKUP(ProjLoc,EmCost,3)*(1+CO2Uprater)^($B165-YearCurrent)+VLOOKUP(0,EmTruck20,4)*VLOOKUP(ProjLoc,EmCost,4)+VLOOKUP(0,EmTruck20,5)*VLOOKUP(ProjLoc,EmCost,5)+VLOOKUP(0,EmTruck20,6)*VLOOKUP(ProjLoc,EmCost,6)+VLOOKUP(0,EmTruck20,7)*VLOOKUP(ProjLoc,EmCost,7)),0)</f>
        <v>0</v>
      </c>
      <c r="T165" s="802">
        <f>IF(INDEX(HwyTransitModelGroup,A146,1)=Hwy,P165*(1-N165)*0.00000110231131*(VLOOKUP(0,EmAuto20,2)*VLOOKUP(ProjLoc,EmCost,2)+VLOOKUP(0,EmAuto20,3)*VLOOKUP(ProjLoc,EmCost,3)*(1+CO2Uprater)^($B165-YearCurrent)+VLOOKUP(0,EmAuto20,4)*VLOOKUP(ProjLoc,EmCost,4)+VLOOKUP(0,EmAuto20,5)*VLOOKUP(ProjLoc,EmCost,5)+VLOOKUP(0,EmAuto20,6)*VLOOKUP(ProjLoc,EmCost,6)+VLOOKUP(0,EmAuto20,7)*VLOOKUP(ProjLoc,EmCost,7))+P165*N165*0.00000110231131*(VLOOKUP(0,EmTruck20,2)*VLOOKUP(ProjLoc,EmCost,2)+VLOOKUP(0,EmTruck20,3)*VLOOKUP(ProjLoc,EmCost,3)*(1+CO2Uprater)^($B165-YearCurrent)+VLOOKUP(0,EmTruck20,4)*VLOOKUP(ProjLoc,EmCost,4)+VLOOKUP(0,EmTruck20,5)*VLOOKUP(ProjLoc,EmCost,5)+VLOOKUP(0,EmTruck20,6)*VLOOKUP(ProjLoc,EmCost,6)+VLOOKUP(0,EmTruck20,7)*VLOOKUP(ProjLoc,EmCost,7)),0)</f>
        <v>0</v>
      </c>
      <c r="U165" s="729">
        <f>IF(INDEX(HwyTransitModelGroup,A146,1)=PARAMETERS!$J$9,C165*0.00000110231131*(VLOOKUP(K165,EmBus20,2)*VLOOKUP(ProjLoc,EmCost,2)+VLOOKUP(K165,EmBus20,3)*VLOOKUP(ProjLoc,EmCost,3)*(1+CO2Uprater)^($B165-YearCurrent)+VLOOKUP(K165,EmBus20,4)*VLOOKUP(ProjLoc,EmCost,4)+VLOOKUP(K165,EmBus20,5)*VLOOKUP(ProjLoc,EmCost,5)+VLOOKUP(K165,EmBus20,6)*VLOOKUP(ProjLoc,EmCost,6)+VLOOKUP(K165,EmBus20,7)*VLOOKUP(ProjLoc,EmCost,7)),0)</f>
        <v>0</v>
      </c>
      <c r="V165" s="802">
        <f>IF(INDEX(HwyTransitModelGroup,A146,1)=PARAMETERS!$J$9,D165*0.00000110231131*(VLOOKUP(L165,EmBus20,2)*VLOOKUP(ProjLoc,EmCost,2)+VLOOKUP(L165,EmBus20,3)*VLOOKUP(ProjLoc,EmCost,3)*(1+CO2Uprater)^($B165-YearCurrent)+VLOOKUP(L165,EmBus20,4)*VLOOKUP(ProjLoc,EmCost,4)+VLOOKUP(L165,EmBus20,5)*VLOOKUP(ProjLoc,EmCost,5)+VLOOKUP(L165,EmBus20,6)*VLOOKUP(ProjLoc,EmCost,6)+VLOOKUP(L165,EmBus20,7)*VLOOKUP(ProjLoc,EmCost,7)),0)</f>
        <v>0</v>
      </c>
      <c r="W165" s="808">
        <f>IF(INDEX(HwyTransitModelGroup,A146,1)=PARAMETERS!$J$10,C165*0.00000110231131*(PARAMETERS!$CQ$29*VLOOKUP(ProjLoc,EmCost,2)+PARAMETERS!$CR$29*VLOOKUP(ProjLoc,EmCost,3)*(1+CO2Uprater)^($B165-YearCurrent)+PARAMETERS!$CS$29*VLOOKUP(ProjLoc,EmCost,4)+PARAMETERS!$CT$29*VLOOKUP(ProjLoc,EmCost,5)+PARAMETERS!$CU$29*VLOOKUP(ProjLoc,EmCost,6)+PARAMETERS!$CV$29*VLOOKUP(ProjLoc,EmCost,7)),0)</f>
        <v>0</v>
      </c>
      <c r="X165" s="844">
        <f>IF(INDEX(HwyTransitModelGroup,A146,1)=PARAMETERS!$J$10,D165*0.00000110231131*(PARAMETERS!$CQ$29*VLOOKUP(ProjLoc,EmCost,2)+PARAMETERS!$CR$29*VLOOKUP(ProjLoc,EmCost,3)*(1+CO2Uprater)^($B165-YearCurrent)+PARAMETERS!$CS$29*VLOOKUP(ProjLoc,EmCost,4)+PARAMETERS!$CT$29*VLOOKUP(ProjLoc,EmCost,5)+PARAMETERS!$CU$29*VLOOKUP(ProjLoc,EmCost,6)+PARAMETERS!$CV$29*VLOOKUP(ProjLoc,EmCost,7)),0)</f>
        <v>0</v>
      </c>
      <c r="Y165" s="808">
        <f>IF(INDEX(HwyTransitModelGroup,A146,1)=PARAMETERS!$J$11,C165*0.00000110231131*(PARAMETERS!$CQ$37*VLOOKUP(ProjLoc,EmCost,2)+PARAMETERS!$CR$37*VLOOKUP(ProjLoc,EmCost,3)*(1+CO2Uprater)^($B165-YearCurrent)+PARAMETERS!$CS$37*VLOOKUP(ProjLoc,EmCost,4)+PARAMETERS!$CT$37*VLOOKUP(ProjLoc,EmCost,5)+PARAMETERS!$CU$37*VLOOKUP(ProjLoc,EmCost,6)+PARAMETERS!$CV$37*VLOOKUP(ProjLoc,EmCost,7)),0)</f>
        <v>0</v>
      </c>
      <c r="Z165" s="844">
        <f>IF(INDEX(HwyTransitModelGroup,A146,1)=PARAMETERS!$J$11,D165*0.00000110231131*(PARAMETERS!$CQ$37*VLOOKUP(ProjLoc,EmCost,2)+PARAMETERS!$CR$37*VLOOKUP(ProjLoc,EmCost,3)*(1+CO2Uprater)^($B165-YearCurrent)+PARAMETERS!$CS$37*VLOOKUP(ProjLoc,EmCost,4)+PARAMETERS!$CT$37*VLOOKUP(ProjLoc,EmCost,5)+PARAMETERS!$CU$37*VLOOKUP(ProjLoc,EmCost,6)+PARAMETERS!$CV$37*VLOOKUP(ProjLoc,EmCost,7)),0)</f>
        <v>0</v>
      </c>
      <c r="AA165" s="369">
        <f t="shared" si="64"/>
        <v>70878.485628724447</v>
      </c>
      <c r="AB165" s="370">
        <f t="shared" si="65"/>
        <v>40930.559358731822</v>
      </c>
      <c r="AC165" s="371"/>
      <c r="AD165" s="401">
        <f>IF(INDEX(HwyTransitModelGroup,A146,1)=Hwy,0.00000110231131*(C165*(1-M165)*VLOOKUP(K165,EmAuto20,2)-D165*(1-N165)*VLOOKUP(L165,EmAuto20,2)+(O165*(1-M165)-P165*(1-N165))*VLOOKUP(0,EmAuto20,2))+0.00000110231131*(C165*M165*VLOOKUP(K165,EmTruck20,2)-D165*N165*VLOOKUP(L165,EmTruck20,2)+(O165*M165-P165*N165)*VLOOKUP(0,EmTruck20,2)),0)</f>
        <v>0.74514178741931647</v>
      </c>
      <c r="AE165" s="863">
        <f>IF(INDEX(HwyTransitModelGroup,A146,1)=Hwy,0.00000110231131*(C165*(1-M165)*VLOOKUP(K165,EmAuto20,3)-D165*(1-N165)*VLOOKUP(L165,EmAuto20,3)+(O165*(1-M165)-P165*(1-N165))*VLOOKUP(0,EmAuto20,3))+0.00000110231131*(C165*M165*VLOOKUP(K165,EmTruck20,3)-D165*N165*VLOOKUP(L165,EmTruck20,3)+(O165*M165-P165*N165)*VLOOKUP(0,EmTruck20,3)),0)</f>
        <v>970.09245270670601</v>
      </c>
      <c r="AF165" s="861">
        <f>IF(INDEX(HwyTransitModelGroup,A146,1)=Hwy,0.00000110231131*(C165*(1-M165)*VLOOKUP(K165,EmAuto20,4)-D165*(1-N165)*VLOOKUP(L165,EmAuto20,4)+(O165*(1-M165)-P165*(1-N165))*VLOOKUP(0,EmAuto20,4))+0.00000110231131*(C165*M165*VLOOKUP(K165,EmTruck20,4)-D165*N165*VLOOKUP(L165,EmTruck20,4)+(O165*M165-P165*N165)*VLOOKUP(0,EmTruck20,4)),0)</f>
        <v>0.48298363548594031</v>
      </c>
      <c r="AG165" s="863">
        <f>IF(INDEX(HwyTransitModelGroup,A146,1)=Hwy,0.00000110231131*(C165*(1-M165)*VLOOKUP(K165,EmAuto20,5)-D165*(1-N165)*VLOOKUP(L165,EmAuto20,5)+(O165*(1-M165)-P165*(1-N165))*VLOOKUP(0,EmAuto20,5))+0.00000110231131*(C165*M165*VLOOKUP(K165,EmTruck20,5)-D165*N165*VLOOKUP(L165,EmTruck20,5)+(O165*M165-P165*N165)*VLOOKUP(0,EmTruck20,5)),0)</f>
        <v>1.2990770479800148E-2</v>
      </c>
      <c r="AH165" s="861">
        <f>IF(INDEX(HwyTransitModelGroup,A146,1)=Hwy,0.00000110231131*(C165*(1-M165)*VLOOKUP(K165,EmAuto20,6)-D165*(1-N165)*VLOOKUP(L165,EmAuto20,6)+(O165*(1-M165)-P165*(1-N165))*VLOOKUP(0,EmAuto20,6))+0.00000110231131*(C165*M165*VLOOKUP(K165,EmTruck20,6)-D165*N165*VLOOKUP(L165,EmTruck20,6)+(O165*M165-P165*N165)*VLOOKUP(0,EmTruck20,6)),0)</f>
        <v>9.3357401414157111E-3</v>
      </c>
      <c r="AI165" s="863">
        <f>IF(INDEX(HwyTransitModelGroup,A146,1)=Hwy,0.00000110231131*(C165*(1-M165)*VLOOKUP(K165,EmAuto20,7)-D165*(1-N165)*VLOOKUP(L165,EmAuto20,7)+(O165*(1-M165)-P165*(1-N165))*VLOOKUP(0,EmAuto20,7))+0.00000110231131*(C165*M165*VLOOKUP(K165,EmTruck20,7)-D165*N165*VLOOKUP(L165,EmTruck20,7)+(O165*M165-P165*N165)*VLOOKUP(0,EmTruck20,7)),0)</f>
        <v>1.639919636161891E-2</v>
      </c>
      <c r="AJ165" s="861">
        <f>IF(INDEX(HwyTransitModelGroup,A146,1)=Hwy,0.00000110231131*(C165*(1-M165)*VLOOKUP(K165,EmAuto20,8)-D165*(1-N165)*VLOOKUP(L165,EmAuto20,8)+(O165*(1-M165)-P165*(1-N165))*VLOOKUP(0,EmAuto20,8))+0.00000110231131*(C165*M165*VLOOKUP(K165,EmTruck20,8)-D165*N165*VLOOKUP(L165,EmTruck20,8)+(O165*M165-P165*N165)*VLOOKUP(0,EmTruck20,8)),0)</f>
        <v>1.2462332358587951E-2</v>
      </c>
      <c r="AK165" s="401">
        <f>IF(INDEX(HwyTransitModelGroup,A146,1)=PARAMETERS!$J$9,0.00000110231131*(C165*VLOOKUP(K165,EmBus20,2)-D165*VLOOKUP(L165,EmBus20,2)+(O165-P165)*VLOOKUP(0,EmBus20,2)),0)</f>
        <v>0</v>
      </c>
      <c r="AL165" s="863">
        <f>IF(INDEX(HwyTransitModelGroup,A146,1)=PARAMETERS!$J$9,0.00000110231131*(C165*VLOOKUP(K165,EmBus20,3)-D165*VLOOKUP(L165,EmBus20,3)+(O165-P165)*VLOOKUP(0,EmBus20,3)),0)</f>
        <v>0</v>
      </c>
      <c r="AM165" s="861">
        <f>IF(INDEX(HwyTransitModelGroup,A146,1)=PARAMETERS!$J$9,0.00000110231131*(C165*VLOOKUP(K165,EmBus20,4)-D165*VLOOKUP(L165,EmBus20,4)+(O165-P165)*VLOOKUP(0,EmBus20,4)),0)</f>
        <v>0</v>
      </c>
      <c r="AN165" s="863">
        <f>IF(INDEX(HwyTransitModelGroup,A146,1)=PARAMETERS!$J$9,0.00000110231131*(C165*VLOOKUP(K165,EmBus20,5)-D165*VLOOKUP(L165,EmBus20,5)+(O165-P165)*VLOOKUP(0,EmBus20,5)),0)</f>
        <v>0</v>
      </c>
      <c r="AO165" s="861">
        <f>IF(INDEX(HwyTransitModelGroup,A146,1)=PARAMETERS!$J$9,0.00000110231131*(C165*VLOOKUP(K165,EmBus20,6)-D165*VLOOKUP(L165,EmBus20,6)+(O165-P165)*VLOOKUP(0,EmBus20,6)),0)</f>
        <v>0</v>
      </c>
      <c r="AP165" s="863">
        <f>IF(INDEX(HwyTransitModelGroup,A146,1)=PARAMETERS!$J$9,0.00000110231131*(C165*VLOOKUP(K165,EmBus20,7)-D165*VLOOKUP(L165,EmBus20,7)+(O165-P165)*VLOOKUP(0,EmBus20,7)),0)</f>
        <v>0</v>
      </c>
      <c r="AQ165" s="861">
        <f>IF(INDEX(HwyTransitModelGroup,A146,1)=PARAMETERS!$J$9,0.00000110231131*(C165*VLOOKUP(K165,EmBus20,8)-D165*VLOOKUP(L165,EmBus20,8)+(O165-P165)*VLOOKUP(0,EmBus20,8)),0)</f>
        <v>0</v>
      </c>
      <c r="AR165" s="401">
        <f>IF(INDEX(HwyTransitModelGroup,A146,1)=PARAMETERS!$J$10,0.00000110231131*((C165-D165)*PARAMETERS!$CQ$29),0)</f>
        <v>0</v>
      </c>
      <c r="AS165" s="863">
        <f>IF(INDEX(HwyTransitModelGroup,A146,1)=PARAMETERS!$J$10,0.00000110231131*((C165-D165)*PARAMETERS!$CR$29),0)</f>
        <v>0</v>
      </c>
      <c r="AT165" s="861">
        <f>IF(INDEX(HwyTransitModelGroup,A146,1)=PARAMETERS!$J$10,0.00000110231131*((C165-D165)*PARAMETERS!$CS$29),0)</f>
        <v>0</v>
      </c>
      <c r="AU165" s="863">
        <f>IF(INDEX(HwyTransitModelGroup,A146,1)=PARAMETERS!$J$10,0.00000110231131*((C165-D165)*PARAMETERS!$CT$29),0)</f>
        <v>0</v>
      </c>
      <c r="AV165" s="861">
        <f>IF(INDEX(HwyTransitModelGroup,A146,1)=PARAMETERS!$J$10,0.00000110231131*((C165-D165)*PARAMETERS!$CU$29),0)</f>
        <v>0</v>
      </c>
      <c r="AW165" s="863">
        <f>IF(INDEX(HwyTransitModelGroup,A146,1)=PARAMETERS!$J$10,0.00000110231131*((C165-D165)*PARAMETERS!$CV$29),0)</f>
        <v>0</v>
      </c>
      <c r="AX165" s="861">
        <f>IF(INDEX(HwyTransitModelGroup,A146,1)=PARAMETERS!$J$10,0.00000110231131*((C165-D165)*PARAMETERS!$CW$29),0)</f>
        <v>0</v>
      </c>
      <c r="AY165" s="401">
        <f>IF(INDEX(HwyTransitModelGroup,A146,1)=PARAMETERS!$J$11,0.00000110231131*((C165-D165)*PARAMETERS!$CQ$37),0)</f>
        <v>0</v>
      </c>
      <c r="AZ165" s="863">
        <f>IF(INDEX(HwyTransitModelGroup,A146,1)=PARAMETERS!$J$11,0.00000110231131*((C165-D165)*PARAMETERS!$CR$37),0)</f>
        <v>0</v>
      </c>
      <c r="BA165" s="861">
        <f>IF(INDEX(HwyTransitModelGroup,A146,1)=PARAMETERS!$J$11,0.00000110231131*((C165-D165)*PARAMETERS!$CS$37),0)</f>
        <v>0</v>
      </c>
      <c r="BB165" s="863">
        <f>IF(INDEX(HwyTransitModelGroup,A146,1)=PARAMETERS!$J$11,0.00000110231131*((C165-D165)*PARAMETERS!$CT$37),0)</f>
        <v>0</v>
      </c>
      <c r="BC165" s="861">
        <f>IF(INDEX(HwyTransitModelGroup,A146,1)=PARAMETERS!$J$11,0.00000110231131*((C165-D165)*PARAMETERS!$CU$37),0)</f>
        <v>0</v>
      </c>
      <c r="BD165" s="863">
        <f>IF(INDEX(HwyTransitModelGroup,A146,1)=PARAMETERS!$J$11,0.00000110231131*((C165-D165)*PARAMETERS!$CV$37),0)</f>
        <v>0</v>
      </c>
      <c r="BE165" s="865">
        <f>IF(INDEX(HwyTransitModelGroup,A146,1)=PARAMETERS!$J$11,0.00000110231131*((C165-D165)*PARAMETERS!$CW$37),0)</f>
        <v>0</v>
      </c>
      <c r="BF165" s="729">
        <f t="shared" si="66"/>
        <v>34.424065232316657</v>
      </c>
      <c r="BG165" s="867">
        <f t="shared" si="67"/>
        <v>35480.523387408321</v>
      </c>
      <c r="BH165" s="867">
        <f t="shared" si="68"/>
        <v>4211.5563250476853</v>
      </c>
      <c r="BI165" s="867">
        <f t="shared" si="69"/>
        <v>875.4654583951517</v>
      </c>
      <c r="BJ165" s="867">
        <f t="shared" si="70"/>
        <v>318.07828137064678</v>
      </c>
      <c r="BK165" s="869">
        <f t="shared" si="71"/>
        <v>10.511841277622</v>
      </c>
      <c r="BL165" s="431"/>
      <c r="BN165" s="375">
        <f t="shared" si="76"/>
        <v>2031</v>
      </c>
      <c r="BO165" s="871">
        <f t="shared" ca="1" si="74"/>
        <v>-1.5842280358406675E-5</v>
      </c>
      <c r="BP165" s="871">
        <f t="shared" ca="1" si="75"/>
        <v>-1.6643708631318226E-4</v>
      </c>
      <c r="BQ165" s="871">
        <f t="shared" ca="1" si="75"/>
        <v>1.4240751546555164E-4</v>
      </c>
      <c r="BR165" s="871">
        <f t="shared" ca="1" si="75"/>
        <v>-3.2668753582811619E-3</v>
      </c>
      <c r="BS165" s="871">
        <f t="shared" ca="1" si="75"/>
        <v>1.4194414435588392E-2</v>
      </c>
      <c r="BT165" s="871">
        <f t="shared" ca="1" si="75"/>
        <v>1.9013071632505298E-2</v>
      </c>
    </row>
    <row r="166" spans="2:72" x14ac:dyDescent="0.25">
      <c r="B166" s="375">
        <f t="shared" si="72"/>
        <v>2037</v>
      </c>
      <c r="C166" s="401">
        <f>MAX(TREND(C152:C153,B152:B153,B166),0)</f>
        <v>21171478.25</v>
      </c>
      <c r="D166" s="402">
        <f>MAX(TREND(D152:D153,B152:B153,B166),0)</f>
        <v>19102348</v>
      </c>
      <c r="E166" s="401">
        <f>MAX(TREND(E152:E153,B152:B153,B166),0)</f>
        <v>305870</v>
      </c>
      <c r="F166" s="402">
        <f>MAX(TREND(F152:F153,B152:B153,B166),0)</f>
        <v>275246.5</v>
      </c>
      <c r="G166" s="401">
        <f>MAX(TREND(G152:G153,B152:B153,B166),0)</f>
        <v>0</v>
      </c>
      <c r="H166" s="402">
        <f>MAX(TREND(H152:H153,B152:B153,B166),0)</f>
        <v>0</v>
      </c>
      <c r="I166" s="401">
        <f>MAX(TREND(I152:I153,B152:B153,B166),0)</f>
        <v>0</v>
      </c>
      <c r="J166" s="402">
        <f>MAX(TREND(J152:J153,B152:B153,B166),0)</f>
        <v>0</v>
      </c>
      <c r="K166" s="435">
        <f>IFERROR(IF(INDEX(HwyTransitModelGroup,A146,1)=Hwy,MAX(5,ROUND(C166/E166,1)),MAX(5,ROUND(G166/I166,1))),55)</f>
        <v>69.2</v>
      </c>
      <c r="L166" s="436">
        <f>IFERROR(IF(INDEX(HwyTransitModelGroup,A146,1)=Hwy,MAX(5,ROUND(D166/F166,1)),MAX(5,ROUND(H166/J166,1))),55)</f>
        <v>69.400000000000006</v>
      </c>
      <c r="M166" s="405">
        <f>MIN(MAX(TREND(M152:M153,B152:B153,B166),0),1)</f>
        <v>0.24</v>
      </c>
      <c r="N166" s="406">
        <f>MIN(MAX(TREND(N152:N153,B152:B153,B166),0),1)</f>
        <v>0.24</v>
      </c>
      <c r="O166" s="401">
        <f>MAX(TREND(O152:O153,B152:B153,B166),0)</f>
        <v>0</v>
      </c>
      <c r="P166" s="402">
        <f>MAX(TREND(P152:P153,B152:B153,B166),0)</f>
        <v>0</v>
      </c>
      <c r="Q166" s="729">
        <f>IF(INDEX(HwyTransitModelGroup,A146,1)=Hwy,C166*(1-M166)*0.00000110231131*(VLOOKUP(K166,EmAuto20,2)*VLOOKUP(ProjLoc,EmCost,2)+VLOOKUP(K166,EmAuto20,3)*VLOOKUP(ProjLoc,EmCost,3)*(1+CO2Uprater)^($B166-YearCurrent)+VLOOKUP(K166,EmAuto20,4)*VLOOKUP(ProjLoc,EmCost,4)+VLOOKUP(K166,EmAuto20,5)*VLOOKUP(ProjLoc,EmCost,5)+VLOOKUP(K166,EmAuto20,6)*VLOOKUP(ProjLoc,EmCost,6)+VLOOKUP(K166,EmAuto20,7)*VLOOKUP(ProjLoc,EmCost,7))+C166*M166*0.00000110231131*(VLOOKUP(K166,EmTruck20,2)*VLOOKUP(ProjLoc,EmCost,2)+VLOOKUP(K166,EmTruck20,3)*VLOOKUP(ProjLoc,EmCost,3)*(1+CO2Uprater)^($B166-YearCurrent)+VLOOKUP(K166,EmTruck20,4)*VLOOKUP(ProjLoc,EmCost,4)+VLOOKUP(K166,EmTruck20,5)*VLOOKUP(ProjLoc,EmCost,5)+VLOOKUP(K166,EmTruck20,6)*VLOOKUP(ProjLoc,EmCost,6)+VLOOKUP(K166,EmTruck20,7)*VLOOKUP(ProjLoc,EmCost,7)),0)</f>
        <v>764278.75990989478</v>
      </c>
      <c r="R166" s="802">
        <f>IF(INDEX(HwyTransitModelGroup,A146,1)=Hwy,D166*(1-N166)*0.00000110231131*(VLOOKUP(L166,EmAuto20,2)*VLOOKUP(ProjLoc,EmCost,2)+VLOOKUP(L166,EmAuto20,3)*VLOOKUP(ProjLoc,EmCost,3)*(1+CO2Uprater)^($B166-YearCurrent)+VLOOKUP(L166,EmAuto20,4)*VLOOKUP(ProjLoc,EmCost,4)+VLOOKUP(L166,EmAuto20,5)*VLOOKUP(ProjLoc,EmCost,5)+VLOOKUP(L166,EmAuto20,6)*VLOOKUP(ProjLoc,EmCost,6)+VLOOKUP(L166,EmAuto20,7)*VLOOKUP(ProjLoc,EmCost,7))+D166*N166*0.00000110231131*(VLOOKUP(L166,EmTruck20,2)*VLOOKUP(ProjLoc,EmCost,2)+VLOOKUP(L166,EmTruck20,3)*VLOOKUP(ProjLoc,EmCost,3)*(1+CO2Uprater)^($B166-YearCurrent)+VLOOKUP(L166,EmTruck20,4)*VLOOKUP(ProjLoc,EmCost,4)+VLOOKUP(L166,EmTruck20,5)*VLOOKUP(ProjLoc,EmCost,5)+VLOOKUP(L166,EmTruck20,6)*VLOOKUP(ProjLoc,EmCost,6)+VLOOKUP(L166,EmTruck20,7)*VLOOKUP(ProjLoc,EmCost,7)),0)</f>
        <v>689584.29205609486</v>
      </c>
      <c r="S166" s="729">
        <f>IF(INDEX(HwyTransitModelGroup,A146,1)=Hwy,O166*(1-M166)*0.00000110231131*(VLOOKUP(0,EmAuto20,2)*VLOOKUP(ProjLoc,EmCost,2)+VLOOKUP(0,EmAuto20,3)*VLOOKUP(ProjLoc,EmCost,3)*(1+CO2Uprater)^($B166-YearCurrent)+VLOOKUP(0,EmAuto20,4)*VLOOKUP(ProjLoc,EmCost,4)+VLOOKUP(0,EmAuto20,5)*VLOOKUP(ProjLoc,EmCost,5)+VLOOKUP(0,EmAuto20,6)*VLOOKUP(ProjLoc,EmCost,6)+VLOOKUP(0,EmAuto20,7)*VLOOKUP(ProjLoc,EmCost,7))+O166*M166*0.00000110231131*(VLOOKUP(0,EmTruck20,2)*VLOOKUP(ProjLoc,EmCost,2)+VLOOKUP(0,EmTruck20,3)*VLOOKUP(ProjLoc,EmCost,3)*(1+CO2Uprater)^($B166-YearCurrent)+VLOOKUP(0,EmTruck20,4)*VLOOKUP(ProjLoc,EmCost,4)+VLOOKUP(0,EmTruck20,5)*VLOOKUP(ProjLoc,EmCost,5)+VLOOKUP(0,EmTruck20,6)*VLOOKUP(ProjLoc,EmCost,6)+VLOOKUP(0,EmTruck20,7)*VLOOKUP(ProjLoc,EmCost,7)),0)</f>
        <v>0</v>
      </c>
      <c r="T166" s="802">
        <f>IF(INDEX(HwyTransitModelGroup,A146,1)=Hwy,P166*(1-N166)*0.00000110231131*(VLOOKUP(0,EmAuto20,2)*VLOOKUP(ProjLoc,EmCost,2)+VLOOKUP(0,EmAuto20,3)*VLOOKUP(ProjLoc,EmCost,3)*(1+CO2Uprater)^($B166-YearCurrent)+VLOOKUP(0,EmAuto20,4)*VLOOKUP(ProjLoc,EmCost,4)+VLOOKUP(0,EmAuto20,5)*VLOOKUP(ProjLoc,EmCost,5)+VLOOKUP(0,EmAuto20,6)*VLOOKUP(ProjLoc,EmCost,6)+VLOOKUP(0,EmAuto20,7)*VLOOKUP(ProjLoc,EmCost,7))+P166*N166*0.00000110231131*(VLOOKUP(0,EmTruck20,2)*VLOOKUP(ProjLoc,EmCost,2)+VLOOKUP(0,EmTruck20,3)*VLOOKUP(ProjLoc,EmCost,3)*(1+CO2Uprater)^($B166-YearCurrent)+VLOOKUP(0,EmTruck20,4)*VLOOKUP(ProjLoc,EmCost,4)+VLOOKUP(0,EmTruck20,5)*VLOOKUP(ProjLoc,EmCost,5)+VLOOKUP(0,EmTruck20,6)*VLOOKUP(ProjLoc,EmCost,6)+VLOOKUP(0,EmTruck20,7)*VLOOKUP(ProjLoc,EmCost,7)),0)</f>
        <v>0</v>
      </c>
      <c r="U166" s="729">
        <f>IF(INDEX(HwyTransitModelGroup,A146,1)=PARAMETERS!$J$9,C166*0.00000110231131*(VLOOKUP(K166,EmBus20,2)*VLOOKUP(ProjLoc,EmCost,2)+VLOOKUP(K166,EmBus20,3)*VLOOKUP(ProjLoc,EmCost,3)*(1+CO2Uprater)^($B166-YearCurrent)+VLOOKUP(K166,EmBus20,4)*VLOOKUP(ProjLoc,EmCost,4)+VLOOKUP(K166,EmBus20,5)*VLOOKUP(ProjLoc,EmCost,5)+VLOOKUP(K166,EmBus20,6)*VLOOKUP(ProjLoc,EmCost,6)+VLOOKUP(K166,EmBus20,7)*VLOOKUP(ProjLoc,EmCost,7)),0)</f>
        <v>0</v>
      </c>
      <c r="V166" s="802">
        <f>IF(INDEX(HwyTransitModelGroup,A146,1)=PARAMETERS!$J$9,D166*0.00000110231131*(VLOOKUP(L166,EmBus20,2)*VLOOKUP(ProjLoc,EmCost,2)+VLOOKUP(L166,EmBus20,3)*VLOOKUP(ProjLoc,EmCost,3)*(1+CO2Uprater)^($B166-YearCurrent)+VLOOKUP(L166,EmBus20,4)*VLOOKUP(ProjLoc,EmCost,4)+VLOOKUP(L166,EmBus20,5)*VLOOKUP(ProjLoc,EmCost,5)+VLOOKUP(L166,EmBus20,6)*VLOOKUP(ProjLoc,EmCost,6)+VLOOKUP(L166,EmBus20,7)*VLOOKUP(ProjLoc,EmCost,7)),0)</f>
        <v>0</v>
      </c>
      <c r="W166" s="808">
        <f>IF(INDEX(HwyTransitModelGroup,A146,1)=PARAMETERS!$J$10,C166*0.00000110231131*(PARAMETERS!$CQ$29*VLOOKUP(ProjLoc,EmCost,2)+PARAMETERS!$CR$29*VLOOKUP(ProjLoc,EmCost,3)*(1+CO2Uprater)^($B166-YearCurrent)+PARAMETERS!$CS$29*VLOOKUP(ProjLoc,EmCost,4)+PARAMETERS!$CT$29*VLOOKUP(ProjLoc,EmCost,5)+PARAMETERS!$CU$29*VLOOKUP(ProjLoc,EmCost,6)+PARAMETERS!$CV$29*VLOOKUP(ProjLoc,EmCost,7)),0)</f>
        <v>0</v>
      </c>
      <c r="X166" s="844">
        <f>IF(INDEX(HwyTransitModelGroup,A146,1)=PARAMETERS!$J$10,D166*0.00000110231131*(PARAMETERS!$CQ$29*VLOOKUP(ProjLoc,EmCost,2)+PARAMETERS!$CR$29*VLOOKUP(ProjLoc,EmCost,3)*(1+CO2Uprater)^($B166-YearCurrent)+PARAMETERS!$CS$29*VLOOKUP(ProjLoc,EmCost,4)+PARAMETERS!$CT$29*VLOOKUP(ProjLoc,EmCost,5)+PARAMETERS!$CU$29*VLOOKUP(ProjLoc,EmCost,6)+PARAMETERS!$CV$29*VLOOKUP(ProjLoc,EmCost,7)),0)</f>
        <v>0</v>
      </c>
      <c r="Y166" s="808">
        <f>IF(INDEX(HwyTransitModelGroup,A146,1)=PARAMETERS!$J$11,C166*0.00000110231131*(PARAMETERS!$CQ$37*VLOOKUP(ProjLoc,EmCost,2)+PARAMETERS!$CR$37*VLOOKUP(ProjLoc,EmCost,3)*(1+CO2Uprater)^($B166-YearCurrent)+PARAMETERS!$CS$37*VLOOKUP(ProjLoc,EmCost,4)+PARAMETERS!$CT$37*VLOOKUP(ProjLoc,EmCost,5)+PARAMETERS!$CU$37*VLOOKUP(ProjLoc,EmCost,6)+PARAMETERS!$CV$37*VLOOKUP(ProjLoc,EmCost,7)),0)</f>
        <v>0</v>
      </c>
      <c r="Z166" s="844">
        <f>IF(INDEX(HwyTransitModelGroup,A146,1)=PARAMETERS!$J$11,D166*0.00000110231131*(PARAMETERS!$CQ$37*VLOOKUP(ProjLoc,EmCost,2)+PARAMETERS!$CR$37*VLOOKUP(ProjLoc,EmCost,3)*(1+CO2Uprater)^($B166-YearCurrent)+PARAMETERS!$CS$37*VLOOKUP(ProjLoc,EmCost,4)+PARAMETERS!$CT$37*VLOOKUP(ProjLoc,EmCost,5)+PARAMETERS!$CU$37*VLOOKUP(ProjLoc,EmCost,6)+PARAMETERS!$CV$37*VLOOKUP(ProjLoc,EmCost,7)),0)</f>
        <v>0</v>
      </c>
      <c r="AA166" s="369">
        <f t="shared" si="64"/>
        <v>74694.467853799928</v>
      </c>
      <c r="AB166" s="370">
        <f t="shared" si="65"/>
        <v>41475.186548272904</v>
      </c>
      <c r="AC166" s="371"/>
      <c r="AD166" s="401">
        <f>IF(INDEX(HwyTransitModelGroup,A146,1)=Hwy,0.00000110231131*(C166*(1-M166)*VLOOKUP(K166,EmAuto20,2)-D166*(1-N166)*VLOOKUP(L166,EmAuto20,2)+(O166*(1-M166)-P166*(1-N166))*VLOOKUP(0,EmAuto20,2))+0.00000110231131*(C166*M166*VLOOKUP(K166,EmTruck20,2)-D166*N166*VLOOKUP(L166,EmTruck20,2)+(O166*M166-P166*N166)*VLOOKUP(0,EmTruck20,2)),0)</f>
        <v>0.77187702542019054</v>
      </c>
      <c r="AE166" s="863">
        <f>IF(INDEX(HwyTransitModelGroup,A146,1)=Hwy,0.00000110231131*(C166*(1-M166)*VLOOKUP(K166,EmAuto20,3)-D166*(1-N166)*VLOOKUP(L166,EmAuto20,3)+(O166*(1-M166)-P166*(1-N166))*VLOOKUP(0,EmAuto20,3))+0.00000110231131*(C166*M166*VLOOKUP(K166,EmTruck20,3)-D166*N166*VLOOKUP(L166,EmTruck20,3)+(O166*M166-P166*N166)*VLOOKUP(0,EmTruck20,3)),0)</f>
        <v>1004.8987849294506</v>
      </c>
      <c r="AF166" s="861">
        <f>IF(INDEX(HwyTransitModelGroup,A146,1)=Hwy,0.00000110231131*(C166*(1-M166)*VLOOKUP(K166,EmAuto20,4)-D166*(1-N166)*VLOOKUP(L166,EmAuto20,4)+(O166*(1-M166)-P166*(1-N166))*VLOOKUP(0,EmAuto20,4))+0.00000110231131*(C166*M166*VLOOKUP(K166,EmTruck20,4)-D166*N166*VLOOKUP(L166,EmTruck20,4)+(O166*M166-P166*N166)*VLOOKUP(0,EmTruck20,4)),0)</f>
        <v>0.50031279708076226</v>
      </c>
      <c r="AG166" s="863">
        <f>IF(INDEX(HwyTransitModelGroup,A146,1)=Hwy,0.00000110231131*(C166*(1-M166)*VLOOKUP(K166,EmAuto20,5)-D166*(1-N166)*VLOOKUP(L166,EmAuto20,5)+(O166*(1-M166)-P166*(1-N166))*VLOOKUP(0,EmAuto20,5))+0.00000110231131*(C166*M166*VLOOKUP(K166,EmTruck20,5)-D166*N166*VLOOKUP(L166,EmTruck20,5)+(O166*M166-P166*N166)*VLOOKUP(0,EmTruck20,5)),0)</f>
        <v>1.3456871490984981E-2</v>
      </c>
      <c r="AH166" s="861">
        <f>IF(INDEX(HwyTransitModelGroup,A146,1)=Hwy,0.00000110231131*(C166*(1-M166)*VLOOKUP(K166,EmAuto20,6)-D166*(1-N166)*VLOOKUP(L166,EmAuto20,6)+(O166*(1-M166)-P166*(1-N166))*VLOOKUP(0,EmAuto20,6))+0.00000110231131*(C166*M166*VLOOKUP(K166,EmTruck20,6)-D166*N166*VLOOKUP(L166,EmTruck20,6)+(O166*M166-P166*N166)*VLOOKUP(0,EmTruck20,6)),0)</f>
        <v>9.6707008680976623E-3</v>
      </c>
      <c r="AI166" s="863">
        <f>IF(INDEX(HwyTransitModelGroup,A146,1)=Hwy,0.00000110231131*(C166*(1-M166)*VLOOKUP(K166,EmAuto20,7)-D166*(1-N166)*VLOOKUP(L166,EmAuto20,7)+(O166*(1-M166)-P166*(1-N166))*VLOOKUP(0,EmAuto20,7))+0.00000110231131*(C166*M166*VLOOKUP(K166,EmTruck20,7)-D166*N166*VLOOKUP(L166,EmTruck20,7)+(O166*M166-P166*N166)*VLOOKUP(0,EmTruck20,7)),0)</f>
        <v>1.6987589638111186E-2</v>
      </c>
      <c r="AJ166" s="861">
        <f>IF(INDEX(HwyTransitModelGroup,A146,1)=Hwy,0.00000110231131*(C166*(1-M166)*VLOOKUP(K166,EmAuto20,8)-D166*(1-N166)*VLOOKUP(L166,EmAuto20,8)+(O166*(1-M166)-P166*(1-N166))*VLOOKUP(0,EmAuto20,8))+0.00000110231131*(C166*M166*VLOOKUP(K166,EmTruck20,8)-D166*N166*VLOOKUP(L166,EmTruck20,8)+(O166*M166-P166*N166)*VLOOKUP(0,EmTruck20,8)),0)</f>
        <v>1.2909473328639813E-2</v>
      </c>
      <c r="AK166" s="401">
        <f>IF(INDEX(HwyTransitModelGroup,A146,1)=PARAMETERS!$J$9,0.00000110231131*(C166*VLOOKUP(K166,EmBus20,2)-D166*VLOOKUP(L166,EmBus20,2)+(O166-P166)*VLOOKUP(0,EmBus20,2)),0)</f>
        <v>0</v>
      </c>
      <c r="AL166" s="863">
        <f>IF(INDEX(HwyTransitModelGroup,A146,1)=PARAMETERS!$J$9,0.00000110231131*(C166*VLOOKUP(K166,EmBus20,3)-D166*VLOOKUP(L166,EmBus20,3)+(O166-P166)*VLOOKUP(0,EmBus20,3)),0)</f>
        <v>0</v>
      </c>
      <c r="AM166" s="861">
        <f>IF(INDEX(HwyTransitModelGroup,A146,1)=PARAMETERS!$J$9,0.00000110231131*(C166*VLOOKUP(K166,EmBus20,4)-D166*VLOOKUP(L166,EmBus20,4)+(O166-P166)*VLOOKUP(0,EmBus20,4)),0)</f>
        <v>0</v>
      </c>
      <c r="AN166" s="863">
        <f>IF(INDEX(HwyTransitModelGroup,A146,1)=PARAMETERS!$J$9,0.00000110231131*(C166*VLOOKUP(K166,EmBus20,5)-D166*VLOOKUP(L166,EmBus20,5)+(O166-P166)*VLOOKUP(0,EmBus20,5)),0)</f>
        <v>0</v>
      </c>
      <c r="AO166" s="861">
        <f>IF(INDEX(HwyTransitModelGroup,A146,1)=PARAMETERS!$J$9,0.00000110231131*(C166*VLOOKUP(K166,EmBus20,6)-D166*VLOOKUP(L166,EmBus20,6)+(O166-P166)*VLOOKUP(0,EmBus20,6)),0)</f>
        <v>0</v>
      </c>
      <c r="AP166" s="863">
        <f>IF(INDEX(HwyTransitModelGroup,A146,1)=PARAMETERS!$J$9,0.00000110231131*(C166*VLOOKUP(K166,EmBus20,7)-D166*VLOOKUP(L166,EmBus20,7)+(O166-P166)*VLOOKUP(0,EmBus20,7)),0)</f>
        <v>0</v>
      </c>
      <c r="AQ166" s="861">
        <f>IF(INDEX(HwyTransitModelGroup,A146,1)=PARAMETERS!$J$9,0.00000110231131*(C166*VLOOKUP(K166,EmBus20,8)-D166*VLOOKUP(L166,EmBus20,8)+(O166-P166)*VLOOKUP(0,EmBus20,8)),0)</f>
        <v>0</v>
      </c>
      <c r="AR166" s="401">
        <f>IF(INDEX(HwyTransitModelGroup,A146,1)=PARAMETERS!$J$10,0.00000110231131*((C166-D166)*PARAMETERS!$CQ$29),0)</f>
        <v>0</v>
      </c>
      <c r="AS166" s="863">
        <f>IF(INDEX(HwyTransitModelGroup,A146,1)=PARAMETERS!$J$10,0.00000110231131*((C166-D166)*PARAMETERS!$CR$29),0)</f>
        <v>0</v>
      </c>
      <c r="AT166" s="861">
        <f>IF(INDEX(HwyTransitModelGroup,A146,1)=PARAMETERS!$J$10,0.00000110231131*((C166-D166)*PARAMETERS!$CS$29),0)</f>
        <v>0</v>
      </c>
      <c r="AU166" s="863">
        <f>IF(INDEX(HwyTransitModelGroup,A146,1)=PARAMETERS!$J$10,0.00000110231131*((C166-D166)*PARAMETERS!$CT$29),0)</f>
        <v>0</v>
      </c>
      <c r="AV166" s="861">
        <f>IF(INDEX(HwyTransitModelGroup,A146,1)=PARAMETERS!$J$10,0.00000110231131*((C166-D166)*PARAMETERS!$CU$29),0)</f>
        <v>0</v>
      </c>
      <c r="AW166" s="863">
        <f>IF(INDEX(HwyTransitModelGroup,A146,1)=PARAMETERS!$J$10,0.00000110231131*((C166-D166)*PARAMETERS!$CV$29),0)</f>
        <v>0</v>
      </c>
      <c r="AX166" s="861">
        <f>IF(INDEX(HwyTransitModelGroup,A146,1)=PARAMETERS!$J$10,0.00000110231131*((C166-D166)*PARAMETERS!$CW$29),0)</f>
        <v>0</v>
      </c>
      <c r="AY166" s="401">
        <f>IF(INDEX(HwyTransitModelGroup,A146,1)=PARAMETERS!$J$11,0.00000110231131*((C166-D166)*PARAMETERS!$CQ$37),0)</f>
        <v>0</v>
      </c>
      <c r="AZ166" s="863">
        <f>IF(INDEX(HwyTransitModelGroup,A146,1)=PARAMETERS!$J$11,0.00000110231131*((C166-D166)*PARAMETERS!$CR$37),0)</f>
        <v>0</v>
      </c>
      <c r="BA166" s="861">
        <f>IF(INDEX(HwyTransitModelGroup,A146,1)=PARAMETERS!$J$11,0.00000110231131*((C166-D166)*PARAMETERS!$CS$37),0)</f>
        <v>0</v>
      </c>
      <c r="BB166" s="863">
        <f>IF(INDEX(HwyTransitModelGroup,A146,1)=PARAMETERS!$J$11,0.00000110231131*((C166-D166)*PARAMETERS!$CT$37),0)</f>
        <v>0</v>
      </c>
      <c r="BC166" s="861">
        <f>IF(INDEX(HwyTransitModelGroup,A146,1)=PARAMETERS!$J$11,0.00000110231131*((C166-D166)*PARAMETERS!$CU$37),0)</f>
        <v>0</v>
      </c>
      <c r="BD166" s="863">
        <f>IF(INDEX(HwyTransitModelGroup,A146,1)=PARAMETERS!$J$11,0.00000110231131*((C166-D166)*PARAMETERS!$CV$37),0)</f>
        <v>0</v>
      </c>
      <c r="BE166" s="865">
        <f>IF(INDEX(HwyTransitModelGroup,A146,1)=PARAMETERS!$J$11,0.00000110231131*((C166-D166)*PARAMETERS!$CW$37),0)</f>
        <v>0</v>
      </c>
      <c r="BF166" s="729">
        <f t="shared" si="66"/>
        <v>34.287673014059507</v>
      </c>
      <c r="BG166" s="867">
        <f t="shared" si="67"/>
        <v>36046.744264118512</v>
      </c>
      <c r="BH166" s="867">
        <f t="shared" si="68"/>
        <v>4194.8696407292691</v>
      </c>
      <c r="BI166" s="867">
        <f t="shared" si="69"/>
        <v>871.99676069567636</v>
      </c>
      <c r="BJ166" s="867">
        <f t="shared" si="70"/>
        <v>316.81801759637193</v>
      </c>
      <c r="BK166" s="869">
        <f t="shared" si="71"/>
        <v>10.470192119100316</v>
      </c>
      <c r="BL166" s="431"/>
      <c r="BN166" s="375">
        <f t="shared" si="76"/>
        <v>2032</v>
      </c>
      <c r="BO166" s="871">
        <f t="shared" ca="1" si="74"/>
        <v>-4.0697057987372648E-5</v>
      </c>
      <c r="BP166" s="871">
        <f t="shared" ca="1" si="75"/>
        <v>-2.6534224307844865E-4</v>
      </c>
      <c r="BQ166" s="871">
        <f t="shared" ca="1" si="75"/>
        <v>1.4485738581735682E-4</v>
      </c>
      <c r="BR166" s="871">
        <f t="shared" ca="1" si="75"/>
        <v>-3.3061681565375654E-3</v>
      </c>
      <c r="BS166" s="871">
        <f t="shared" ca="1" si="75"/>
        <v>1.4815039782006663E-2</v>
      </c>
      <c r="BT166" s="871">
        <f t="shared" ca="1" si="75"/>
        <v>1.9518327357613285E-2</v>
      </c>
    </row>
    <row r="167" spans="2:72" x14ac:dyDescent="0.25">
      <c r="B167" s="375">
        <f t="shared" si="72"/>
        <v>2038</v>
      </c>
      <c r="C167" s="401">
        <f>MAX(TREND(C152:C153,B152:B153,B167),0)</f>
        <v>21419879</v>
      </c>
      <c r="D167" s="402">
        <f>MAX(TREND(D152:D153,B152:B153,B167),0)</f>
        <v>19279081</v>
      </c>
      <c r="E167" s="401">
        <f>MAX(TREND(E152:E153,B152:B153,B167),0)</f>
        <v>309520</v>
      </c>
      <c r="F167" s="402">
        <f>MAX(TREND(F152:F153,B152:B153,B167),0)</f>
        <v>277838</v>
      </c>
      <c r="G167" s="401">
        <f>MAX(TREND(G152:G153,B152:B153,B167),0)</f>
        <v>0</v>
      </c>
      <c r="H167" s="402">
        <f>MAX(TREND(H152:H153,B152:B153,B167),0)</f>
        <v>0</v>
      </c>
      <c r="I167" s="401">
        <f>MAX(TREND(I152:I153,B152:B153,B167),0)</f>
        <v>0</v>
      </c>
      <c r="J167" s="402">
        <f>MAX(TREND(J152:J153,B152:B153,B167),0)</f>
        <v>0</v>
      </c>
      <c r="K167" s="435">
        <f>IFERROR(IF(INDEX(HwyTransitModelGroup,A146,1)=Hwy,MAX(5,ROUND(C167/E167,1)),MAX(5,ROUND(G167/I167,1))),55)</f>
        <v>69.2</v>
      </c>
      <c r="L167" s="436">
        <f>IFERROR(IF(INDEX(HwyTransitModelGroup,A146,1)=Hwy,MAX(5,ROUND(D167/F167,1)),MAX(5,ROUND(H167/J167,1))),55)</f>
        <v>69.400000000000006</v>
      </c>
      <c r="M167" s="405">
        <f>MIN(MAX(TREND(M152:M153,B152:B153,B167),0),1)</f>
        <v>0.24</v>
      </c>
      <c r="N167" s="406">
        <f>MIN(MAX(TREND(N152:N153,B152:B153,B167),0),1)</f>
        <v>0.24</v>
      </c>
      <c r="O167" s="401">
        <f>MAX(TREND(O152:O153,B152:B153,B167),0)</f>
        <v>0</v>
      </c>
      <c r="P167" s="402">
        <f>MAX(TREND(P152:P153,B152:B153,B167),0)</f>
        <v>0</v>
      </c>
      <c r="Q167" s="729">
        <f>IF(INDEX(HwyTransitModelGroup,A146,1)=Hwy,C167*(1-M167)*0.00000110231131*(VLOOKUP(K167,EmAuto20,2)*VLOOKUP(ProjLoc,EmCost,2)+VLOOKUP(K167,EmAuto20,3)*VLOOKUP(ProjLoc,EmCost,3)*(1+CO2Uprater)^($B167-YearCurrent)+VLOOKUP(K167,EmAuto20,4)*VLOOKUP(ProjLoc,EmCost,4)+VLOOKUP(K167,EmAuto20,5)*VLOOKUP(ProjLoc,EmCost,5)+VLOOKUP(K167,EmAuto20,6)*VLOOKUP(ProjLoc,EmCost,6)+VLOOKUP(K167,EmAuto20,7)*VLOOKUP(ProjLoc,EmCost,7))+C167*M167*0.00000110231131*(VLOOKUP(K167,EmTruck20,2)*VLOOKUP(ProjLoc,EmCost,2)+VLOOKUP(K167,EmTruck20,3)*VLOOKUP(ProjLoc,EmCost,3)*(1+CO2Uprater)^($B167-YearCurrent)+VLOOKUP(K167,EmTruck20,4)*VLOOKUP(ProjLoc,EmCost,4)+VLOOKUP(K167,EmTruck20,5)*VLOOKUP(ProjLoc,EmCost,5)+VLOOKUP(K167,EmTruck20,6)*VLOOKUP(ProjLoc,EmCost,6)+VLOOKUP(K167,EmTruck20,7)*VLOOKUP(ProjLoc,EmCost,7)),0)</f>
        <v>786686.6968602225</v>
      </c>
      <c r="R167" s="802">
        <f>IF(INDEX(HwyTransitModelGroup,A146,1)=Hwy,D167*(1-N167)*0.00000110231131*(VLOOKUP(L167,EmAuto20,2)*VLOOKUP(ProjLoc,EmCost,2)+VLOOKUP(L167,EmAuto20,3)*VLOOKUP(ProjLoc,EmCost,3)*(1+CO2Uprater)^($B167-YearCurrent)+VLOOKUP(L167,EmAuto20,4)*VLOOKUP(ProjLoc,EmCost,4)+VLOOKUP(L167,EmAuto20,5)*VLOOKUP(ProjLoc,EmCost,5)+VLOOKUP(L167,EmAuto20,6)*VLOOKUP(ProjLoc,EmCost,6)+VLOOKUP(L167,EmAuto20,7)*VLOOKUP(ProjLoc,EmCost,7))+D167*N167*0.00000110231131*(VLOOKUP(L167,EmTruck20,2)*VLOOKUP(ProjLoc,EmCost,2)+VLOOKUP(L167,EmTruck20,3)*VLOOKUP(ProjLoc,EmCost,3)*(1+CO2Uprater)^($B167-YearCurrent)+VLOOKUP(L167,EmTruck20,4)*VLOOKUP(ProjLoc,EmCost,4)+VLOOKUP(L167,EmTruck20,5)*VLOOKUP(ProjLoc,EmCost,5)+VLOOKUP(L167,EmTruck20,6)*VLOOKUP(ProjLoc,EmCost,6)+VLOOKUP(L167,EmTruck20,7)*VLOOKUP(ProjLoc,EmCost,7)),0)</f>
        <v>708061.72856488475</v>
      </c>
      <c r="S167" s="729">
        <f>IF(INDEX(HwyTransitModelGroup,A146,1)=Hwy,O167*(1-M167)*0.00000110231131*(VLOOKUP(0,EmAuto20,2)*VLOOKUP(ProjLoc,EmCost,2)+VLOOKUP(0,EmAuto20,3)*VLOOKUP(ProjLoc,EmCost,3)*(1+CO2Uprater)^($B167-YearCurrent)+VLOOKUP(0,EmAuto20,4)*VLOOKUP(ProjLoc,EmCost,4)+VLOOKUP(0,EmAuto20,5)*VLOOKUP(ProjLoc,EmCost,5)+VLOOKUP(0,EmAuto20,6)*VLOOKUP(ProjLoc,EmCost,6)+VLOOKUP(0,EmAuto20,7)*VLOOKUP(ProjLoc,EmCost,7))+O167*M167*0.00000110231131*(VLOOKUP(0,EmTruck20,2)*VLOOKUP(ProjLoc,EmCost,2)+VLOOKUP(0,EmTruck20,3)*VLOOKUP(ProjLoc,EmCost,3)*(1+CO2Uprater)^($B167-YearCurrent)+VLOOKUP(0,EmTruck20,4)*VLOOKUP(ProjLoc,EmCost,4)+VLOOKUP(0,EmTruck20,5)*VLOOKUP(ProjLoc,EmCost,5)+VLOOKUP(0,EmTruck20,6)*VLOOKUP(ProjLoc,EmCost,6)+VLOOKUP(0,EmTruck20,7)*VLOOKUP(ProjLoc,EmCost,7)),0)</f>
        <v>0</v>
      </c>
      <c r="T167" s="802">
        <f>IF(INDEX(HwyTransitModelGroup,A146,1)=Hwy,P167*(1-N167)*0.00000110231131*(VLOOKUP(0,EmAuto20,2)*VLOOKUP(ProjLoc,EmCost,2)+VLOOKUP(0,EmAuto20,3)*VLOOKUP(ProjLoc,EmCost,3)*(1+CO2Uprater)^($B167-YearCurrent)+VLOOKUP(0,EmAuto20,4)*VLOOKUP(ProjLoc,EmCost,4)+VLOOKUP(0,EmAuto20,5)*VLOOKUP(ProjLoc,EmCost,5)+VLOOKUP(0,EmAuto20,6)*VLOOKUP(ProjLoc,EmCost,6)+VLOOKUP(0,EmAuto20,7)*VLOOKUP(ProjLoc,EmCost,7))+P167*N167*0.00000110231131*(VLOOKUP(0,EmTruck20,2)*VLOOKUP(ProjLoc,EmCost,2)+VLOOKUP(0,EmTruck20,3)*VLOOKUP(ProjLoc,EmCost,3)*(1+CO2Uprater)^($B167-YearCurrent)+VLOOKUP(0,EmTruck20,4)*VLOOKUP(ProjLoc,EmCost,4)+VLOOKUP(0,EmTruck20,5)*VLOOKUP(ProjLoc,EmCost,5)+VLOOKUP(0,EmTruck20,6)*VLOOKUP(ProjLoc,EmCost,6)+VLOOKUP(0,EmTruck20,7)*VLOOKUP(ProjLoc,EmCost,7)),0)</f>
        <v>0</v>
      </c>
      <c r="U167" s="729">
        <f>IF(INDEX(HwyTransitModelGroup,A146,1)=PARAMETERS!$J$9,C167*0.00000110231131*(VLOOKUP(K167,EmBus20,2)*VLOOKUP(ProjLoc,EmCost,2)+VLOOKUP(K167,EmBus20,3)*VLOOKUP(ProjLoc,EmCost,3)*(1+CO2Uprater)^($B167-YearCurrent)+VLOOKUP(K167,EmBus20,4)*VLOOKUP(ProjLoc,EmCost,4)+VLOOKUP(K167,EmBus20,5)*VLOOKUP(ProjLoc,EmCost,5)+VLOOKUP(K167,EmBus20,6)*VLOOKUP(ProjLoc,EmCost,6)+VLOOKUP(K167,EmBus20,7)*VLOOKUP(ProjLoc,EmCost,7)),0)</f>
        <v>0</v>
      </c>
      <c r="V167" s="802">
        <f>IF(INDEX(HwyTransitModelGroup,A146,1)=PARAMETERS!$J$9,D167*0.00000110231131*(VLOOKUP(L167,EmBus20,2)*VLOOKUP(ProjLoc,EmCost,2)+VLOOKUP(L167,EmBus20,3)*VLOOKUP(ProjLoc,EmCost,3)*(1+CO2Uprater)^($B167-YearCurrent)+VLOOKUP(L167,EmBus20,4)*VLOOKUP(ProjLoc,EmCost,4)+VLOOKUP(L167,EmBus20,5)*VLOOKUP(ProjLoc,EmCost,5)+VLOOKUP(L167,EmBus20,6)*VLOOKUP(ProjLoc,EmCost,6)+VLOOKUP(L167,EmBus20,7)*VLOOKUP(ProjLoc,EmCost,7)),0)</f>
        <v>0</v>
      </c>
      <c r="W167" s="808">
        <f>IF(INDEX(HwyTransitModelGroup,A146,1)=PARAMETERS!$J$10,C167*0.00000110231131*(PARAMETERS!$CQ$29*VLOOKUP(ProjLoc,EmCost,2)+PARAMETERS!$CR$29*VLOOKUP(ProjLoc,EmCost,3)*(1+CO2Uprater)^($B167-YearCurrent)+PARAMETERS!$CS$29*VLOOKUP(ProjLoc,EmCost,4)+PARAMETERS!$CT$29*VLOOKUP(ProjLoc,EmCost,5)+PARAMETERS!$CU$29*VLOOKUP(ProjLoc,EmCost,6)+PARAMETERS!$CV$29*VLOOKUP(ProjLoc,EmCost,7)),0)</f>
        <v>0</v>
      </c>
      <c r="X167" s="844">
        <f>IF(INDEX(HwyTransitModelGroup,A146,1)=PARAMETERS!$J$10,D167*0.00000110231131*(PARAMETERS!$CQ$29*VLOOKUP(ProjLoc,EmCost,2)+PARAMETERS!$CR$29*VLOOKUP(ProjLoc,EmCost,3)*(1+CO2Uprater)^($B167-YearCurrent)+PARAMETERS!$CS$29*VLOOKUP(ProjLoc,EmCost,4)+PARAMETERS!$CT$29*VLOOKUP(ProjLoc,EmCost,5)+PARAMETERS!$CU$29*VLOOKUP(ProjLoc,EmCost,6)+PARAMETERS!$CV$29*VLOOKUP(ProjLoc,EmCost,7)),0)</f>
        <v>0</v>
      </c>
      <c r="Y167" s="808">
        <f>IF(INDEX(HwyTransitModelGroup,A146,1)=PARAMETERS!$J$11,C167*0.00000110231131*(PARAMETERS!$CQ$37*VLOOKUP(ProjLoc,EmCost,2)+PARAMETERS!$CR$37*VLOOKUP(ProjLoc,EmCost,3)*(1+CO2Uprater)^($B167-YearCurrent)+PARAMETERS!$CS$37*VLOOKUP(ProjLoc,EmCost,4)+PARAMETERS!$CT$37*VLOOKUP(ProjLoc,EmCost,5)+PARAMETERS!$CU$37*VLOOKUP(ProjLoc,EmCost,6)+PARAMETERS!$CV$37*VLOOKUP(ProjLoc,EmCost,7)),0)</f>
        <v>0</v>
      </c>
      <c r="Z167" s="844">
        <f>IF(INDEX(HwyTransitModelGroup,A146,1)=PARAMETERS!$J$11,D167*0.00000110231131*(PARAMETERS!$CQ$37*VLOOKUP(ProjLoc,EmCost,2)+PARAMETERS!$CR$37*VLOOKUP(ProjLoc,EmCost,3)*(1+CO2Uprater)^($B167-YearCurrent)+PARAMETERS!$CS$37*VLOOKUP(ProjLoc,EmCost,4)+PARAMETERS!$CT$37*VLOOKUP(ProjLoc,EmCost,5)+PARAMETERS!$CU$37*VLOOKUP(ProjLoc,EmCost,6)+PARAMETERS!$CV$37*VLOOKUP(ProjLoc,EmCost,7)),0)</f>
        <v>0</v>
      </c>
      <c r="AA167" s="369">
        <f t="shared" si="64"/>
        <v>78624.968295337749</v>
      </c>
      <c r="AB167" s="370">
        <f t="shared" si="65"/>
        <v>41978.513385920873</v>
      </c>
      <c r="AC167" s="371"/>
      <c r="AD167" s="401">
        <f>IF(INDEX(HwyTransitModelGroup,A146,1)=Hwy,0.00000110231131*(C167*(1-M167)*VLOOKUP(K167,EmAuto20,2)-D167*(1-N167)*VLOOKUP(L167,EmAuto20,2)+(O167*(1-M167)-P167*(1-N167))*VLOOKUP(0,EmAuto20,2))+0.00000110231131*(C167*M167*VLOOKUP(K167,EmTruck20,2)-D167*N167*VLOOKUP(L167,EmTruck20,2)+(O167*M167-P167*N167)*VLOOKUP(0,EmTruck20,2)),0)</f>
        <v>0.79861226342106539</v>
      </c>
      <c r="AE167" s="863">
        <f>IF(INDEX(HwyTransitModelGroup,A146,1)=Hwy,0.00000110231131*(C167*(1-M167)*VLOOKUP(K167,EmAuto20,3)-D167*(1-N167)*VLOOKUP(L167,EmAuto20,3)+(O167*(1-M167)-P167*(1-N167))*VLOOKUP(0,EmAuto20,3))+0.00000110231131*(C167*M167*VLOOKUP(K167,EmTruck20,3)-D167*N167*VLOOKUP(L167,EmTruck20,3)+(O167*M167-P167*N167)*VLOOKUP(0,EmTruck20,3)),0)</f>
        <v>1039.7051171521935</v>
      </c>
      <c r="AF167" s="861">
        <f>IF(INDEX(HwyTransitModelGroup,A146,1)=Hwy,0.00000110231131*(C167*(1-M167)*VLOOKUP(K167,EmAuto20,4)-D167*(1-N167)*VLOOKUP(L167,EmAuto20,4)+(O167*(1-M167)-P167*(1-N167))*VLOOKUP(0,EmAuto20,4))+0.00000110231131*(C167*M167*VLOOKUP(K167,EmTruck20,4)-D167*N167*VLOOKUP(L167,EmTruck20,4)+(O167*M167-P167*N167)*VLOOKUP(0,EmTruck20,4)),0)</f>
        <v>0.51764195867558471</v>
      </c>
      <c r="AG167" s="863">
        <f>IF(INDEX(HwyTransitModelGroup,A146,1)=Hwy,0.00000110231131*(C167*(1-M167)*VLOOKUP(K167,EmAuto20,5)-D167*(1-N167)*VLOOKUP(L167,EmAuto20,5)+(O167*(1-M167)-P167*(1-N167))*VLOOKUP(0,EmAuto20,5))+0.00000110231131*(C167*M167*VLOOKUP(K167,EmTruck20,5)-D167*N167*VLOOKUP(L167,EmTruck20,5)+(O167*M167-P167*N167)*VLOOKUP(0,EmTruck20,5)),0)</f>
        <v>1.3922972502169759E-2</v>
      </c>
      <c r="AH167" s="861">
        <f>IF(INDEX(HwyTransitModelGroup,A146,1)=Hwy,0.00000110231131*(C167*(1-M167)*VLOOKUP(K167,EmAuto20,6)-D167*(1-N167)*VLOOKUP(L167,EmAuto20,6)+(O167*(1-M167)-P167*(1-N167))*VLOOKUP(0,EmAuto20,6))+0.00000110231131*(C167*M167*VLOOKUP(K167,EmTruck20,6)-D167*N167*VLOOKUP(L167,EmTruck20,6)+(O167*M167-P167*N167)*VLOOKUP(0,EmTruck20,6)),0)</f>
        <v>1.000566159477962E-2</v>
      </c>
      <c r="AI167" s="863">
        <f>IF(INDEX(HwyTransitModelGroup,A146,1)=Hwy,0.00000110231131*(C167*(1-M167)*VLOOKUP(K167,EmAuto20,7)-D167*(1-N167)*VLOOKUP(L167,EmAuto20,7)+(O167*(1-M167)-P167*(1-N167))*VLOOKUP(0,EmAuto20,7))+0.00000110231131*(C167*M167*VLOOKUP(K167,EmTruck20,7)-D167*N167*VLOOKUP(L167,EmTruck20,7)+(O167*M167-P167*N167)*VLOOKUP(0,EmTruck20,7)),0)</f>
        <v>1.7575982914603442E-2</v>
      </c>
      <c r="AJ167" s="861">
        <f>IF(INDEX(HwyTransitModelGroup,A146,1)=Hwy,0.00000110231131*(C167*(1-M167)*VLOOKUP(K167,EmAuto20,8)-D167*(1-N167)*VLOOKUP(L167,EmAuto20,8)+(O167*(1-M167)-P167*(1-N167))*VLOOKUP(0,EmAuto20,8))+0.00000110231131*(C167*M167*VLOOKUP(K167,EmTruck20,8)-D167*N167*VLOOKUP(L167,EmTruck20,8)+(O167*M167-P167*N167)*VLOOKUP(0,EmTruck20,8)),0)</f>
        <v>1.3356614298691654E-2</v>
      </c>
      <c r="AK167" s="401">
        <f>IF(INDEX(HwyTransitModelGroup,A146,1)=PARAMETERS!$J$9,0.00000110231131*(C167*VLOOKUP(K167,EmBus20,2)-D167*VLOOKUP(L167,EmBus20,2)+(O167-P167)*VLOOKUP(0,EmBus20,2)),0)</f>
        <v>0</v>
      </c>
      <c r="AL167" s="863">
        <f>IF(INDEX(HwyTransitModelGroup,A146,1)=PARAMETERS!$J$9,0.00000110231131*(C167*VLOOKUP(K167,EmBus20,3)-D167*VLOOKUP(L167,EmBus20,3)+(O167-P167)*VLOOKUP(0,EmBus20,3)),0)</f>
        <v>0</v>
      </c>
      <c r="AM167" s="861">
        <f>IF(INDEX(HwyTransitModelGroup,A146,1)=PARAMETERS!$J$9,0.00000110231131*(C167*VLOOKUP(K167,EmBus20,4)-D167*VLOOKUP(L167,EmBus20,4)+(O167-P167)*VLOOKUP(0,EmBus20,4)),0)</f>
        <v>0</v>
      </c>
      <c r="AN167" s="863">
        <f>IF(INDEX(HwyTransitModelGroup,A146,1)=PARAMETERS!$J$9,0.00000110231131*(C167*VLOOKUP(K167,EmBus20,5)-D167*VLOOKUP(L167,EmBus20,5)+(O167-P167)*VLOOKUP(0,EmBus20,5)),0)</f>
        <v>0</v>
      </c>
      <c r="AO167" s="861">
        <f>IF(INDEX(HwyTransitModelGroup,A146,1)=PARAMETERS!$J$9,0.00000110231131*(C167*VLOOKUP(K167,EmBus20,6)-D167*VLOOKUP(L167,EmBus20,6)+(O167-P167)*VLOOKUP(0,EmBus20,6)),0)</f>
        <v>0</v>
      </c>
      <c r="AP167" s="863">
        <f>IF(INDEX(HwyTransitModelGroup,A146,1)=PARAMETERS!$J$9,0.00000110231131*(C167*VLOOKUP(K167,EmBus20,7)-D167*VLOOKUP(L167,EmBus20,7)+(O167-P167)*VLOOKUP(0,EmBus20,7)),0)</f>
        <v>0</v>
      </c>
      <c r="AQ167" s="861">
        <f>IF(INDEX(HwyTransitModelGroup,A146,1)=PARAMETERS!$J$9,0.00000110231131*(C167*VLOOKUP(K167,EmBus20,8)-D167*VLOOKUP(L167,EmBus20,8)+(O167-P167)*VLOOKUP(0,EmBus20,8)),0)</f>
        <v>0</v>
      </c>
      <c r="AR167" s="401">
        <f>IF(INDEX(HwyTransitModelGroup,A146,1)=PARAMETERS!$J$10,0.00000110231131*((C167-D167)*PARAMETERS!$CQ$29),0)</f>
        <v>0</v>
      </c>
      <c r="AS167" s="863">
        <f>IF(INDEX(HwyTransitModelGroup,A146,1)=PARAMETERS!$J$10,0.00000110231131*((C167-D167)*PARAMETERS!$CR$29),0)</f>
        <v>0</v>
      </c>
      <c r="AT167" s="861">
        <f>IF(INDEX(HwyTransitModelGroup,A146,1)=PARAMETERS!$J$10,0.00000110231131*((C167-D167)*PARAMETERS!$CS$29),0)</f>
        <v>0</v>
      </c>
      <c r="AU167" s="863">
        <f>IF(INDEX(HwyTransitModelGroup,A146,1)=PARAMETERS!$J$10,0.00000110231131*((C167-D167)*PARAMETERS!$CT$29),0)</f>
        <v>0</v>
      </c>
      <c r="AV167" s="861">
        <f>IF(INDEX(HwyTransitModelGroup,A146,1)=PARAMETERS!$J$10,0.00000110231131*((C167-D167)*PARAMETERS!$CU$29),0)</f>
        <v>0</v>
      </c>
      <c r="AW167" s="863">
        <f>IF(INDEX(HwyTransitModelGroup,A146,1)=PARAMETERS!$J$10,0.00000110231131*((C167-D167)*PARAMETERS!$CV$29),0)</f>
        <v>0</v>
      </c>
      <c r="AX167" s="861">
        <f>IF(INDEX(HwyTransitModelGroup,A146,1)=PARAMETERS!$J$10,0.00000110231131*((C167-D167)*PARAMETERS!$CW$29),0)</f>
        <v>0</v>
      </c>
      <c r="AY167" s="401">
        <f>IF(INDEX(HwyTransitModelGroup,A146,1)=PARAMETERS!$J$11,0.00000110231131*((C167-D167)*PARAMETERS!$CQ$37),0)</f>
        <v>0</v>
      </c>
      <c r="AZ167" s="863">
        <f>IF(INDEX(HwyTransitModelGroup,A146,1)=PARAMETERS!$J$11,0.00000110231131*((C167-D167)*PARAMETERS!$CR$37),0)</f>
        <v>0</v>
      </c>
      <c r="BA167" s="861">
        <f>IF(INDEX(HwyTransitModelGroup,A146,1)=PARAMETERS!$J$11,0.00000110231131*((C167-D167)*PARAMETERS!$CS$37),0)</f>
        <v>0</v>
      </c>
      <c r="BB167" s="863">
        <f>IF(INDEX(HwyTransitModelGroup,A146,1)=PARAMETERS!$J$11,0.00000110231131*((C167-D167)*PARAMETERS!$CT$37),0)</f>
        <v>0</v>
      </c>
      <c r="BC167" s="861">
        <f>IF(INDEX(HwyTransitModelGroup,A146,1)=PARAMETERS!$J$11,0.00000110231131*((C167-D167)*PARAMETERS!$CU$37),0)</f>
        <v>0</v>
      </c>
      <c r="BD167" s="863">
        <f>IF(INDEX(HwyTransitModelGroup,A146,1)=PARAMETERS!$J$11,0.00000110231131*((C167-D167)*PARAMETERS!$CV$37),0)</f>
        <v>0</v>
      </c>
      <c r="BE167" s="865">
        <f>IF(INDEX(HwyTransitModelGroup,A146,1)=PARAMETERS!$J$11,0.00000110231131*((C167-D167)*PARAMETERS!$CW$37),0)</f>
        <v>0</v>
      </c>
      <c r="BF167" s="729">
        <f t="shared" si="66"/>
        <v>34.110849331478505</v>
      </c>
      <c r="BG167" s="867">
        <f t="shared" si="67"/>
        <v>36578.065919465756</v>
      </c>
      <c r="BH167" s="867">
        <f t="shared" si="68"/>
        <v>4173.2364346053973</v>
      </c>
      <c r="BI167" s="867">
        <f t="shared" si="69"/>
        <v>867.4998186500103</v>
      </c>
      <c r="BJ167" s="867">
        <f t="shared" si="70"/>
        <v>315.18416718732158</v>
      </c>
      <c r="BK167" s="869">
        <f t="shared" si="71"/>
        <v>10.416196680941795</v>
      </c>
      <c r="BL167" s="431"/>
      <c r="BN167" s="375">
        <f t="shared" si="76"/>
        <v>2033</v>
      </c>
      <c r="BO167" s="871">
        <f t="shared" ca="1" si="74"/>
        <v>-2.6370567013658533E-5</v>
      </c>
      <c r="BP167" s="871">
        <f t="shared" ca="1" si="75"/>
        <v>-2.5947349798080126E-4</v>
      </c>
      <c r="BQ167" s="871">
        <f t="shared" ca="1" si="75"/>
        <v>-2.6189963005854582E-4</v>
      </c>
      <c r="BR167" s="871">
        <f t="shared" ca="1" si="75"/>
        <v>-3.7947378866989416E-3</v>
      </c>
      <c r="BS167" s="871">
        <f t="shared" ca="1" si="75"/>
        <v>1.1592467446245787E-2</v>
      </c>
      <c r="BT167" s="871">
        <f t="shared" ca="1" si="75"/>
        <v>1.5038077926178178E-2</v>
      </c>
    </row>
    <row r="168" spans="2:72" x14ac:dyDescent="0.25">
      <c r="B168" s="375">
        <f t="shared" si="72"/>
        <v>2039</v>
      </c>
      <c r="C168" s="401">
        <f>MAX(TREND(C152:C153,B152:B153,B168),0)</f>
        <v>21668279.75</v>
      </c>
      <c r="D168" s="402">
        <f>MAX(TREND(D152:D153,B152:B153,B168),0)</f>
        <v>19455814</v>
      </c>
      <c r="E168" s="401">
        <f>MAX(TREND(E152:E153,B152:B153,B168),0)</f>
        <v>313170</v>
      </c>
      <c r="F168" s="402">
        <f>MAX(TREND(F152:F153,B152:B153,B168),0)</f>
        <v>280429.5</v>
      </c>
      <c r="G168" s="401">
        <f>MAX(TREND(G152:G153,B152:B153,B168),0)</f>
        <v>0</v>
      </c>
      <c r="H168" s="402">
        <f>MAX(TREND(H152:H153,B152:B153,B168),0)</f>
        <v>0</v>
      </c>
      <c r="I168" s="401">
        <f>MAX(TREND(I152:I153,B152:B153,B168),0)</f>
        <v>0</v>
      </c>
      <c r="J168" s="402">
        <f>MAX(TREND(J152:J153,B152:B153,B168),0)</f>
        <v>0</v>
      </c>
      <c r="K168" s="435">
        <f>IFERROR(IF(INDEX(HwyTransitModelGroup,A146,1)=Hwy,MAX(5,ROUND(C168/E168,1)),MAX(5,ROUND(G168/I168,1))),55)</f>
        <v>69.2</v>
      </c>
      <c r="L168" s="436">
        <f>IFERROR(IF(INDEX(HwyTransitModelGroup,A146,1)=Hwy,MAX(5,ROUND(D168/F168,1)),MAX(5,ROUND(H168/J168,1))),55)</f>
        <v>69.400000000000006</v>
      </c>
      <c r="M168" s="405">
        <f>MIN(MAX(TREND(M152:M153,B152:B153,B168),0),1)</f>
        <v>0.24</v>
      </c>
      <c r="N168" s="406">
        <f>MIN(MAX(TREND(N152:N153,B152:B153,B168),0),1)</f>
        <v>0.24</v>
      </c>
      <c r="O168" s="401">
        <f>MAX(TREND(O152:O153,B152:B153,B168),0)</f>
        <v>0</v>
      </c>
      <c r="P168" s="402">
        <f>MAX(TREND(P152:P153,B152:B153,B168),0)</f>
        <v>0</v>
      </c>
      <c r="Q168" s="729">
        <f>IF(INDEX(HwyTransitModelGroup,A146,1)=Hwy,C168*(1-M168)*0.00000110231131*(VLOOKUP(K168,EmAuto20,2)*VLOOKUP(ProjLoc,EmCost,2)+VLOOKUP(K168,EmAuto20,3)*VLOOKUP(ProjLoc,EmCost,3)*(1+CO2Uprater)^($B168-YearCurrent)+VLOOKUP(K168,EmAuto20,4)*VLOOKUP(ProjLoc,EmCost,4)+VLOOKUP(K168,EmAuto20,5)*VLOOKUP(ProjLoc,EmCost,5)+VLOOKUP(K168,EmAuto20,6)*VLOOKUP(ProjLoc,EmCost,6)+VLOOKUP(K168,EmAuto20,7)*VLOOKUP(ProjLoc,EmCost,7))+C168*M168*0.00000110231131*(VLOOKUP(K168,EmTruck20,2)*VLOOKUP(ProjLoc,EmCost,2)+VLOOKUP(K168,EmTruck20,3)*VLOOKUP(ProjLoc,EmCost,3)*(1+CO2Uprater)^($B168-YearCurrent)+VLOOKUP(K168,EmTruck20,4)*VLOOKUP(ProjLoc,EmCost,4)+VLOOKUP(K168,EmTruck20,5)*VLOOKUP(ProjLoc,EmCost,5)+VLOOKUP(K168,EmTruck20,6)*VLOOKUP(ProjLoc,EmCost,6)+VLOOKUP(K168,EmTruck20,7)*VLOOKUP(ProjLoc,EmCost,7)),0)</f>
        <v>809678.30636549927</v>
      </c>
      <c r="R168" s="802">
        <f>IF(INDEX(HwyTransitModelGroup,A146,1)=Hwy,D168*(1-N168)*0.00000110231131*(VLOOKUP(L168,EmAuto20,2)*VLOOKUP(ProjLoc,EmCost,2)+VLOOKUP(L168,EmAuto20,3)*VLOOKUP(ProjLoc,EmCost,3)*(1+CO2Uprater)^($B168-YearCurrent)+VLOOKUP(L168,EmAuto20,4)*VLOOKUP(ProjLoc,EmCost,4)+VLOOKUP(L168,EmAuto20,5)*VLOOKUP(ProjLoc,EmCost,5)+VLOOKUP(L168,EmAuto20,6)*VLOOKUP(ProjLoc,EmCost,6)+VLOOKUP(L168,EmAuto20,7)*VLOOKUP(ProjLoc,EmCost,7))+D168*N168*0.00000110231131*(VLOOKUP(L168,EmTruck20,2)*VLOOKUP(ProjLoc,EmCost,2)+VLOOKUP(L168,EmTruck20,3)*VLOOKUP(ProjLoc,EmCost,3)*(1+CO2Uprater)^($B168-YearCurrent)+VLOOKUP(L168,EmTruck20,4)*VLOOKUP(ProjLoc,EmCost,4)+VLOOKUP(L168,EmTruck20,5)*VLOOKUP(ProjLoc,EmCost,5)+VLOOKUP(L168,EmTruck20,6)*VLOOKUP(ProjLoc,EmCost,6)+VLOOKUP(L168,EmTruck20,7)*VLOOKUP(ProjLoc,EmCost,7)),0)</f>
        <v>727005.12962881476</v>
      </c>
      <c r="S168" s="729">
        <f>IF(INDEX(HwyTransitModelGroup,A146,1)=Hwy,O168*(1-M168)*0.00000110231131*(VLOOKUP(0,EmAuto20,2)*VLOOKUP(ProjLoc,EmCost,2)+VLOOKUP(0,EmAuto20,3)*VLOOKUP(ProjLoc,EmCost,3)*(1+CO2Uprater)^($B168-YearCurrent)+VLOOKUP(0,EmAuto20,4)*VLOOKUP(ProjLoc,EmCost,4)+VLOOKUP(0,EmAuto20,5)*VLOOKUP(ProjLoc,EmCost,5)+VLOOKUP(0,EmAuto20,6)*VLOOKUP(ProjLoc,EmCost,6)+VLOOKUP(0,EmAuto20,7)*VLOOKUP(ProjLoc,EmCost,7))+O168*M168*0.00000110231131*(VLOOKUP(0,EmTruck20,2)*VLOOKUP(ProjLoc,EmCost,2)+VLOOKUP(0,EmTruck20,3)*VLOOKUP(ProjLoc,EmCost,3)*(1+CO2Uprater)^($B168-YearCurrent)+VLOOKUP(0,EmTruck20,4)*VLOOKUP(ProjLoc,EmCost,4)+VLOOKUP(0,EmTruck20,5)*VLOOKUP(ProjLoc,EmCost,5)+VLOOKUP(0,EmTruck20,6)*VLOOKUP(ProjLoc,EmCost,6)+VLOOKUP(0,EmTruck20,7)*VLOOKUP(ProjLoc,EmCost,7)),0)</f>
        <v>0</v>
      </c>
      <c r="T168" s="802">
        <f>IF(INDEX(HwyTransitModelGroup,A146,1)=Hwy,P168*(1-N168)*0.00000110231131*(VLOOKUP(0,EmAuto20,2)*VLOOKUP(ProjLoc,EmCost,2)+VLOOKUP(0,EmAuto20,3)*VLOOKUP(ProjLoc,EmCost,3)*(1+CO2Uprater)^($B168-YearCurrent)+VLOOKUP(0,EmAuto20,4)*VLOOKUP(ProjLoc,EmCost,4)+VLOOKUP(0,EmAuto20,5)*VLOOKUP(ProjLoc,EmCost,5)+VLOOKUP(0,EmAuto20,6)*VLOOKUP(ProjLoc,EmCost,6)+VLOOKUP(0,EmAuto20,7)*VLOOKUP(ProjLoc,EmCost,7))+P168*N168*0.00000110231131*(VLOOKUP(0,EmTruck20,2)*VLOOKUP(ProjLoc,EmCost,2)+VLOOKUP(0,EmTruck20,3)*VLOOKUP(ProjLoc,EmCost,3)*(1+CO2Uprater)^($B168-YearCurrent)+VLOOKUP(0,EmTruck20,4)*VLOOKUP(ProjLoc,EmCost,4)+VLOOKUP(0,EmTruck20,5)*VLOOKUP(ProjLoc,EmCost,5)+VLOOKUP(0,EmTruck20,6)*VLOOKUP(ProjLoc,EmCost,6)+VLOOKUP(0,EmTruck20,7)*VLOOKUP(ProjLoc,EmCost,7)),0)</f>
        <v>0</v>
      </c>
      <c r="U168" s="729">
        <f>IF(INDEX(HwyTransitModelGroup,A146,1)=PARAMETERS!$J$9,C168*0.00000110231131*(VLOOKUP(K168,EmBus20,2)*VLOOKUP(ProjLoc,EmCost,2)+VLOOKUP(K168,EmBus20,3)*VLOOKUP(ProjLoc,EmCost,3)*(1+CO2Uprater)^($B168-YearCurrent)+VLOOKUP(K168,EmBus20,4)*VLOOKUP(ProjLoc,EmCost,4)+VLOOKUP(K168,EmBus20,5)*VLOOKUP(ProjLoc,EmCost,5)+VLOOKUP(K168,EmBus20,6)*VLOOKUP(ProjLoc,EmCost,6)+VLOOKUP(K168,EmBus20,7)*VLOOKUP(ProjLoc,EmCost,7)),0)</f>
        <v>0</v>
      </c>
      <c r="V168" s="802">
        <f>IF(INDEX(HwyTransitModelGroup,A146,1)=PARAMETERS!$J$9,D168*0.00000110231131*(VLOOKUP(L168,EmBus20,2)*VLOOKUP(ProjLoc,EmCost,2)+VLOOKUP(L168,EmBus20,3)*VLOOKUP(ProjLoc,EmCost,3)*(1+CO2Uprater)^($B168-YearCurrent)+VLOOKUP(L168,EmBus20,4)*VLOOKUP(ProjLoc,EmCost,4)+VLOOKUP(L168,EmBus20,5)*VLOOKUP(ProjLoc,EmCost,5)+VLOOKUP(L168,EmBus20,6)*VLOOKUP(ProjLoc,EmCost,6)+VLOOKUP(L168,EmBus20,7)*VLOOKUP(ProjLoc,EmCost,7)),0)</f>
        <v>0</v>
      </c>
      <c r="W168" s="808">
        <f>IF(INDEX(HwyTransitModelGroup,A146,1)=PARAMETERS!$J$10,C168*0.00000110231131*(PARAMETERS!$CQ$29*VLOOKUP(ProjLoc,EmCost,2)+PARAMETERS!$CR$29*VLOOKUP(ProjLoc,EmCost,3)*(1+CO2Uprater)^($B168-YearCurrent)+PARAMETERS!$CS$29*VLOOKUP(ProjLoc,EmCost,4)+PARAMETERS!$CT$29*VLOOKUP(ProjLoc,EmCost,5)+PARAMETERS!$CU$29*VLOOKUP(ProjLoc,EmCost,6)+PARAMETERS!$CV$29*VLOOKUP(ProjLoc,EmCost,7)),0)</f>
        <v>0</v>
      </c>
      <c r="X168" s="844">
        <f>IF(INDEX(HwyTransitModelGroup,A146,1)=PARAMETERS!$J$10,D168*0.00000110231131*(PARAMETERS!$CQ$29*VLOOKUP(ProjLoc,EmCost,2)+PARAMETERS!$CR$29*VLOOKUP(ProjLoc,EmCost,3)*(1+CO2Uprater)^($B168-YearCurrent)+PARAMETERS!$CS$29*VLOOKUP(ProjLoc,EmCost,4)+PARAMETERS!$CT$29*VLOOKUP(ProjLoc,EmCost,5)+PARAMETERS!$CU$29*VLOOKUP(ProjLoc,EmCost,6)+PARAMETERS!$CV$29*VLOOKUP(ProjLoc,EmCost,7)),0)</f>
        <v>0</v>
      </c>
      <c r="Y168" s="808">
        <f>IF(INDEX(HwyTransitModelGroup,A146,1)=PARAMETERS!$J$11,C168*0.00000110231131*(PARAMETERS!$CQ$37*VLOOKUP(ProjLoc,EmCost,2)+PARAMETERS!$CR$37*VLOOKUP(ProjLoc,EmCost,3)*(1+CO2Uprater)^($B168-YearCurrent)+PARAMETERS!$CS$37*VLOOKUP(ProjLoc,EmCost,4)+PARAMETERS!$CT$37*VLOOKUP(ProjLoc,EmCost,5)+PARAMETERS!$CU$37*VLOOKUP(ProjLoc,EmCost,6)+PARAMETERS!$CV$37*VLOOKUP(ProjLoc,EmCost,7)),0)</f>
        <v>0</v>
      </c>
      <c r="Z168" s="844">
        <f>IF(INDEX(HwyTransitModelGroup,A146,1)=PARAMETERS!$J$11,D168*0.00000110231131*(PARAMETERS!$CQ$37*VLOOKUP(ProjLoc,EmCost,2)+PARAMETERS!$CR$37*VLOOKUP(ProjLoc,EmCost,3)*(1+CO2Uprater)^($B168-YearCurrent)+PARAMETERS!$CS$37*VLOOKUP(ProjLoc,EmCost,4)+PARAMETERS!$CT$37*VLOOKUP(ProjLoc,EmCost,5)+PARAMETERS!$CU$37*VLOOKUP(ProjLoc,EmCost,6)+PARAMETERS!$CV$37*VLOOKUP(ProjLoc,EmCost,7)),0)</f>
        <v>0</v>
      </c>
      <c r="AA168" s="369">
        <f t="shared" si="64"/>
        <v>82673.176736684516</v>
      </c>
      <c r="AB168" s="370">
        <f t="shared" si="65"/>
        <v>42442.197086188789</v>
      </c>
      <c r="AC168" s="371"/>
      <c r="AD168" s="401">
        <f>IF(INDEX(HwyTransitModelGroup,A146,1)=Hwy,0.00000110231131*(C168*(1-M168)*VLOOKUP(K168,EmAuto20,2)-D168*(1-N168)*VLOOKUP(L168,EmAuto20,2)+(O168*(1-M168)-P168*(1-N168))*VLOOKUP(0,EmAuto20,2))+0.00000110231131*(C168*M168*VLOOKUP(K168,EmTruck20,2)-D168*N168*VLOOKUP(L168,EmTruck20,2)+(O168*M168-P168*N168)*VLOOKUP(0,EmTruck20,2)),0)</f>
        <v>0.82534750142193847</v>
      </c>
      <c r="AE168" s="863">
        <f>IF(INDEX(HwyTransitModelGroup,A146,1)=Hwy,0.00000110231131*(C168*(1-M168)*VLOOKUP(K168,EmAuto20,3)-D168*(1-N168)*VLOOKUP(L168,EmAuto20,3)+(O168*(1-M168)-P168*(1-N168))*VLOOKUP(0,EmAuto20,3))+0.00000110231131*(C168*M168*VLOOKUP(K168,EmTruck20,3)-D168*N168*VLOOKUP(L168,EmTruck20,3)+(O168*M168-P168*N168)*VLOOKUP(0,EmTruck20,3)),0)</f>
        <v>1074.5114493749354</v>
      </c>
      <c r="AF168" s="861">
        <f>IF(INDEX(HwyTransitModelGroup,A146,1)=Hwy,0.00000110231131*(C168*(1-M168)*VLOOKUP(K168,EmAuto20,4)-D168*(1-N168)*VLOOKUP(L168,EmAuto20,4)+(O168*(1-M168)-P168*(1-N168))*VLOOKUP(0,EmAuto20,4))+0.00000110231131*(C168*M168*VLOOKUP(K168,EmTruck20,4)-D168*N168*VLOOKUP(L168,EmTruck20,4)+(O168*M168-P168*N168)*VLOOKUP(0,EmTruck20,4)),0)</f>
        <v>0.53497112027040661</v>
      </c>
      <c r="AG168" s="863">
        <f>IF(INDEX(HwyTransitModelGroup,A146,1)=Hwy,0.00000110231131*(C168*(1-M168)*VLOOKUP(K168,EmAuto20,5)-D168*(1-N168)*VLOOKUP(L168,EmAuto20,5)+(O168*(1-M168)-P168*(1-N168))*VLOOKUP(0,EmAuto20,5))+0.00000110231131*(C168*M168*VLOOKUP(K168,EmTruck20,5)-D168*N168*VLOOKUP(L168,EmTruck20,5)+(O168*M168-P168*N168)*VLOOKUP(0,EmTruck20,5)),0)</f>
        <v>1.4389073513354542E-2</v>
      </c>
      <c r="AH168" s="861">
        <f>IF(INDEX(HwyTransitModelGroup,A146,1)=Hwy,0.00000110231131*(C168*(1-M168)*VLOOKUP(K168,EmAuto20,6)-D168*(1-N168)*VLOOKUP(L168,EmAuto20,6)+(O168*(1-M168)-P168*(1-N168))*VLOOKUP(0,EmAuto20,6))+0.00000110231131*(C168*M168*VLOOKUP(K168,EmTruck20,6)-D168*N168*VLOOKUP(L168,EmTruck20,6)+(O168*M168-P168*N168)*VLOOKUP(0,EmTruck20,6)),0)</f>
        <v>1.0340622321461563E-2</v>
      </c>
      <c r="AI168" s="863">
        <f>IF(INDEX(HwyTransitModelGroup,A146,1)=Hwy,0.00000110231131*(C168*(1-M168)*VLOOKUP(K168,EmAuto20,7)-D168*(1-N168)*VLOOKUP(L168,EmAuto20,7)+(O168*(1-M168)-P168*(1-N168))*VLOOKUP(0,EmAuto20,7))+0.00000110231131*(C168*M168*VLOOKUP(K168,EmTruck20,7)-D168*N168*VLOOKUP(L168,EmTruck20,7)+(O168*M168-P168*N168)*VLOOKUP(0,EmTruck20,7)),0)</f>
        <v>1.8164376191095667E-2</v>
      </c>
      <c r="AJ168" s="861">
        <f>IF(INDEX(HwyTransitModelGroup,A146,1)=Hwy,0.00000110231131*(C168*(1-M168)*VLOOKUP(K168,EmAuto20,8)-D168*(1-N168)*VLOOKUP(L168,EmAuto20,8)+(O168*(1-M168)-P168*(1-N168))*VLOOKUP(0,EmAuto20,8))+0.00000110231131*(C168*M168*VLOOKUP(K168,EmTruck20,8)-D168*N168*VLOOKUP(L168,EmTruck20,8)+(O168*M168-P168*N168)*VLOOKUP(0,EmTruck20,8)),0)</f>
        <v>1.3803755268743514E-2</v>
      </c>
      <c r="AK168" s="401">
        <f>IF(INDEX(HwyTransitModelGroup,A146,1)=PARAMETERS!$J$9,0.00000110231131*(C168*VLOOKUP(K168,EmBus20,2)-D168*VLOOKUP(L168,EmBus20,2)+(O168-P168)*VLOOKUP(0,EmBus20,2)),0)</f>
        <v>0</v>
      </c>
      <c r="AL168" s="863">
        <f>IF(INDEX(HwyTransitModelGroup,A146,1)=PARAMETERS!$J$9,0.00000110231131*(C168*VLOOKUP(K168,EmBus20,3)-D168*VLOOKUP(L168,EmBus20,3)+(O168-P168)*VLOOKUP(0,EmBus20,3)),0)</f>
        <v>0</v>
      </c>
      <c r="AM168" s="861">
        <f>IF(INDEX(HwyTransitModelGroup,A146,1)=PARAMETERS!$J$9,0.00000110231131*(C168*VLOOKUP(K168,EmBus20,4)-D168*VLOOKUP(L168,EmBus20,4)+(O168-P168)*VLOOKUP(0,EmBus20,4)),0)</f>
        <v>0</v>
      </c>
      <c r="AN168" s="863">
        <f>IF(INDEX(HwyTransitModelGroup,A146,1)=PARAMETERS!$J$9,0.00000110231131*(C168*VLOOKUP(K168,EmBus20,5)-D168*VLOOKUP(L168,EmBus20,5)+(O168-P168)*VLOOKUP(0,EmBus20,5)),0)</f>
        <v>0</v>
      </c>
      <c r="AO168" s="861">
        <f>IF(INDEX(HwyTransitModelGroup,A146,1)=PARAMETERS!$J$9,0.00000110231131*(C168*VLOOKUP(K168,EmBus20,6)-D168*VLOOKUP(L168,EmBus20,6)+(O168-P168)*VLOOKUP(0,EmBus20,6)),0)</f>
        <v>0</v>
      </c>
      <c r="AP168" s="863">
        <f>IF(INDEX(HwyTransitModelGroup,A146,1)=PARAMETERS!$J$9,0.00000110231131*(C168*VLOOKUP(K168,EmBus20,7)-D168*VLOOKUP(L168,EmBus20,7)+(O168-P168)*VLOOKUP(0,EmBus20,7)),0)</f>
        <v>0</v>
      </c>
      <c r="AQ168" s="861">
        <f>IF(INDEX(HwyTransitModelGroup,A146,1)=PARAMETERS!$J$9,0.00000110231131*(C168*VLOOKUP(K168,EmBus20,8)-D168*VLOOKUP(L168,EmBus20,8)+(O168-P168)*VLOOKUP(0,EmBus20,8)),0)</f>
        <v>0</v>
      </c>
      <c r="AR168" s="401">
        <f>IF(INDEX(HwyTransitModelGroup,A146,1)=PARAMETERS!$J$10,0.00000110231131*((C168-D168)*PARAMETERS!$CQ$29),0)</f>
        <v>0</v>
      </c>
      <c r="AS168" s="863">
        <f>IF(INDEX(HwyTransitModelGroup,A146,1)=PARAMETERS!$J$10,0.00000110231131*((C168-D168)*PARAMETERS!$CR$29),0)</f>
        <v>0</v>
      </c>
      <c r="AT168" s="861">
        <f>IF(INDEX(HwyTransitModelGroup,A146,1)=PARAMETERS!$J$10,0.00000110231131*((C168-D168)*PARAMETERS!$CS$29),0)</f>
        <v>0</v>
      </c>
      <c r="AU168" s="863">
        <f>IF(INDEX(HwyTransitModelGroup,A146,1)=PARAMETERS!$J$10,0.00000110231131*((C168-D168)*PARAMETERS!$CT$29),0)</f>
        <v>0</v>
      </c>
      <c r="AV168" s="861">
        <f>IF(INDEX(HwyTransitModelGroup,A146,1)=PARAMETERS!$J$10,0.00000110231131*((C168-D168)*PARAMETERS!$CU$29),0)</f>
        <v>0</v>
      </c>
      <c r="AW168" s="863">
        <f>IF(INDEX(HwyTransitModelGroup,A146,1)=PARAMETERS!$J$10,0.00000110231131*((C168-D168)*PARAMETERS!$CV$29),0)</f>
        <v>0</v>
      </c>
      <c r="AX168" s="861">
        <f>IF(INDEX(HwyTransitModelGroup,A146,1)=PARAMETERS!$J$10,0.00000110231131*((C168-D168)*PARAMETERS!$CW$29),0)</f>
        <v>0</v>
      </c>
      <c r="AY168" s="401">
        <f>IF(INDEX(HwyTransitModelGroup,A146,1)=PARAMETERS!$J$11,0.00000110231131*((C168-D168)*PARAMETERS!$CQ$37),0)</f>
        <v>0</v>
      </c>
      <c r="AZ168" s="863">
        <f>IF(INDEX(HwyTransitModelGroup,A146,1)=PARAMETERS!$J$11,0.00000110231131*((C168-D168)*PARAMETERS!$CR$37),0)</f>
        <v>0</v>
      </c>
      <c r="BA168" s="861">
        <f>IF(INDEX(HwyTransitModelGroup,A146,1)=PARAMETERS!$J$11,0.00000110231131*((C168-D168)*PARAMETERS!$CS$37),0)</f>
        <v>0</v>
      </c>
      <c r="BB168" s="863">
        <f>IF(INDEX(HwyTransitModelGroup,A146,1)=PARAMETERS!$J$11,0.00000110231131*((C168-D168)*PARAMETERS!$CT$37),0)</f>
        <v>0</v>
      </c>
      <c r="BC168" s="861">
        <f>IF(INDEX(HwyTransitModelGroup,A146,1)=PARAMETERS!$J$11,0.00000110231131*((C168-D168)*PARAMETERS!$CU$37),0)</f>
        <v>0</v>
      </c>
      <c r="BD168" s="863">
        <f>IF(INDEX(HwyTransitModelGroup,A146,1)=PARAMETERS!$J$11,0.00000110231131*((C168-D168)*PARAMETERS!$CV$37),0)</f>
        <v>0</v>
      </c>
      <c r="BE168" s="865">
        <f>IF(INDEX(HwyTransitModelGroup,A146,1)=PARAMETERS!$J$11,0.00000110231131*((C168-D168)*PARAMETERS!$CW$37),0)</f>
        <v>0</v>
      </c>
      <c r="BF168" s="729">
        <f t="shared" si="66"/>
        <v>33.896906060850327</v>
      </c>
      <c r="BG168" s="867">
        <f t="shared" si="67"/>
        <v>37075.621229983</v>
      </c>
      <c r="BH168" s="867">
        <f t="shared" si="68"/>
        <v>4147.0618927976639</v>
      </c>
      <c r="BI168" s="867">
        <f t="shared" si="69"/>
        <v>862.05885918670992</v>
      </c>
      <c r="BJ168" s="867">
        <f t="shared" si="70"/>
        <v>313.20733187246339</v>
      </c>
      <c r="BK168" s="869">
        <f t="shared" si="71"/>
        <v>10.350866288145891</v>
      </c>
      <c r="BL168" s="431"/>
      <c r="BN168" s="375">
        <f t="shared" si="76"/>
        <v>2034</v>
      </c>
      <c r="BO168" s="871">
        <f t="shared" ca="1" si="74"/>
        <v>-3.6369288985539712E-5</v>
      </c>
      <c r="BP168" s="871">
        <f t="shared" ca="1" si="75"/>
        <v>-2.6385566384115968E-4</v>
      </c>
      <c r="BQ168" s="871">
        <f t="shared" ca="1" si="75"/>
        <v>-2.6633892871410174E-4</v>
      </c>
      <c r="BR168" s="871">
        <f t="shared" ca="1" si="75"/>
        <v>-3.8393888559888692E-3</v>
      </c>
      <c r="BS168" s="871">
        <f t="shared" ca="1" si="75"/>
        <v>1.2058568457430601E-2</v>
      </c>
      <c r="BT168" s="871">
        <f t="shared" ca="1" si="75"/>
        <v>1.541753423704087E-2</v>
      </c>
    </row>
    <row r="169" spans="2:72" x14ac:dyDescent="0.25">
      <c r="B169" s="375">
        <f t="shared" si="72"/>
        <v>2040</v>
      </c>
      <c r="C169" s="401">
        <f>MAX(TREND(C152:C153,B152:B153,B169),0)</f>
        <v>21916680.5</v>
      </c>
      <c r="D169" s="402">
        <f>MAX(TREND(D152:D153,B152:B153,B169),0)</f>
        <v>19632547</v>
      </c>
      <c r="E169" s="401">
        <f>MAX(TREND(E152:E153,B152:B153,B169),0)</f>
        <v>316820</v>
      </c>
      <c r="F169" s="402">
        <f>MAX(TREND(F152:F153,B152:B153,B169),0)</f>
        <v>283021</v>
      </c>
      <c r="G169" s="401">
        <f>MAX(TREND(G152:G153,B152:B153,B169),0)</f>
        <v>0</v>
      </c>
      <c r="H169" s="402">
        <f>MAX(TREND(H152:H153,B152:B153,B169),0)</f>
        <v>0</v>
      </c>
      <c r="I169" s="401">
        <f>MAX(TREND(I152:I153,B152:B153,B169),0)</f>
        <v>0</v>
      </c>
      <c r="J169" s="402">
        <f>MAX(TREND(J152:J153,B152:B153,B169),0)</f>
        <v>0</v>
      </c>
      <c r="K169" s="435">
        <f>IFERROR(IF(INDEX(HwyTransitModelGroup,A146,1)=Hwy,MAX(5,ROUND(C169/E169,1)),MAX(5,ROUND(G169/I169,1))),55)</f>
        <v>69.2</v>
      </c>
      <c r="L169" s="436">
        <f>IFERROR(IF(INDEX(HwyTransitModelGroup,A146,1)=Hwy,MAX(5,ROUND(D169/F169,1)),MAX(5,ROUND(H169/J169,1))),55)</f>
        <v>69.400000000000006</v>
      </c>
      <c r="M169" s="405">
        <f>MIN(MAX(TREND(M152:M153,B152:B153,B169),0),1)</f>
        <v>0.24</v>
      </c>
      <c r="N169" s="406">
        <f>MIN(MAX(TREND(N152:N153,B152:B153,B169),0),1)</f>
        <v>0.24</v>
      </c>
      <c r="O169" s="401">
        <f>MAX(TREND(O152:O153,B152:B153,B169),0)</f>
        <v>0</v>
      </c>
      <c r="P169" s="402">
        <f>MAX(TREND(P152:P153,B152:B153,B169),0)</f>
        <v>0</v>
      </c>
      <c r="Q169" s="729">
        <f>IF(INDEX(HwyTransitModelGroup,A146,1)=Hwy,C169*(1-M169)*0.00000110231131*(VLOOKUP(K169,EmAuto20,2)*VLOOKUP(ProjLoc,EmCost,2)+VLOOKUP(K169,EmAuto20,3)*VLOOKUP(ProjLoc,EmCost,3)*(1+CO2Uprater)^($B169-YearCurrent)+VLOOKUP(K169,EmAuto20,4)*VLOOKUP(ProjLoc,EmCost,4)+VLOOKUP(K169,EmAuto20,5)*VLOOKUP(ProjLoc,EmCost,5)+VLOOKUP(K169,EmAuto20,6)*VLOOKUP(ProjLoc,EmCost,6)+VLOOKUP(K169,EmAuto20,7)*VLOOKUP(ProjLoc,EmCost,7))+C169*M169*0.00000110231131*(VLOOKUP(K169,EmTruck20,2)*VLOOKUP(ProjLoc,EmCost,2)+VLOOKUP(K169,EmTruck20,3)*VLOOKUP(ProjLoc,EmCost,3)*(1+CO2Uprater)^($B169-YearCurrent)+VLOOKUP(K169,EmTruck20,4)*VLOOKUP(ProjLoc,EmCost,4)+VLOOKUP(K169,EmTruck20,5)*VLOOKUP(ProjLoc,EmCost,5)+VLOOKUP(K169,EmTruck20,6)*VLOOKUP(ProjLoc,EmCost,6)+VLOOKUP(K169,EmTruck20,7)*VLOOKUP(ProjLoc,EmCost,7)),0)</f>
        <v>833268.44161507138</v>
      </c>
      <c r="R169" s="802">
        <f>IF(INDEX(HwyTransitModelGroup,A146,1)=Hwy,D169*(1-N169)*0.00000110231131*(VLOOKUP(L169,EmAuto20,2)*VLOOKUP(ProjLoc,EmCost,2)+VLOOKUP(L169,EmAuto20,3)*VLOOKUP(ProjLoc,EmCost,3)*(1+CO2Uprater)^($B169-YearCurrent)+VLOOKUP(L169,EmAuto20,4)*VLOOKUP(ProjLoc,EmCost,4)+VLOOKUP(L169,EmAuto20,5)*VLOOKUP(ProjLoc,EmCost,5)+VLOOKUP(L169,EmAuto20,6)*VLOOKUP(ProjLoc,EmCost,6)+VLOOKUP(L169,EmAuto20,7)*VLOOKUP(ProjLoc,EmCost,7))+D169*N169*0.00000110231131*(VLOOKUP(L169,EmTruck20,2)*VLOOKUP(ProjLoc,EmCost,2)+VLOOKUP(L169,EmTruck20,3)*VLOOKUP(ProjLoc,EmCost,3)*(1+CO2Uprater)^($B169-YearCurrent)+VLOOKUP(L169,EmTruck20,4)*VLOOKUP(ProjLoc,EmCost,4)+VLOOKUP(L169,EmTruck20,5)*VLOOKUP(ProjLoc,EmCost,5)+VLOOKUP(L169,EmTruck20,6)*VLOOKUP(ProjLoc,EmCost,6)+VLOOKUP(L169,EmTruck20,7)*VLOOKUP(ProjLoc,EmCost,7)),0)</f>
        <v>746426.07686983631</v>
      </c>
      <c r="S169" s="729">
        <f>IF(INDEX(HwyTransitModelGroup,A146,1)=Hwy,O169*(1-M169)*0.00000110231131*(VLOOKUP(0,EmAuto20,2)*VLOOKUP(ProjLoc,EmCost,2)+VLOOKUP(0,EmAuto20,3)*VLOOKUP(ProjLoc,EmCost,3)*(1+CO2Uprater)^($B169-YearCurrent)+VLOOKUP(0,EmAuto20,4)*VLOOKUP(ProjLoc,EmCost,4)+VLOOKUP(0,EmAuto20,5)*VLOOKUP(ProjLoc,EmCost,5)+VLOOKUP(0,EmAuto20,6)*VLOOKUP(ProjLoc,EmCost,6)+VLOOKUP(0,EmAuto20,7)*VLOOKUP(ProjLoc,EmCost,7))+O169*M169*0.00000110231131*(VLOOKUP(0,EmTruck20,2)*VLOOKUP(ProjLoc,EmCost,2)+VLOOKUP(0,EmTruck20,3)*VLOOKUP(ProjLoc,EmCost,3)*(1+CO2Uprater)^($B169-YearCurrent)+VLOOKUP(0,EmTruck20,4)*VLOOKUP(ProjLoc,EmCost,4)+VLOOKUP(0,EmTruck20,5)*VLOOKUP(ProjLoc,EmCost,5)+VLOOKUP(0,EmTruck20,6)*VLOOKUP(ProjLoc,EmCost,6)+VLOOKUP(0,EmTruck20,7)*VLOOKUP(ProjLoc,EmCost,7)),0)</f>
        <v>0</v>
      </c>
      <c r="T169" s="802">
        <f>IF(INDEX(HwyTransitModelGroup,A146,1)=Hwy,P169*(1-N169)*0.00000110231131*(VLOOKUP(0,EmAuto20,2)*VLOOKUP(ProjLoc,EmCost,2)+VLOOKUP(0,EmAuto20,3)*VLOOKUP(ProjLoc,EmCost,3)*(1+CO2Uprater)^($B169-YearCurrent)+VLOOKUP(0,EmAuto20,4)*VLOOKUP(ProjLoc,EmCost,4)+VLOOKUP(0,EmAuto20,5)*VLOOKUP(ProjLoc,EmCost,5)+VLOOKUP(0,EmAuto20,6)*VLOOKUP(ProjLoc,EmCost,6)+VLOOKUP(0,EmAuto20,7)*VLOOKUP(ProjLoc,EmCost,7))+P169*N169*0.00000110231131*(VLOOKUP(0,EmTruck20,2)*VLOOKUP(ProjLoc,EmCost,2)+VLOOKUP(0,EmTruck20,3)*VLOOKUP(ProjLoc,EmCost,3)*(1+CO2Uprater)^($B169-YearCurrent)+VLOOKUP(0,EmTruck20,4)*VLOOKUP(ProjLoc,EmCost,4)+VLOOKUP(0,EmTruck20,5)*VLOOKUP(ProjLoc,EmCost,5)+VLOOKUP(0,EmTruck20,6)*VLOOKUP(ProjLoc,EmCost,6)+VLOOKUP(0,EmTruck20,7)*VLOOKUP(ProjLoc,EmCost,7)),0)</f>
        <v>0</v>
      </c>
      <c r="U169" s="729">
        <f>IF(INDEX(HwyTransitModelGroup,A146,1)=PARAMETERS!$J$9,C169*0.00000110231131*(VLOOKUP(K169,EmBus20,2)*VLOOKUP(ProjLoc,EmCost,2)+VLOOKUP(K169,EmBus20,3)*VLOOKUP(ProjLoc,EmCost,3)*(1+CO2Uprater)^($B169-YearCurrent)+VLOOKUP(K169,EmBus20,4)*VLOOKUP(ProjLoc,EmCost,4)+VLOOKUP(K169,EmBus20,5)*VLOOKUP(ProjLoc,EmCost,5)+VLOOKUP(K169,EmBus20,6)*VLOOKUP(ProjLoc,EmCost,6)+VLOOKUP(K169,EmBus20,7)*VLOOKUP(ProjLoc,EmCost,7)),0)</f>
        <v>0</v>
      </c>
      <c r="V169" s="802">
        <f>IF(INDEX(HwyTransitModelGroup,A146,1)=PARAMETERS!$J$9,D169*0.00000110231131*(VLOOKUP(L169,EmBus20,2)*VLOOKUP(ProjLoc,EmCost,2)+VLOOKUP(L169,EmBus20,3)*VLOOKUP(ProjLoc,EmCost,3)*(1+CO2Uprater)^($B169-YearCurrent)+VLOOKUP(L169,EmBus20,4)*VLOOKUP(ProjLoc,EmCost,4)+VLOOKUP(L169,EmBus20,5)*VLOOKUP(ProjLoc,EmCost,5)+VLOOKUP(L169,EmBus20,6)*VLOOKUP(ProjLoc,EmCost,6)+VLOOKUP(L169,EmBus20,7)*VLOOKUP(ProjLoc,EmCost,7)),0)</f>
        <v>0</v>
      </c>
      <c r="W169" s="808">
        <f>IF(INDEX(HwyTransitModelGroup,A146,1)=PARAMETERS!$J$10,C169*0.00000110231131*(PARAMETERS!$CQ$29*VLOOKUP(ProjLoc,EmCost,2)+PARAMETERS!$CR$29*VLOOKUP(ProjLoc,EmCost,3)*(1+CO2Uprater)^($B169-YearCurrent)+PARAMETERS!$CS$29*VLOOKUP(ProjLoc,EmCost,4)+PARAMETERS!$CT$29*VLOOKUP(ProjLoc,EmCost,5)+PARAMETERS!$CU$29*VLOOKUP(ProjLoc,EmCost,6)+PARAMETERS!$CV$29*VLOOKUP(ProjLoc,EmCost,7)),0)</f>
        <v>0</v>
      </c>
      <c r="X169" s="844">
        <f>IF(INDEX(HwyTransitModelGroup,A146,1)=PARAMETERS!$J$10,D169*0.00000110231131*(PARAMETERS!$CQ$29*VLOOKUP(ProjLoc,EmCost,2)+PARAMETERS!$CR$29*VLOOKUP(ProjLoc,EmCost,3)*(1+CO2Uprater)^($B169-YearCurrent)+PARAMETERS!$CS$29*VLOOKUP(ProjLoc,EmCost,4)+PARAMETERS!$CT$29*VLOOKUP(ProjLoc,EmCost,5)+PARAMETERS!$CU$29*VLOOKUP(ProjLoc,EmCost,6)+PARAMETERS!$CV$29*VLOOKUP(ProjLoc,EmCost,7)),0)</f>
        <v>0</v>
      </c>
      <c r="Y169" s="808">
        <f>IF(INDEX(HwyTransitModelGroup,A146,1)=PARAMETERS!$J$11,C169*0.00000110231131*(PARAMETERS!$CQ$37*VLOOKUP(ProjLoc,EmCost,2)+PARAMETERS!$CR$37*VLOOKUP(ProjLoc,EmCost,3)*(1+CO2Uprater)^($B169-YearCurrent)+PARAMETERS!$CS$37*VLOOKUP(ProjLoc,EmCost,4)+PARAMETERS!$CT$37*VLOOKUP(ProjLoc,EmCost,5)+PARAMETERS!$CU$37*VLOOKUP(ProjLoc,EmCost,6)+PARAMETERS!$CV$37*VLOOKUP(ProjLoc,EmCost,7)),0)</f>
        <v>0</v>
      </c>
      <c r="Z169" s="844">
        <f>IF(INDEX(HwyTransitModelGroup,A146,1)=PARAMETERS!$J$11,D169*0.00000110231131*(PARAMETERS!$CQ$37*VLOOKUP(ProjLoc,EmCost,2)+PARAMETERS!$CR$37*VLOOKUP(ProjLoc,EmCost,3)*(1+CO2Uprater)^($B169-YearCurrent)+PARAMETERS!$CS$37*VLOOKUP(ProjLoc,EmCost,4)+PARAMETERS!$CT$37*VLOOKUP(ProjLoc,EmCost,5)+PARAMETERS!$CU$37*VLOOKUP(ProjLoc,EmCost,6)+PARAMETERS!$CV$37*VLOOKUP(ProjLoc,EmCost,7)),0)</f>
        <v>0</v>
      </c>
      <c r="AA169" s="369">
        <f t="shared" si="64"/>
        <v>86842.364745235071</v>
      </c>
      <c r="AB169" s="370">
        <f t="shared" si="65"/>
        <v>42867.833333369868</v>
      </c>
      <c r="AC169" s="371"/>
      <c r="AD169" s="401">
        <f>IF(INDEX(HwyTransitModelGroup,A146,1)=Hwy,0.00000110231131*(C169*(1-M169)*VLOOKUP(K169,EmAuto20,2)-D169*(1-N169)*VLOOKUP(L169,EmAuto20,2)+(O169*(1-M169)-P169*(1-N169))*VLOOKUP(0,EmAuto20,2))+0.00000110231131*(C169*M169*VLOOKUP(K169,EmTruck20,2)-D169*N169*VLOOKUP(L169,EmTruck20,2)+(O169*M169-P169*N169)*VLOOKUP(0,EmTruck20,2)),0)</f>
        <v>0.85208273942281221</v>
      </c>
      <c r="AE169" s="863">
        <f>IF(INDEX(HwyTransitModelGroup,A146,1)=Hwy,0.00000110231131*(C169*(1-M169)*VLOOKUP(K169,EmAuto20,3)-D169*(1-N169)*VLOOKUP(L169,EmAuto20,3)+(O169*(1-M169)-P169*(1-N169))*VLOOKUP(0,EmAuto20,3))+0.00000110231131*(C169*M169*VLOOKUP(K169,EmTruck20,3)-D169*N169*VLOOKUP(L169,EmTruck20,3)+(O169*M169-P169*N169)*VLOOKUP(0,EmTruck20,3)),0)</f>
        <v>1109.3177815976774</v>
      </c>
      <c r="AF169" s="861">
        <f>IF(INDEX(HwyTransitModelGroup,A146,1)=Hwy,0.00000110231131*(C169*(1-M169)*VLOOKUP(K169,EmAuto20,4)-D169*(1-N169)*VLOOKUP(L169,EmAuto20,4)+(O169*(1-M169)-P169*(1-N169))*VLOOKUP(0,EmAuto20,4))+0.00000110231131*(C169*M169*VLOOKUP(K169,EmTruck20,4)-D169*N169*VLOOKUP(L169,EmTruck20,4)+(O169*M169-P169*N169)*VLOOKUP(0,EmTruck20,4)),0)</f>
        <v>0.55230028186522806</v>
      </c>
      <c r="AG169" s="863">
        <f>IF(INDEX(HwyTransitModelGroup,A146,1)=Hwy,0.00000110231131*(C169*(1-M169)*VLOOKUP(K169,EmAuto20,5)-D169*(1-N169)*VLOOKUP(L169,EmAuto20,5)+(O169*(1-M169)-P169*(1-N169))*VLOOKUP(0,EmAuto20,5))+0.00000110231131*(C169*M169*VLOOKUP(K169,EmTruck20,5)-D169*N169*VLOOKUP(L169,EmTruck20,5)+(O169*M169-P169*N169)*VLOOKUP(0,EmTruck20,5)),0)</f>
        <v>1.4855174524539291E-2</v>
      </c>
      <c r="AH169" s="861">
        <f>IF(INDEX(HwyTransitModelGroup,A146,1)=Hwy,0.00000110231131*(C169*(1-M169)*VLOOKUP(K169,EmAuto20,6)-D169*(1-N169)*VLOOKUP(L169,EmAuto20,6)+(O169*(1-M169)-P169*(1-N169))*VLOOKUP(0,EmAuto20,6))+0.00000110231131*(C169*M169*VLOOKUP(K169,EmTruck20,6)-D169*N169*VLOOKUP(L169,EmTruck20,6)+(O169*M169-P169*N169)*VLOOKUP(0,EmTruck20,6)),0)</f>
        <v>1.0675583048143488E-2</v>
      </c>
      <c r="AI169" s="863">
        <f>IF(INDEX(HwyTransitModelGroup,A146,1)=Hwy,0.00000110231131*(C169*(1-M169)*VLOOKUP(K169,EmAuto20,7)-D169*(1-N169)*VLOOKUP(L169,EmAuto20,7)+(O169*(1-M169)-P169*(1-N169))*VLOOKUP(0,EmAuto20,7))+0.00000110231131*(C169*M169*VLOOKUP(K169,EmTruck20,7)-D169*N169*VLOOKUP(L169,EmTruck20,7)+(O169*M169-P169*N169)*VLOOKUP(0,EmTruck20,7)),0)</f>
        <v>1.8752769467587933E-2</v>
      </c>
      <c r="AJ169" s="861">
        <f>IF(INDEX(HwyTransitModelGroup,A146,1)=Hwy,0.00000110231131*(C169*(1-M169)*VLOOKUP(K169,EmAuto20,8)-D169*(1-N169)*VLOOKUP(L169,EmAuto20,8)+(O169*(1-M169)-P169*(1-N169))*VLOOKUP(0,EmAuto20,8))+0.00000110231131*(C169*M169*VLOOKUP(K169,EmTruck20,8)-D169*N169*VLOOKUP(L169,EmTruck20,8)+(O169*M169-P169*N169)*VLOOKUP(0,EmTruck20,8)),0)</f>
        <v>1.4250896238795325E-2</v>
      </c>
      <c r="AK169" s="401">
        <f>IF(INDEX(HwyTransitModelGroup,A146,1)=PARAMETERS!$J$9,0.00000110231131*(C169*VLOOKUP(K169,EmBus20,2)-D169*VLOOKUP(L169,EmBus20,2)+(O169-P169)*VLOOKUP(0,EmBus20,2)),0)</f>
        <v>0</v>
      </c>
      <c r="AL169" s="863">
        <f>IF(INDEX(HwyTransitModelGroup,A146,1)=PARAMETERS!$J$9,0.00000110231131*(C169*VLOOKUP(K169,EmBus20,3)-D169*VLOOKUP(L169,EmBus20,3)+(O169-P169)*VLOOKUP(0,EmBus20,3)),0)</f>
        <v>0</v>
      </c>
      <c r="AM169" s="861">
        <f>IF(INDEX(HwyTransitModelGroup,A146,1)=PARAMETERS!$J$9,0.00000110231131*(C169*VLOOKUP(K169,EmBus20,4)-D169*VLOOKUP(L169,EmBus20,4)+(O169-P169)*VLOOKUP(0,EmBus20,4)),0)</f>
        <v>0</v>
      </c>
      <c r="AN169" s="863">
        <f>IF(INDEX(HwyTransitModelGroup,A146,1)=PARAMETERS!$J$9,0.00000110231131*(C169*VLOOKUP(K169,EmBus20,5)-D169*VLOOKUP(L169,EmBus20,5)+(O169-P169)*VLOOKUP(0,EmBus20,5)),0)</f>
        <v>0</v>
      </c>
      <c r="AO169" s="861">
        <f>IF(INDEX(HwyTransitModelGroup,A146,1)=PARAMETERS!$J$9,0.00000110231131*(C169*VLOOKUP(K169,EmBus20,6)-D169*VLOOKUP(L169,EmBus20,6)+(O169-P169)*VLOOKUP(0,EmBus20,6)),0)</f>
        <v>0</v>
      </c>
      <c r="AP169" s="863">
        <f>IF(INDEX(HwyTransitModelGroup,A146,1)=PARAMETERS!$J$9,0.00000110231131*(C169*VLOOKUP(K169,EmBus20,7)-D169*VLOOKUP(L169,EmBus20,7)+(O169-P169)*VLOOKUP(0,EmBus20,7)),0)</f>
        <v>0</v>
      </c>
      <c r="AQ169" s="861">
        <f>IF(INDEX(HwyTransitModelGroup,A146,1)=PARAMETERS!$J$9,0.00000110231131*(C169*VLOOKUP(K169,EmBus20,8)-D169*VLOOKUP(L169,EmBus20,8)+(O169-P169)*VLOOKUP(0,EmBus20,8)),0)</f>
        <v>0</v>
      </c>
      <c r="AR169" s="401">
        <f>IF(INDEX(HwyTransitModelGroup,A146,1)=PARAMETERS!$J$10,0.00000110231131*((C169-D169)*PARAMETERS!$CQ$29),0)</f>
        <v>0</v>
      </c>
      <c r="AS169" s="863">
        <f>IF(INDEX(HwyTransitModelGroup,A146,1)=PARAMETERS!$J$10,0.00000110231131*((C169-D169)*PARAMETERS!$CR$29),0)</f>
        <v>0</v>
      </c>
      <c r="AT169" s="861">
        <f>IF(INDEX(HwyTransitModelGroup,A146,1)=PARAMETERS!$J$10,0.00000110231131*((C169-D169)*PARAMETERS!$CS$29),0)</f>
        <v>0</v>
      </c>
      <c r="AU169" s="863">
        <f>IF(INDEX(HwyTransitModelGroup,A146,1)=PARAMETERS!$J$10,0.00000110231131*((C169-D169)*PARAMETERS!$CT$29),0)</f>
        <v>0</v>
      </c>
      <c r="AV169" s="861">
        <f>IF(INDEX(HwyTransitModelGroup,A146,1)=PARAMETERS!$J$10,0.00000110231131*((C169-D169)*PARAMETERS!$CU$29),0)</f>
        <v>0</v>
      </c>
      <c r="AW169" s="863">
        <f>IF(INDEX(HwyTransitModelGroup,A146,1)=PARAMETERS!$J$10,0.00000110231131*((C169-D169)*PARAMETERS!$CV$29),0)</f>
        <v>0</v>
      </c>
      <c r="AX169" s="861">
        <f>IF(INDEX(HwyTransitModelGroup,A146,1)=PARAMETERS!$J$10,0.00000110231131*((C169-D169)*PARAMETERS!$CW$29),0)</f>
        <v>0</v>
      </c>
      <c r="AY169" s="401">
        <f>IF(INDEX(HwyTransitModelGroup,A146,1)=PARAMETERS!$J$11,0.00000110231131*((C169-D169)*PARAMETERS!$CQ$37),0)</f>
        <v>0</v>
      </c>
      <c r="AZ169" s="863">
        <f>IF(INDEX(HwyTransitModelGroup,A146,1)=PARAMETERS!$J$11,0.00000110231131*((C169-D169)*PARAMETERS!$CR$37),0)</f>
        <v>0</v>
      </c>
      <c r="BA169" s="861">
        <f>IF(INDEX(HwyTransitModelGroup,A146,1)=PARAMETERS!$J$11,0.00000110231131*((C169-D169)*PARAMETERS!$CS$37),0)</f>
        <v>0</v>
      </c>
      <c r="BB169" s="863">
        <f>IF(INDEX(HwyTransitModelGroup,A146,1)=PARAMETERS!$J$11,0.00000110231131*((C169-D169)*PARAMETERS!$CT$37),0)</f>
        <v>0</v>
      </c>
      <c r="BC169" s="861">
        <f>IF(INDEX(HwyTransitModelGroup,A146,1)=PARAMETERS!$J$11,0.00000110231131*((C169-D169)*PARAMETERS!$CU$37),0)</f>
        <v>0</v>
      </c>
      <c r="BD169" s="863">
        <f>IF(INDEX(HwyTransitModelGroup,A146,1)=PARAMETERS!$J$11,0.00000110231131*((C169-D169)*PARAMETERS!$CV$37),0)</f>
        <v>0</v>
      </c>
      <c r="BE169" s="865">
        <f>IF(INDEX(HwyTransitModelGroup,A146,1)=PARAMETERS!$J$11,0.00000110231131*((C169-D169)*PARAMETERS!$CW$37),0)</f>
        <v>0</v>
      </c>
      <c r="BF169" s="729">
        <f t="shared" si="66"/>
        <v>33.648960128596713</v>
      </c>
      <c r="BG169" s="867">
        <f t="shared" si="67"/>
        <v>37540.512406545633</v>
      </c>
      <c r="BH169" s="867">
        <f t="shared" si="68"/>
        <v>4116.7273506044185</v>
      </c>
      <c r="BI169" s="867">
        <f t="shared" si="69"/>
        <v>855.75315131133902</v>
      </c>
      <c r="BJ169" s="867">
        <f t="shared" si="70"/>
        <v>310.91631204456525</v>
      </c>
      <c r="BK169" s="869">
        <f t="shared" si="71"/>
        <v>10.275152735208659</v>
      </c>
      <c r="BL169" s="374"/>
      <c r="BN169" s="375">
        <f t="shared" si="76"/>
        <v>2035</v>
      </c>
      <c r="BO169" s="871">
        <f t="shared" ca="1" si="74"/>
        <v>-4.6368010957421128E-5</v>
      </c>
      <c r="BP169" s="871">
        <f t="shared" ca="1" si="75"/>
        <v>-2.6823782970151805E-4</v>
      </c>
      <c r="BQ169" s="871">
        <f t="shared" ca="1" si="75"/>
        <v>-2.7077822736965745E-4</v>
      </c>
      <c r="BR169" s="871">
        <f t="shared" ca="1" si="75"/>
        <v>-3.8840398252787968E-3</v>
      </c>
      <c r="BS169" s="871">
        <f t="shared" ca="1" si="75"/>
        <v>1.2524669468615383E-2</v>
      </c>
      <c r="BT169" s="871">
        <f t="shared" ca="1" si="75"/>
        <v>1.5796990547903546E-2</v>
      </c>
    </row>
    <row r="170" spans="2:72" x14ac:dyDescent="0.25">
      <c r="B170" s="375">
        <f t="shared" si="72"/>
        <v>2041</v>
      </c>
      <c r="C170" s="401">
        <f>MAX(TREND(C152:C153,B152:B153,B170),0)</f>
        <v>22165081.25</v>
      </c>
      <c r="D170" s="402">
        <f>MAX(TREND(D152:D153,B152:B153,B170),0)</f>
        <v>19809280</v>
      </c>
      <c r="E170" s="401">
        <f>MAX(TREND(E152:E153,B152:B153,B170),0)</f>
        <v>320470</v>
      </c>
      <c r="F170" s="402">
        <f>MAX(TREND(F152:F153,B152:B153,B170),0)</f>
        <v>285612.5</v>
      </c>
      <c r="G170" s="401">
        <f>MAX(TREND(G152:G153,B152:B153,B170),0)</f>
        <v>0</v>
      </c>
      <c r="H170" s="402">
        <f>MAX(TREND(H152:H153,B152:B153,B170),0)</f>
        <v>0</v>
      </c>
      <c r="I170" s="401">
        <f>MAX(TREND(I152:I153,B152:B153,B170),0)</f>
        <v>0</v>
      </c>
      <c r="J170" s="402">
        <f>MAX(TREND(J152:J153,B152:B153,B170),0)</f>
        <v>0</v>
      </c>
      <c r="K170" s="435">
        <f>IFERROR(IF(INDEX(HwyTransitModelGroup,A146,1)=Hwy,MAX(5,ROUND(C170/E170,1)),MAX(5,ROUND(G170/I170,1))),55)</f>
        <v>69.2</v>
      </c>
      <c r="L170" s="436">
        <f>IFERROR(IF(INDEX(HwyTransitModelGroup,A146,1)=Hwy,MAX(5,ROUND(D170/F170,1)),MAX(5,ROUND(H170/J170,1))),55)</f>
        <v>69.400000000000006</v>
      </c>
      <c r="M170" s="405">
        <f>MIN(MAX(TREND(M152:M153,B152:B153,B170),0),1)</f>
        <v>0.24</v>
      </c>
      <c r="N170" s="406">
        <f>MIN(MAX(TREND(N152:N153,B152:B153,B170),0),1)</f>
        <v>0.24</v>
      </c>
      <c r="O170" s="401">
        <f>MAX(TREND(O152:O153,B152:B153,B170),0)</f>
        <v>0</v>
      </c>
      <c r="P170" s="402">
        <f>MAX(TREND(P152:P153,B152:B153,B170),0)</f>
        <v>0</v>
      </c>
      <c r="Q170" s="729">
        <f>IF(INDEX(HwyTransitModelGroup,A146,1)=Hwy,C170*(1-M170)*0.00000110231131*(VLOOKUP(K170,EmAuto20,2)*VLOOKUP(ProjLoc,EmCost,2)+VLOOKUP(K170,EmAuto20,3)*VLOOKUP(ProjLoc,EmCost,3)*(1+CO2Uprater)^($B170-YearCurrent)+VLOOKUP(K170,EmAuto20,4)*VLOOKUP(ProjLoc,EmCost,4)+VLOOKUP(K170,EmAuto20,5)*VLOOKUP(ProjLoc,EmCost,5)+VLOOKUP(K170,EmAuto20,6)*VLOOKUP(ProjLoc,EmCost,6)+VLOOKUP(K170,EmAuto20,7)*VLOOKUP(ProjLoc,EmCost,7))+C170*M170*0.00000110231131*(VLOOKUP(K170,EmTruck20,2)*VLOOKUP(ProjLoc,EmCost,2)+VLOOKUP(K170,EmTruck20,3)*VLOOKUP(ProjLoc,EmCost,3)*(1+CO2Uprater)^($B170-YearCurrent)+VLOOKUP(K170,EmTruck20,4)*VLOOKUP(ProjLoc,EmCost,4)+VLOOKUP(K170,EmTruck20,5)*VLOOKUP(ProjLoc,EmCost,5)+VLOOKUP(K170,EmTruck20,6)*VLOOKUP(ProjLoc,EmCost,6)+VLOOKUP(K170,EmTruck20,7)*VLOOKUP(ProjLoc,EmCost,7)),0)</f>
        <v>857472.31645683676</v>
      </c>
      <c r="R170" s="802">
        <f>IF(INDEX(HwyTransitModelGroup,A146,1)=Hwy,D170*(1-N170)*0.00000110231131*(VLOOKUP(L170,EmAuto20,2)*VLOOKUP(ProjLoc,EmCost,2)+VLOOKUP(L170,EmAuto20,3)*VLOOKUP(ProjLoc,EmCost,3)*(1+CO2Uprater)^($B170-YearCurrent)+VLOOKUP(L170,EmAuto20,4)*VLOOKUP(ProjLoc,EmCost,4)+VLOOKUP(L170,EmAuto20,5)*VLOOKUP(ProjLoc,EmCost,5)+VLOOKUP(L170,EmAuto20,6)*VLOOKUP(ProjLoc,EmCost,6)+VLOOKUP(L170,EmAuto20,7)*VLOOKUP(ProjLoc,EmCost,7))+D170*N170*0.00000110231131*(VLOOKUP(L170,EmTruck20,2)*VLOOKUP(ProjLoc,EmCost,2)+VLOOKUP(L170,EmTruck20,3)*VLOOKUP(ProjLoc,EmCost,3)*(1+CO2Uprater)^($B170-YearCurrent)+VLOOKUP(L170,EmTruck20,4)*VLOOKUP(ProjLoc,EmCost,4)+VLOOKUP(L170,EmTruck20,5)*VLOOKUP(ProjLoc,EmCost,5)+VLOOKUP(L170,EmTruck20,6)*VLOOKUP(ProjLoc,EmCost,6)+VLOOKUP(L170,EmTruck20,7)*VLOOKUP(ProjLoc,EmCost,7)),0)</f>
        <v>766336.42878895777</v>
      </c>
      <c r="S170" s="729">
        <f>IF(INDEX(HwyTransitModelGroup,A146,1)=Hwy,O170*(1-M170)*0.00000110231131*(VLOOKUP(0,EmAuto20,2)*VLOOKUP(ProjLoc,EmCost,2)+VLOOKUP(0,EmAuto20,3)*VLOOKUP(ProjLoc,EmCost,3)*(1+CO2Uprater)^($B170-YearCurrent)+VLOOKUP(0,EmAuto20,4)*VLOOKUP(ProjLoc,EmCost,4)+VLOOKUP(0,EmAuto20,5)*VLOOKUP(ProjLoc,EmCost,5)+VLOOKUP(0,EmAuto20,6)*VLOOKUP(ProjLoc,EmCost,6)+VLOOKUP(0,EmAuto20,7)*VLOOKUP(ProjLoc,EmCost,7))+O170*M170*0.00000110231131*(VLOOKUP(0,EmTruck20,2)*VLOOKUP(ProjLoc,EmCost,2)+VLOOKUP(0,EmTruck20,3)*VLOOKUP(ProjLoc,EmCost,3)*(1+CO2Uprater)^($B170-YearCurrent)+VLOOKUP(0,EmTruck20,4)*VLOOKUP(ProjLoc,EmCost,4)+VLOOKUP(0,EmTruck20,5)*VLOOKUP(ProjLoc,EmCost,5)+VLOOKUP(0,EmTruck20,6)*VLOOKUP(ProjLoc,EmCost,6)+VLOOKUP(0,EmTruck20,7)*VLOOKUP(ProjLoc,EmCost,7)),0)</f>
        <v>0</v>
      </c>
      <c r="T170" s="802">
        <f>IF(INDEX(HwyTransitModelGroup,A146,1)=Hwy,P170*(1-N170)*0.00000110231131*(VLOOKUP(0,EmAuto20,2)*VLOOKUP(ProjLoc,EmCost,2)+VLOOKUP(0,EmAuto20,3)*VLOOKUP(ProjLoc,EmCost,3)*(1+CO2Uprater)^($B170-YearCurrent)+VLOOKUP(0,EmAuto20,4)*VLOOKUP(ProjLoc,EmCost,4)+VLOOKUP(0,EmAuto20,5)*VLOOKUP(ProjLoc,EmCost,5)+VLOOKUP(0,EmAuto20,6)*VLOOKUP(ProjLoc,EmCost,6)+VLOOKUP(0,EmAuto20,7)*VLOOKUP(ProjLoc,EmCost,7))+P170*N170*0.00000110231131*(VLOOKUP(0,EmTruck20,2)*VLOOKUP(ProjLoc,EmCost,2)+VLOOKUP(0,EmTruck20,3)*VLOOKUP(ProjLoc,EmCost,3)*(1+CO2Uprater)^($B170-YearCurrent)+VLOOKUP(0,EmTruck20,4)*VLOOKUP(ProjLoc,EmCost,4)+VLOOKUP(0,EmTruck20,5)*VLOOKUP(ProjLoc,EmCost,5)+VLOOKUP(0,EmTruck20,6)*VLOOKUP(ProjLoc,EmCost,6)+VLOOKUP(0,EmTruck20,7)*VLOOKUP(ProjLoc,EmCost,7)),0)</f>
        <v>0</v>
      </c>
      <c r="U170" s="729">
        <f>IF(INDEX(HwyTransitModelGroup,A146,1)=PARAMETERS!$J$9,C170*0.00000110231131*(VLOOKUP(K170,EmBus20,2)*VLOOKUP(ProjLoc,EmCost,2)+VLOOKUP(K170,EmBus20,3)*VLOOKUP(ProjLoc,EmCost,3)*(1+CO2Uprater)^($B170-YearCurrent)+VLOOKUP(K170,EmBus20,4)*VLOOKUP(ProjLoc,EmCost,4)+VLOOKUP(K170,EmBus20,5)*VLOOKUP(ProjLoc,EmCost,5)+VLOOKUP(K170,EmBus20,6)*VLOOKUP(ProjLoc,EmCost,6)+VLOOKUP(K170,EmBus20,7)*VLOOKUP(ProjLoc,EmCost,7)),0)</f>
        <v>0</v>
      </c>
      <c r="V170" s="802">
        <f>IF(INDEX(HwyTransitModelGroup,A146,1)=PARAMETERS!$J$9,D170*0.00000110231131*(VLOOKUP(L170,EmBus20,2)*VLOOKUP(ProjLoc,EmCost,2)+VLOOKUP(L170,EmBus20,3)*VLOOKUP(ProjLoc,EmCost,3)*(1+CO2Uprater)^($B170-YearCurrent)+VLOOKUP(L170,EmBus20,4)*VLOOKUP(ProjLoc,EmCost,4)+VLOOKUP(L170,EmBus20,5)*VLOOKUP(ProjLoc,EmCost,5)+VLOOKUP(L170,EmBus20,6)*VLOOKUP(ProjLoc,EmCost,6)+VLOOKUP(L170,EmBus20,7)*VLOOKUP(ProjLoc,EmCost,7)),0)</f>
        <v>0</v>
      </c>
      <c r="W170" s="808">
        <f>IF(INDEX(HwyTransitModelGroup,A146,1)=PARAMETERS!$J$10,C170*0.00000110231131*(PARAMETERS!$CQ$29*VLOOKUP(ProjLoc,EmCost,2)+PARAMETERS!$CR$29*VLOOKUP(ProjLoc,EmCost,3)*(1+CO2Uprater)^($B170-YearCurrent)+PARAMETERS!$CS$29*VLOOKUP(ProjLoc,EmCost,4)+PARAMETERS!$CT$29*VLOOKUP(ProjLoc,EmCost,5)+PARAMETERS!$CU$29*VLOOKUP(ProjLoc,EmCost,6)+PARAMETERS!$CV$29*VLOOKUP(ProjLoc,EmCost,7)),0)</f>
        <v>0</v>
      </c>
      <c r="X170" s="844">
        <f>IF(INDEX(HwyTransitModelGroup,A146,1)=PARAMETERS!$J$10,D170*0.00000110231131*(PARAMETERS!$CQ$29*VLOOKUP(ProjLoc,EmCost,2)+PARAMETERS!$CR$29*VLOOKUP(ProjLoc,EmCost,3)*(1+CO2Uprater)^($B170-YearCurrent)+PARAMETERS!$CS$29*VLOOKUP(ProjLoc,EmCost,4)+PARAMETERS!$CT$29*VLOOKUP(ProjLoc,EmCost,5)+PARAMETERS!$CU$29*VLOOKUP(ProjLoc,EmCost,6)+PARAMETERS!$CV$29*VLOOKUP(ProjLoc,EmCost,7)),0)</f>
        <v>0</v>
      </c>
      <c r="Y170" s="808">
        <f>IF(INDEX(HwyTransitModelGroup,A146,1)=PARAMETERS!$J$11,C170*0.00000110231131*(PARAMETERS!$CQ$37*VLOOKUP(ProjLoc,EmCost,2)+PARAMETERS!$CR$37*VLOOKUP(ProjLoc,EmCost,3)*(1+CO2Uprater)^($B170-YearCurrent)+PARAMETERS!$CS$37*VLOOKUP(ProjLoc,EmCost,4)+PARAMETERS!$CT$37*VLOOKUP(ProjLoc,EmCost,5)+PARAMETERS!$CU$37*VLOOKUP(ProjLoc,EmCost,6)+PARAMETERS!$CV$37*VLOOKUP(ProjLoc,EmCost,7)),0)</f>
        <v>0</v>
      </c>
      <c r="Z170" s="844">
        <f>IF(INDEX(HwyTransitModelGroup,A146,1)=PARAMETERS!$J$11,D170*0.00000110231131*(PARAMETERS!$CQ$37*VLOOKUP(ProjLoc,EmCost,2)+PARAMETERS!$CR$37*VLOOKUP(ProjLoc,EmCost,3)*(1+CO2Uprater)^($B170-YearCurrent)+PARAMETERS!$CS$37*VLOOKUP(ProjLoc,EmCost,4)+PARAMETERS!$CT$37*VLOOKUP(ProjLoc,EmCost,5)+PARAMETERS!$CU$37*VLOOKUP(ProjLoc,EmCost,6)+PARAMETERS!$CV$37*VLOOKUP(ProjLoc,EmCost,7)),0)</f>
        <v>0</v>
      </c>
      <c r="AA170" s="369">
        <f t="shared" si="64"/>
        <v>91135.887667878997</v>
      </c>
      <c r="AB170" s="370">
        <f t="shared" si="65"/>
        <v>43256.958640570781</v>
      </c>
      <c r="AC170" s="371"/>
      <c r="AD170" s="401">
        <f>IF(INDEX(HwyTransitModelGroup,A146,1)=Hwy,0.00000110231131*(C170*(1-M170)*VLOOKUP(K170,EmAuto20,2)-D170*(1-N170)*VLOOKUP(L170,EmAuto20,2)+(O170*(1-M170)-P170*(1-N170))*VLOOKUP(0,EmAuto20,2))+0.00000110231131*(C170*M170*VLOOKUP(K170,EmTruck20,2)-D170*N170*VLOOKUP(L170,EmTruck20,2)+(O170*M170-P170*N170)*VLOOKUP(0,EmTruck20,2)),0)</f>
        <v>0.87881797742368617</v>
      </c>
      <c r="AE170" s="863">
        <f>IF(INDEX(HwyTransitModelGroup,A146,1)=Hwy,0.00000110231131*(C170*(1-M170)*VLOOKUP(K170,EmAuto20,3)-D170*(1-N170)*VLOOKUP(L170,EmAuto20,3)+(O170*(1-M170)-P170*(1-N170))*VLOOKUP(0,EmAuto20,3))+0.00000110231131*(C170*M170*VLOOKUP(K170,EmTruck20,3)-D170*N170*VLOOKUP(L170,EmTruck20,3)+(O170*M170-P170*N170)*VLOOKUP(0,EmTruck20,3)),0)</f>
        <v>1144.1241138204209</v>
      </c>
      <c r="AF170" s="861">
        <f>IF(INDEX(HwyTransitModelGroup,A146,1)=Hwy,0.00000110231131*(C170*(1-M170)*VLOOKUP(K170,EmAuto20,4)-D170*(1-N170)*VLOOKUP(L170,EmAuto20,4)+(O170*(1-M170)-P170*(1-N170))*VLOOKUP(0,EmAuto20,4))+0.00000110231131*(C170*M170*VLOOKUP(K170,EmTruck20,4)-D170*N170*VLOOKUP(L170,EmTruck20,4)+(O170*M170-P170*N170)*VLOOKUP(0,EmTruck20,4)),0)</f>
        <v>0.56962944346004996</v>
      </c>
      <c r="AG170" s="863">
        <f>IF(INDEX(HwyTransitModelGroup,A146,1)=Hwy,0.00000110231131*(C170*(1-M170)*VLOOKUP(K170,EmAuto20,5)-D170*(1-N170)*VLOOKUP(L170,EmAuto20,5)+(O170*(1-M170)-P170*(1-N170))*VLOOKUP(0,EmAuto20,5))+0.00000110231131*(C170*M170*VLOOKUP(K170,EmTruck20,5)-D170*N170*VLOOKUP(L170,EmTruck20,5)+(O170*M170-P170*N170)*VLOOKUP(0,EmTruck20,5)),0)</f>
        <v>1.5321275535724106E-2</v>
      </c>
      <c r="AH170" s="861">
        <f>IF(INDEX(HwyTransitModelGroup,A146,1)=Hwy,0.00000110231131*(C170*(1-M170)*VLOOKUP(K170,EmAuto20,6)-D170*(1-N170)*VLOOKUP(L170,EmAuto20,6)+(O170*(1-M170)-P170*(1-N170))*VLOOKUP(0,EmAuto20,6))+0.00000110231131*(C170*M170*VLOOKUP(K170,EmTruck20,6)-D170*N170*VLOOKUP(L170,EmTruck20,6)+(O170*M170-P170*N170)*VLOOKUP(0,EmTruck20,6)),0)</f>
        <v>1.1010543774825455E-2</v>
      </c>
      <c r="AI170" s="863">
        <f>IF(INDEX(HwyTransitModelGroup,A146,1)=Hwy,0.00000110231131*(C170*(1-M170)*VLOOKUP(K170,EmAuto20,7)-D170*(1-N170)*VLOOKUP(L170,EmAuto20,7)+(O170*(1-M170)-P170*(1-N170))*VLOOKUP(0,EmAuto20,7))+0.00000110231131*(C170*M170*VLOOKUP(K170,EmTruck20,7)-D170*N170*VLOOKUP(L170,EmTruck20,7)+(O170*M170-P170*N170)*VLOOKUP(0,EmTruck20,7)),0)</f>
        <v>1.9341162744080199E-2</v>
      </c>
      <c r="AJ170" s="861">
        <f>IF(INDEX(HwyTransitModelGroup,A146,1)=Hwy,0.00000110231131*(C170*(1-M170)*VLOOKUP(K170,EmAuto20,8)-D170*(1-N170)*VLOOKUP(L170,EmAuto20,8)+(O170*(1-M170)-P170*(1-N170))*VLOOKUP(0,EmAuto20,8))+0.00000110231131*(C170*M170*VLOOKUP(K170,EmTruck20,8)-D170*N170*VLOOKUP(L170,EmTruck20,8)+(O170*M170-P170*N170)*VLOOKUP(0,EmTruck20,8)),0)</f>
        <v>1.4698037208847185E-2</v>
      </c>
      <c r="AK170" s="401">
        <f>IF(INDEX(HwyTransitModelGroup,A146,1)=PARAMETERS!$J$9,0.00000110231131*(C170*VLOOKUP(K170,EmBus20,2)-D170*VLOOKUP(L170,EmBus20,2)+(O170-P170)*VLOOKUP(0,EmBus20,2)),0)</f>
        <v>0</v>
      </c>
      <c r="AL170" s="863">
        <f>IF(INDEX(HwyTransitModelGroup,A146,1)=PARAMETERS!$J$9,0.00000110231131*(C170*VLOOKUP(K170,EmBus20,3)-D170*VLOOKUP(L170,EmBus20,3)+(O170-P170)*VLOOKUP(0,EmBus20,3)),0)</f>
        <v>0</v>
      </c>
      <c r="AM170" s="861">
        <f>IF(INDEX(HwyTransitModelGroup,A146,1)=PARAMETERS!$J$9,0.00000110231131*(C170*VLOOKUP(K170,EmBus20,4)-D170*VLOOKUP(L170,EmBus20,4)+(O170-P170)*VLOOKUP(0,EmBus20,4)),0)</f>
        <v>0</v>
      </c>
      <c r="AN170" s="863">
        <f>IF(INDEX(HwyTransitModelGroup,A146,1)=PARAMETERS!$J$9,0.00000110231131*(C170*VLOOKUP(K170,EmBus20,5)-D170*VLOOKUP(L170,EmBus20,5)+(O170-P170)*VLOOKUP(0,EmBus20,5)),0)</f>
        <v>0</v>
      </c>
      <c r="AO170" s="861">
        <f>IF(INDEX(HwyTransitModelGroup,A146,1)=PARAMETERS!$J$9,0.00000110231131*(C170*VLOOKUP(K170,EmBus20,6)-D170*VLOOKUP(L170,EmBus20,6)+(O170-P170)*VLOOKUP(0,EmBus20,6)),0)</f>
        <v>0</v>
      </c>
      <c r="AP170" s="863">
        <f>IF(INDEX(HwyTransitModelGroup,A146,1)=PARAMETERS!$J$9,0.00000110231131*(C170*VLOOKUP(K170,EmBus20,7)-D170*VLOOKUP(L170,EmBus20,7)+(O170-P170)*VLOOKUP(0,EmBus20,7)),0)</f>
        <v>0</v>
      </c>
      <c r="AQ170" s="861">
        <f>IF(INDEX(HwyTransitModelGroup,A146,1)=PARAMETERS!$J$9,0.00000110231131*(C170*VLOOKUP(K170,EmBus20,8)-D170*VLOOKUP(L170,EmBus20,8)+(O170-P170)*VLOOKUP(0,EmBus20,8)),0)</f>
        <v>0</v>
      </c>
      <c r="AR170" s="401">
        <f>IF(INDEX(HwyTransitModelGroup,A146,1)=PARAMETERS!$J$10,0.00000110231131*((C170-D170)*PARAMETERS!$CQ$29),0)</f>
        <v>0</v>
      </c>
      <c r="AS170" s="863">
        <f>IF(INDEX(HwyTransitModelGroup,A146,1)=PARAMETERS!$J$10,0.00000110231131*((C170-D170)*PARAMETERS!$CR$29),0)</f>
        <v>0</v>
      </c>
      <c r="AT170" s="861">
        <f>IF(INDEX(HwyTransitModelGroup,A146,1)=PARAMETERS!$J$10,0.00000110231131*((C170-D170)*PARAMETERS!$CS$29),0)</f>
        <v>0</v>
      </c>
      <c r="AU170" s="863">
        <f>IF(INDEX(HwyTransitModelGroup,A146,1)=PARAMETERS!$J$10,0.00000110231131*((C170-D170)*PARAMETERS!$CT$29),0)</f>
        <v>0</v>
      </c>
      <c r="AV170" s="861">
        <f>IF(INDEX(HwyTransitModelGroup,A146,1)=PARAMETERS!$J$10,0.00000110231131*((C170-D170)*PARAMETERS!$CU$29),0)</f>
        <v>0</v>
      </c>
      <c r="AW170" s="863">
        <f>IF(INDEX(HwyTransitModelGroup,A146,1)=PARAMETERS!$J$10,0.00000110231131*((C170-D170)*PARAMETERS!$CV$29),0)</f>
        <v>0</v>
      </c>
      <c r="AX170" s="861">
        <f>IF(INDEX(HwyTransitModelGroup,A146,1)=PARAMETERS!$J$10,0.00000110231131*((C170-D170)*PARAMETERS!$CW$29),0)</f>
        <v>0</v>
      </c>
      <c r="AY170" s="401">
        <f>IF(INDEX(HwyTransitModelGroup,A146,1)=PARAMETERS!$J$11,0.00000110231131*((C170-D170)*PARAMETERS!$CQ$37),0)</f>
        <v>0</v>
      </c>
      <c r="AZ170" s="863">
        <f>IF(INDEX(HwyTransitModelGroup,A146,1)=PARAMETERS!$J$11,0.00000110231131*((C170-D170)*PARAMETERS!$CR$37),0)</f>
        <v>0</v>
      </c>
      <c r="BA170" s="861">
        <f>IF(INDEX(HwyTransitModelGroup,A146,1)=PARAMETERS!$J$11,0.00000110231131*((C170-D170)*PARAMETERS!$CS$37),0)</f>
        <v>0</v>
      </c>
      <c r="BB170" s="863">
        <f>IF(INDEX(HwyTransitModelGroup,A146,1)=PARAMETERS!$J$11,0.00000110231131*((C170-D170)*PARAMETERS!$CT$37),0)</f>
        <v>0</v>
      </c>
      <c r="BC170" s="861">
        <f>IF(INDEX(HwyTransitModelGroup,A146,1)=PARAMETERS!$J$11,0.00000110231131*((C170-D170)*PARAMETERS!$CU$37),0)</f>
        <v>0</v>
      </c>
      <c r="BD170" s="863">
        <f>IF(INDEX(HwyTransitModelGroup,A146,1)=PARAMETERS!$J$11,0.00000110231131*((C170-D170)*PARAMETERS!$CV$37),0)</f>
        <v>0</v>
      </c>
      <c r="BE170" s="865">
        <f>IF(INDEX(HwyTransitModelGroup,A146,1)=PARAMETERS!$J$11,0.00000110231131*((C170-D170)*PARAMETERS!$CW$37),0)</f>
        <v>0</v>
      </c>
      <c r="BF170" s="729">
        <f t="shared" si="66"/>
        <v>33.369943608201595</v>
      </c>
      <c r="BG170" s="867">
        <f t="shared" si="67"/>
        <v>37973.811754856659</v>
      </c>
      <c r="BH170" s="867">
        <f t="shared" si="68"/>
        <v>4082.5915277917261</v>
      </c>
      <c r="BI170" s="867">
        <f t="shared" si="69"/>
        <v>848.65726288912651</v>
      </c>
      <c r="BJ170" s="867">
        <f t="shared" si="70"/>
        <v>308.33820005568936</v>
      </c>
      <c r="BK170" s="869">
        <f t="shared" si="71"/>
        <v>10.18995136934922</v>
      </c>
      <c r="BL170" s="374"/>
      <c r="BN170" s="375">
        <f t="shared" si="76"/>
        <v>2036</v>
      </c>
      <c r="BO170" s="871">
        <f t="shared" ca="1" si="74"/>
        <v>-5.6366732929302524E-5</v>
      </c>
      <c r="BP170" s="871">
        <f t="shared" ref="BP170:BT179" ca="1" si="77">OFFSET($AG19,MATCH(BP$156,$A:$A),0)+OFFSET($AN19,MATCH(BP$156,$A:$A),0)+OFFSET($AU19,MATCH(BP$156,$A:$A),0)+OFFSET($BB19,MATCH(BP$156,$A:$A),0)</f>
        <v>-2.7261999556187674E-4</v>
      </c>
      <c r="BQ170" s="871">
        <f t="shared" ca="1" si="77"/>
        <v>-2.7521752602521348E-4</v>
      </c>
      <c r="BR170" s="871">
        <f t="shared" ca="1" si="77"/>
        <v>-3.9286907945687254E-3</v>
      </c>
      <c r="BS170" s="871">
        <f t="shared" ca="1" si="77"/>
        <v>1.2990770479800148E-2</v>
      </c>
      <c r="BT170" s="871">
        <f t="shared" ca="1" si="77"/>
        <v>1.6176446858766239E-2</v>
      </c>
    </row>
    <row r="171" spans="2:72" x14ac:dyDescent="0.25">
      <c r="B171" s="375">
        <f t="shared" si="72"/>
        <v>2042</v>
      </c>
      <c r="C171" s="401">
        <f>MAX(TREND(C152:C153,B152:B153,B171),0)</f>
        <v>22413482</v>
      </c>
      <c r="D171" s="402">
        <f>MAX(TREND(D152:D153,B152:B153,B171),0)</f>
        <v>19986013</v>
      </c>
      <c r="E171" s="401">
        <f>MAX(TREND(E152:E153,B152:B153,B171),0)</f>
        <v>324120</v>
      </c>
      <c r="F171" s="402">
        <f>MAX(TREND(F152:F153,B152:B153,B171),0)</f>
        <v>288204</v>
      </c>
      <c r="G171" s="401">
        <f>MAX(TREND(G152:G153,B152:B153,B171),0)</f>
        <v>0</v>
      </c>
      <c r="H171" s="402">
        <f>MAX(TREND(H152:H153,B152:B153,B171),0)</f>
        <v>0</v>
      </c>
      <c r="I171" s="401">
        <f>MAX(TREND(I152:I153,B152:B153,B171),0)</f>
        <v>0</v>
      </c>
      <c r="J171" s="402">
        <f>MAX(TREND(J152:J153,B152:B153,B171),0)</f>
        <v>0</v>
      </c>
      <c r="K171" s="435">
        <f>IFERROR(IF(INDEX(HwyTransitModelGroup,A146,1)=Hwy,MAX(5,ROUND(C171/E171,1)),MAX(5,ROUND(G171/I171,1))),55)</f>
        <v>69.2</v>
      </c>
      <c r="L171" s="436">
        <f>IFERROR(IF(INDEX(HwyTransitModelGroup,A146,1)=Hwy,MAX(5,ROUND(D171/F171,1)),MAX(5,ROUND(H171/J171,1))),55)</f>
        <v>69.3</v>
      </c>
      <c r="M171" s="405">
        <f>MIN(MAX(TREND(M152:M153,B152:B153,B171),0),1)</f>
        <v>0.24</v>
      </c>
      <c r="N171" s="406">
        <f>MIN(MAX(TREND(N152:N153,B152:B153,B171),0),1)</f>
        <v>0.24</v>
      </c>
      <c r="O171" s="401">
        <f>MAX(TREND(O152:O153,B152:B153,B171),0)</f>
        <v>0</v>
      </c>
      <c r="P171" s="402">
        <f>MAX(TREND(P152:P153,B152:B153,B171),0)</f>
        <v>0</v>
      </c>
      <c r="Q171" s="729">
        <f>IF(INDEX(HwyTransitModelGroup,A146,1)=Hwy,C171*(1-M171)*0.00000110231131*(VLOOKUP(K171,EmAuto20,2)*VLOOKUP(ProjLoc,EmCost,2)+VLOOKUP(K171,EmAuto20,3)*VLOOKUP(ProjLoc,EmCost,3)*(1+CO2Uprater)^($B171-YearCurrent)+VLOOKUP(K171,EmAuto20,4)*VLOOKUP(ProjLoc,EmCost,4)+VLOOKUP(K171,EmAuto20,5)*VLOOKUP(ProjLoc,EmCost,5)+VLOOKUP(K171,EmAuto20,6)*VLOOKUP(ProjLoc,EmCost,6)+VLOOKUP(K171,EmAuto20,7)*VLOOKUP(ProjLoc,EmCost,7))+C171*M171*0.00000110231131*(VLOOKUP(K171,EmTruck20,2)*VLOOKUP(ProjLoc,EmCost,2)+VLOOKUP(K171,EmTruck20,3)*VLOOKUP(ProjLoc,EmCost,3)*(1+CO2Uprater)^($B171-YearCurrent)+VLOOKUP(K171,EmTruck20,4)*VLOOKUP(ProjLoc,EmCost,4)+VLOOKUP(K171,EmTruck20,5)*VLOOKUP(ProjLoc,EmCost,5)+VLOOKUP(K171,EmTruck20,6)*VLOOKUP(ProjLoc,EmCost,6)+VLOOKUP(K171,EmTruck20,7)*VLOOKUP(ProjLoc,EmCost,7)),0)</f>
        <v>882305.51388231176</v>
      </c>
      <c r="R171" s="802">
        <f>IF(INDEX(HwyTransitModelGroup,A146,1)=Hwy,D171*(1-N171)*0.00000110231131*(VLOOKUP(L171,EmAuto20,2)*VLOOKUP(ProjLoc,EmCost,2)+VLOOKUP(L171,EmAuto20,3)*VLOOKUP(ProjLoc,EmCost,3)*(1+CO2Uprater)^($B171-YearCurrent)+VLOOKUP(L171,EmAuto20,4)*VLOOKUP(ProjLoc,EmCost,4)+VLOOKUP(L171,EmAuto20,5)*VLOOKUP(ProjLoc,EmCost,5)+VLOOKUP(L171,EmAuto20,6)*VLOOKUP(ProjLoc,EmCost,6)+VLOOKUP(L171,EmAuto20,7)*VLOOKUP(ProjLoc,EmCost,7))+D171*N171*0.00000110231131*(VLOOKUP(L171,EmTruck20,2)*VLOOKUP(ProjLoc,EmCost,2)+VLOOKUP(L171,EmTruck20,3)*VLOOKUP(ProjLoc,EmCost,3)*(1+CO2Uprater)^($B171-YearCurrent)+VLOOKUP(L171,EmTruck20,4)*VLOOKUP(ProjLoc,EmCost,4)+VLOOKUP(L171,EmTruck20,5)*VLOOKUP(ProjLoc,EmCost,5)+VLOOKUP(L171,EmTruck20,6)*VLOOKUP(ProjLoc,EmCost,6)+VLOOKUP(L171,EmTruck20,7)*VLOOKUP(ProjLoc,EmCost,7)),0)</f>
        <v>786748.327208756</v>
      </c>
      <c r="S171" s="729">
        <f>IF(INDEX(HwyTransitModelGroup,A146,1)=Hwy,O171*(1-M171)*0.00000110231131*(VLOOKUP(0,EmAuto20,2)*VLOOKUP(ProjLoc,EmCost,2)+VLOOKUP(0,EmAuto20,3)*VLOOKUP(ProjLoc,EmCost,3)*(1+CO2Uprater)^($B171-YearCurrent)+VLOOKUP(0,EmAuto20,4)*VLOOKUP(ProjLoc,EmCost,4)+VLOOKUP(0,EmAuto20,5)*VLOOKUP(ProjLoc,EmCost,5)+VLOOKUP(0,EmAuto20,6)*VLOOKUP(ProjLoc,EmCost,6)+VLOOKUP(0,EmAuto20,7)*VLOOKUP(ProjLoc,EmCost,7))+O171*M171*0.00000110231131*(VLOOKUP(0,EmTruck20,2)*VLOOKUP(ProjLoc,EmCost,2)+VLOOKUP(0,EmTruck20,3)*VLOOKUP(ProjLoc,EmCost,3)*(1+CO2Uprater)^($B171-YearCurrent)+VLOOKUP(0,EmTruck20,4)*VLOOKUP(ProjLoc,EmCost,4)+VLOOKUP(0,EmTruck20,5)*VLOOKUP(ProjLoc,EmCost,5)+VLOOKUP(0,EmTruck20,6)*VLOOKUP(ProjLoc,EmCost,6)+VLOOKUP(0,EmTruck20,7)*VLOOKUP(ProjLoc,EmCost,7)),0)</f>
        <v>0</v>
      </c>
      <c r="T171" s="802">
        <f>IF(INDEX(HwyTransitModelGroup,A146,1)=Hwy,P171*(1-N171)*0.00000110231131*(VLOOKUP(0,EmAuto20,2)*VLOOKUP(ProjLoc,EmCost,2)+VLOOKUP(0,EmAuto20,3)*VLOOKUP(ProjLoc,EmCost,3)*(1+CO2Uprater)^($B171-YearCurrent)+VLOOKUP(0,EmAuto20,4)*VLOOKUP(ProjLoc,EmCost,4)+VLOOKUP(0,EmAuto20,5)*VLOOKUP(ProjLoc,EmCost,5)+VLOOKUP(0,EmAuto20,6)*VLOOKUP(ProjLoc,EmCost,6)+VLOOKUP(0,EmAuto20,7)*VLOOKUP(ProjLoc,EmCost,7))+P171*N171*0.00000110231131*(VLOOKUP(0,EmTruck20,2)*VLOOKUP(ProjLoc,EmCost,2)+VLOOKUP(0,EmTruck20,3)*VLOOKUP(ProjLoc,EmCost,3)*(1+CO2Uprater)^($B171-YearCurrent)+VLOOKUP(0,EmTruck20,4)*VLOOKUP(ProjLoc,EmCost,4)+VLOOKUP(0,EmTruck20,5)*VLOOKUP(ProjLoc,EmCost,5)+VLOOKUP(0,EmTruck20,6)*VLOOKUP(ProjLoc,EmCost,6)+VLOOKUP(0,EmTruck20,7)*VLOOKUP(ProjLoc,EmCost,7)),0)</f>
        <v>0</v>
      </c>
      <c r="U171" s="729">
        <f>IF(INDEX(HwyTransitModelGroup,A146,1)=PARAMETERS!$J$9,C171*0.00000110231131*(VLOOKUP(K171,EmBus20,2)*VLOOKUP(ProjLoc,EmCost,2)+VLOOKUP(K171,EmBus20,3)*VLOOKUP(ProjLoc,EmCost,3)*(1+CO2Uprater)^($B171-YearCurrent)+VLOOKUP(K171,EmBus20,4)*VLOOKUP(ProjLoc,EmCost,4)+VLOOKUP(K171,EmBus20,5)*VLOOKUP(ProjLoc,EmCost,5)+VLOOKUP(K171,EmBus20,6)*VLOOKUP(ProjLoc,EmCost,6)+VLOOKUP(K171,EmBus20,7)*VLOOKUP(ProjLoc,EmCost,7)),0)</f>
        <v>0</v>
      </c>
      <c r="V171" s="802">
        <f>IF(INDEX(HwyTransitModelGroup,A146,1)=PARAMETERS!$J$9,D171*0.00000110231131*(VLOOKUP(L171,EmBus20,2)*VLOOKUP(ProjLoc,EmCost,2)+VLOOKUP(L171,EmBus20,3)*VLOOKUP(ProjLoc,EmCost,3)*(1+CO2Uprater)^($B171-YearCurrent)+VLOOKUP(L171,EmBus20,4)*VLOOKUP(ProjLoc,EmCost,4)+VLOOKUP(L171,EmBus20,5)*VLOOKUP(ProjLoc,EmCost,5)+VLOOKUP(L171,EmBus20,6)*VLOOKUP(ProjLoc,EmCost,6)+VLOOKUP(L171,EmBus20,7)*VLOOKUP(ProjLoc,EmCost,7)),0)</f>
        <v>0</v>
      </c>
      <c r="W171" s="808">
        <f>IF(INDEX(HwyTransitModelGroup,A146,1)=PARAMETERS!$J$10,C171*0.00000110231131*(PARAMETERS!$CQ$29*VLOOKUP(ProjLoc,EmCost,2)+PARAMETERS!$CR$29*VLOOKUP(ProjLoc,EmCost,3)*(1+CO2Uprater)^($B171-YearCurrent)+PARAMETERS!$CS$29*VLOOKUP(ProjLoc,EmCost,4)+PARAMETERS!$CT$29*VLOOKUP(ProjLoc,EmCost,5)+PARAMETERS!$CU$29*VLOOKUP(ProjLoc,EmCost,6)+PARAMETERS!$CV$29*VLOOKUP(ProjLoc,EmCost,7)),0)</f>
        <v>0</v>
      </c>
      <c r="X171" s="844">
        <f>IF(INDEX(HwyTransitModelGroup,A146,1)=PARAMETERS!$J$10,D171*0.00000110231131*(PARAMETERS!$CQ$29*VLOOKUP(ProjLoc,EmCost,2)+PARAMETERS!$CR$29*VLOOKUP(ProjLoc,EmCost,3)*(1+CO2Uprater)^($B171-YearCurrent)+PARAMETERS!$CS$29*VLOOKUP(ProjLoc,EmCost,4)+PARAMETERS!$CT$29*VLOOKUP(ProjLoc,EmCost,5)+PARAMETERS!$CU$29*VLOOKUP(ProjLoc,EmCost,6)+PARAMETERS!$CV$29*VLOOKUP(ProjLoc,EmCost,7)),0)</f>
        <v>0</v>
      </c>
      <c r="Y171" s="808">
        <f>IF(INDEX(HwyTransitModelGroup,A146,1)=PARAMETERS!$J$11,C171*0.00000110231131*(PARAMETERS!$CQ$37*VLOOKUP(ProjLoc,EmCost,2)+PARAMETERS!$CR$37*VLOOKUP(ProjLoc,EmCost,3)*(1+CO2Uprater)^($B171-YearCurrent)+PARAMETERS!$CS$37*VLOOKUP(ProjLoc,EmCost,4)+PARAMETERS!$CT$37*VLOOKUP(ProjLoc,EmCost,5)+PARAMETERS!$CU$37*VLOOKUP(ProjLoc,EmCost,6)+PARAMETERS!$CV$37*VLOOKUP(ProjLoc,EmCost,7)),0)</f>
        <v>0</v>
      </c>
      <c r="Z171" s="844">
        <f>IF(INDEX(HwyTransitModelGroup,A146,1)=PARAMETERS!$J$11,D171*0.00000110231131*(PARAMETERS!$CQ$37*VLOOKUP(ProjLoc,EmCost,2)+PARAMETERS!$CR$37*VLOOKUP(ProjLoc,EmCost,3)*(1+CO2Uprater)^($B171-YearCurrent)+PARAMETERS!$CS$37*VLOOKUP(ProjLoc,EmCost,4)+PARAMETERS!$CT$37*VLOOKUP(ProjLoc,EmCost,5)+PARAMETERS!$CU$37*VLOOKUP(ProjLoc,EmCost,6)+PARAMETERS!$CV$37*VLOOKUP(ProjLoc,EmCost,7)),0)</f>
        <v>0</v>
      </c>
      <c r="AA171" s="369">
        <f t="shared" si="64"/>
        <v>95557.186673555756</v>
      </c>
      <c r="AB171" s="370">
        <f t="shared" si="65"/>
        <v>43611.052613530912</v>
      </c>
      <c r="AC171" s="371"/>
      <c r="AD171" s="401">
        <f>IF(INDEX(HwyTransitModelGroup,A146,1)=Hwy,0.00000110231131*(C171*(1-M171)*VLOOKUP(K171,EmAuto20,2)-D171*(1-N171)*VLOOKUP(L171,EmAuto20,2)+(O171*(1-M171)-P171*(1-N171))*VLOOKUP(0,EmAuto20,2))+0.00000110231131*(C171*M171*VLOOKUP(K171,EmTruck20,2)-D171*N171*VLOOKUP(L171,EmTruck20,2)+(O171*M171-P171*N171)*VLOOKUP(0,EmTruck20,2)),0)</f>
        <v>0.90555321542456113</v>
      </c>
      <c r="AE171" s="863">
        <f>IF(INDEX(HwyTransitModelGroup,A146,1)=Hwy,0.00000110231131*(C171*(1-M171)*VLOOKUP(K171,EmAuto20,3)-D171*(1-N171)*VLOOKUP(L171,EmAuto20,3)+(O171*(1-M171)-P171*(1-N171))*VLOOKUP(0,EmAuto20,3))+0.00000110231131*(C171*M171*VLOOKUP(K171,EmTruck20,3)-D171*N171*VLOOKUP(L171,EmTruck20,3)+(O171*M171-P171*N171)*VLOOKUP(0,EmTruck20,3)),0)</f>
        <v>1178.9304460431645</v>
      </c>
      <c r="AF171" s="861">
        <f>IF(INDEX(HwyTransitModelGroup,A146,1)=Hwy,0.00000110231131*(C171*(1-M171)*VLOOKUP(K171,EmAuto20,4)-D171*(1-N171)*VLOOKUP(L171,EmAuto20,4)+(O171*(1-M171)-P171*(1-N171))*VLOOKUP(0,EmAuto20,4))+0.00000110231131*(C171*M171*VLOOKUP(K171,EmTruck20,4)-D171*N171*VLOOKUP(L171,EmTruck20,4)+(O171*M171-P171*N171)*VLOOKUP(0,EmTruck20,4)),0)</f>
        <v>0.58695860505487252</v>
      </c>
      <c r="AG171" s="863">
        <f>IF(INDEX(HwyTransitModelGroup,A146,1)=Hwy,0.00000110231131*(C171*(1-M171)*VLOOKUP(K171,EmAuto20,5)-D171*(1-N171)*VLOOKUP(L171,EmAuto20,5)+(O171*(1-M171)-P171*(1-N171))*VLOOKUP(0,EmAuto20,5))+0.00000110231131*(C171*M171*VLOOKUP(K171,EmTruck20,5)-D171*N171*VLOOKUP(L171,EmTruck20,5)+(O171*M171-P171*N171)*VLOOKUP(0,EmTruck20,5)),0)</f>
        <v>1.5787376546908889E-2</v>
      </c>
      <c r="AH171" s="861">
        <f>IF(INDEX(HwyTransitModelGroup,A146,1)=Hwy,0.00000110231131*(C171*(1-M171)*VLOOKUP(K171,EmAuto20,6)-D171*(1-N171)*VLOOKUP(L171,EmAuto20,6)+(O171*(1-M171)-P171*(1-N171))*VLOOKUP(0,EmAuto20,6))+0.00000110231131*(C171*M171*VLOOKUP(K171,EmTruck20,6)-D171*N171*VLOOKUP(L171,EmTruck20,6)+(O171*M171-P171*N171)*VLOOKUP(0,EmTruck20,6)),0)</f>
        <v>1.1345504501507408E-2</v>
      </c>
      <c r="AI171" s="863">
        <f>IF(INDEX(HwyTransitModelGroup,A146,1)=Hwy,0.00000110231131*(C171*(1-M171)*VLOOKUP(K171,EmAuto20,7)-D171*(1-N171)*VLOOKUP(L171,EmAuto20,7)+(O171*(1-M171)-P171*(1-N171))*VLOOKUP(0,EmAuto20,7))+0.00000110231131*(C171*M171*VLOOKUP(K171,EmTruck20,7)-D171*N171*VLOOKUP(L171,EmTruck20,7)+(O171*M171-P171*N171)*VLOOKUP(0,EmTruck20,7)),0)</f>
        <v>1.9929556020572441E-2</v>
      </c>
      <c r="AJ171" s="861">
        <f>IF(INDEX(HwyTransitModelGroup,A146,1)=Hwy,0.00000110231131*(C171*(1-M171)*VLOOKUP(K171,EmAuto20,8)-D171*(1-N171)*VLOOKUP(L171,EmAuto20,8)+(O171*(1-M171)-P171*(1-N171))*VLOOKUP(0,EmAuto20,8))+0.00000110231131*(C171*M171*VLOOKUP(K171,EmTruck20,8)-D171*N171*VLOOKUP(L171,EmTruck20,8)+(O171*M171-P171*N171)*VLOOKUP(0,EmTruck20,8)),0)</f>
        <v>1.514517817889903E-2</v>
      </c>
      <c r="AK171" s="401">
        <f>IF(INDEX(HwyTransitModelGroup,A146,1)=PARAMETERS!$J$9,0.00000110231131*(C171*VLOOKUP(K171,EmBus20,2)-D171*VLOOKUP(L171,EmBus20,2)+(O171-P171)*VLOOKUP(0,EmBus20,2)),0)</f>
        <v>0</v>
      </c>
      <c r="AL171" s="863">
        <f>IF(INDEX(HwyTransitModelGroup,A146,1)=PARAMETERS!$J$9,0.00000110231131*(C171*VLOOKUP(K171,EmBus20,3)-D171*VLOOKUP(L171,EmBus20,3)+(O171-P171)*VLOOKUP(0,EmBus20,3)),0)</f>
        <v>0</v>
      </c>
      <c r="AM171" s="861">
        <f>IF(INDEX(HwyTransitModelGroup,A146,1)=PARAMETERS!$J$9,0.00000110231131*(C171*VLOOKUP(K171,EmBus20,4)-D171*VLOOKUP(L171,EmBus20,4)+(O171-P171)*VLOOKUP(0,EmBus20,4)),0)</f>
        <v>0</v>
      </c>
      <c r="AN171" s="863">
        <f>IF(INDEX(HwyTransitModelGroup,A146,1)=PARAMETERS!$J$9,0.00000110231131*(C171*VLOOKUP(K171,EmBus20,5)-D171*VLOOKUP(L171,EmBus20,5)+(O171-P171)*VLOOKUP(0,EmBus20,5)),0)</f>
        <v>0</v>
      </c>
      <c r="AO171" s="861">
        <f>IF(INDEX(HwyTransitModelGroup,A146,1)=PARAMETERS!$J$9,0.00000110231131*(C171*VLOOKUP(K171,EmBus20,6)-D171*VLOOKUP(L171,EmBus20,6)+(O171-P171)*VLOOKUP(0,EmBus20,6)),0)</f>
        <v>0</v>
      </c>
      <c r="AP171" s="863">
        <f>IF(INDEX(HwyTransitModelGroup,A146,1)=PARAMETERS!$J$9,0.00000110231131*(C171*VLOOKUP(K171,EmBus20,7)-D171*VLOOKUP(L171,EmBus20,7)+(O171-P171)*VLOOKUP(0,EmBus20,7)),0)</f>
        <v>0</v>
      </c>
      <c r="AQ171" s="861">
        <f>IF(INDEX(HwyTransitModelGroup,A146,1)=PARAMETERS!$J$9,0.00000110231131*(C171*VLOOKUP(K171,EmBus20,8)-D171*VLOOKUP(L171,EmBus20,8)+(O171-P171)*VLOOKUP(0,EmBus20,8)),0)</f>
        <v>0</v>
      </c>
      <c r="AR171" s="401">
        <f>IF(INDEX(HwyTransitModelGroup,A146,1)=PARAMETERS!$J$10,0.00000110231131*((C171-D171)*PARAMETERS!$CQ$29),0)</f>
        <v>0</v>
      </c>
      <c r="AS171" s="863">
        <f>IF(INDEX(HwyTransitModelGroup,A146,1)=PARAMETERS!$J$10,0.00000110231131*((C171-D171)*PARAMETERS!$CR$29),0)</f>
        <v>0</v>
      </c>
      <c r="AT171" s="861">
        <f>IF(INDEX(HwyTransitModelGroup,A146,1)=PARAMETERS!$J$10,0.00000110231131*((C171-D171)*PARAMETERS!$CS$29),0)</f>
        <v>0</v>
      </c>
      <c r="AU171" s="863">
        <f>IF(INDEX(HwyTransitModelGroup,A146,1)=PARAMETERS!$J$10,0.00000110231131*((C171-D171)*PARAMETERS!$CT$29),0)</f>
        <v>0</v>
      </c>
      <c r="AV171" s="861">
        <f>IF(INDEX(HwyTransitModelGroup,A146,1)=PARAMETERS!$J$10,0.00000110231131*((C171-D171)*PARAMETERS!$CU$29),0)</f>
        <v>0</v>
      </c>
      <c r="AW171" s="863">
        <f>IF(INDEX(HwyTransitModelGroup,A146,1)=PARAMETERS!$J$10,0.00000110231131*((C171-D171)*PARAMETERS!$CV$29),0)</f>
        <v>0</v>
      </c>
      <c r="AX171" s="861">
        <f>IF(INDEX(HwyTransitModelGroup,A146,1)=PARAMETERS!$J$10,0.00000110231131*((C171-D171)*PARAMETERS!$CW$29),0)</f>
        <v>0</v>
      </c>
      <c r="AY171" s="401">
        <f>IF(INDEX(HwyTransitModelGroup,A146,1)=PARAMETERS!$J$11,0.00000110231131*((C171-D171)*PARAMETERS!$CQ$37),0)</f>
        <v>0</v>
      </c>
      <c r="AZ171" s="863">
        <f>IF(INDEX(HwyTransitModelGroup,A146,1)=PARAMETERS!$J$11,0.00000110231131*((C171-D171)*PARAMETERS!$CR$37),0)</f>
        <v>0</v>
      </c>
      <c r="BA171" s="861">
        <f>IF(INDEX(HwyTransitModelGroup,A146,1)=PARAMETERS!$J$11,0.00000110231131*((C171-D171)*PARAMETERS!$CS$37),0)</f>
        <v>0</v>
      </c>
      <c r="BB171" s="863">
        <f>IF(INDEX(HwyTransitModelGroup,A146,1)=PARAMETERS!$J$11,0.00000110231131*((C171-D171)*PARAMETERS!$CT$37),0)</f>
        <v>0</v>
      </c>
      <c r="BC171" s="861">
        <f>IF(INDEX(HwyTransitModelGroup,A146,1)=PARAMETERS!$J$11,0.00000110231131*((C171-D171)*PARAMETERS!$CU$37),0)</f>
        <v>0</v>
      </c>
      <c r="BD171" s="863">
        <f>IF(INDEX(HwyTransitModelGroup,A146,1)=PARAMETERS!$J$11,0.00000110231131*((C171-D171)*PARAMETERS!$CV$37),0)</f>
        <v>0</v>
      </c>
      <c r="BE171" s="865">
        <f>IF(INDEX(HwyTransitModelGroup,A146,1)=PARAMETERS!$J$11,0.00000110231131*((C171-D171)*PARAMETERS!$CW$37),0)</f>
        <v>0</v>
      </c>
      <c r="BF171" s="729">
        <f t="shared" si="66"/>
        <v>33.062613328830096</v>
      </c>
      <c r="BG171" s="867">
        <f t="shared" si="67"/>
        <v>38376.562418023132</v>
      </c>
      <c r="BH171" s="867">
        <f t="shared" si="68"/>
        <v>4044.99170414421</v>
      </c>
      <c r="BI171" s="867">
        <f t="shared" si="69"/>
        <v>840.84130500928461</v>
      </c>
      <c r="BJ171" s="867">
        <f t="shared" si="70"/>
        <v>305.49846900080274</v>
      </c>
      <c r="BK171" s="869">
        <f t="shared" si="71"/>
        <v>10.09610402462806</v>
      </c>
      <c r="BL171" s="374"/>
      <c r="BN171" s="375">
        <f t="shared" si="76"/>
        <v>2037</v>
      </c>
      <c r="BO171" s="871">
        <f t="shared" ca="1" si="74"/>
        <v>-6.6365454901183582E-5</v>
      </c>
      <c r="BP171" s="871">
        <f t="shared" ca="1" si="77"/>
        <v>-2.7700216142223538E-4</v>
      </c>
      <c r="BQ171" s="871">
        <f t="shared" ca="1" si="77"/>
        <v>-2.7965682468076929E-4</v>
      </c>
      <c r="BR171" s="871">
        <f t="shared" ca="1" si="77"/>
        <v>-4.0564487371271586E-3</v>
      </c>
      <c r="BS171" s="871">
        <f t="shared" ca="1" si="77"/>
        <v>1.3456871490984981E-2</v>
      </c>
      <c r="BT171" s="871">
        <f t="shared" ca="1" si="77"/>
        <v>1.6555903169628933E-2</v>
      </c>
    </row>
    <row r="172" spans="2:72" x14ac:dyDescent="0.25">
      <c r="B172" s="375">
        <f t="shared" si="72"/>
        <v>2043</v>
      </c>
      <c r="C172" s="401">
        <f>MAX(TREND(C152:C153,B152:B153,B172),0)</f>
        <v>22661882.75</v>
      </c>
      <c r="D172" s="402">
        <f>MAX(TREND(D152:D153,B152:B153,B172),0)</f>
        <v>20162746</v>
      </c>
      <c r="E172" s="401">
        <f>MAX(TREND(E152:E153,B152:B153,B172),0)</f>
        <v>327770</v>
      </c>
      <c r="F172" s="402">
        <f>MAX(TREND(F152:F153,B152:B153,B172),0)</f>
        <v>290795.5</v>
      </c>
      <c r="G172" s="401">
        <f>MAX(TREND(G152:G153,B152:B153,B172),0)</f>
        <v>0</v>
      </c>
      <c r="H172" s="402">
        <f>MAX(TREND(H152:H153,B152:B153,B172),0)</f>
        <v>0</v>
      </c>
      <c r="I172" s="401">
        <f>MAX(TREND(I152:I153,B152:B153,B172),0)</f>
        <v>0</v>
      </c>
      <c r="J172" s="402">
        <f>MAX(TREND(J152:J153,B152:B153,B172),0)</f>
        <v>0</v>
      </c>
      <c r="K172" s="435">
        <f>IFERROR(IF(INDEX(HwyTransitModelGroup,A146,1)=Hwy,MAX(5,ROUND(C172/E172,1)),MAX(5,ROUND(G172/I172,1))),55)</f>
        <v>69.099999999999994</v>
      </c>
      <c r="L172" s="436">
        <f>IFERROR(IF(INDEX(HwyTransitModelGroup,A146,1)=Hwy,MAX(5,ROUND(D172/F172,1)),MAX(5,ROUND(H172/J172,1))),55)</f>
        <v>69.3</v>
      </c>
      <c r="M172" s="405">
        <f>MIN(MAX(TREND(M152:M153,B152:B153,B172),0),1)</f>
        <v>0.24</v>
      </c>
      <c r="N172" s="406">
        <f>MIN(MAX(TREND(N152:N153,B152:B153,B172),0),1)</f>
        <v>0.24</v>
      </c>
      <c r="O172" s="401">
        <f>MAX(TREND(O152:O153,B152:B153,B172),0)</f>
        <v>0</v>
      </c>
      <c r="P172" s="402">
        <f>MAX(TREND(P152:P153,B152:B153,B172),0)</f>
        <v>0</v>
      </c>
      <c r="Q172" s="729">
        <f>IF(INDEX(HwyTransitModelGroup,A146,1)=Hwy,C172*(1-M172)*0.00000110231131*(VLOOKUP(K172,EmAuto20,2)*VLOOKUP(ProjLoc,EmCost,2)+VLOOKUP(K172,EmAuto20,3)*VLOOKUP(ProjLoc,EmCost,3)*(1+CO2Uprater)^($B172-YearCurrent)+VLOOKUP(K172,EmAuto20,4)*VLOOKUP(ProjLoc,EmCost,4)+VLOOKUP(K172,EmAuto20,5)*VLOOKUP(ProjLoc,EmCost,5)+VLOOKUP(K172,EmAuto20,6)*VLOOKUP(ProjLoc,EmCost,6)+VLOOKUP(K172,EmAuto20,7)*VLOOKUP(ProjLoc,EmCost,7))+C172*M172*0.00000110231131*(VLOOKUP(K172,EmTruck20,2)*VLOOKUP(ProjLoc,EmCost,2)+VLOOKUP(K172,EmTruck20,3)*VLOOKUP(ProjLoc,EmCost,3)*(1+CO2Uprater)^($B172-YearCurrent)+VLOOKUP(K172,EmTruck20,4)*VLOOKUP(ProjLoc,EmCost,4)+VLOOKUP(K172,EmTruck20,5)*VLOOKUP(ProjLoc,EmCost,5)+VLOOKUP(K172,EmTruck20,6)*VLOOKUP(ProjLoc,EmCost,6)+VLOOKUP(K172,EmTruck20,7)*VLOOKUP(ProjLoc,EmCost,7)),0)</f>
        <v>907783.9947068363</v>
      </c>
      <c r="R172" s="802">
        <f>IF(INDEX(HwyTransitModelGroup,A146,1)=Hwy,D172*(1-N172)*0.00000110231131*(VLOOKUP(L172,EmAuto20,2)*VLOOKUP(ProjLoc,EmCost,2)+VLOOKUP(L172,EmAuto20,3)*VLOOKUP(ProjLoc,EmCost,3)*(1+CO2Uprater)^($B172-YearCurrent)+VLOOKUP(L172,EmAuto20,4)*VLOOKUP(ProjLoc,EmCost,4)+VLOOKUP(L172,EmAuto20,5)*VLOOKUP(ProjLoc,EmCost,5)+VLOOKUP(L172,EmAuto20,6)*VLOOKUP(ProjLoc,EmCost,6)+VLOOKUP(L172,EmAuto20,7)*VLOOKUP(ProjLoc,EmCost,7))+D172*N172*0.00000110231131*(VLOOKUP(L172,EmTruck20,2)*VLOOKUP(ProjLoc,EmCost,2)+VLOOKUP(L172,EmTruck20,3)*VLOOKUP(ProjLoc,EmCost,3)*(1+CO2Uprater)^($B172-YearCurrent)+VLOOKUP(L172,EmTruck20,4)*VLOOKUP(ProjLoc,EmCost,4)+VLOOKUP(L172,EmTruck20,5)*VLOOKUP(ProjLoc,EmCost,5)+VLOOKUP(L172,EmTruck20,6)*VLOOKUP(ProjLoc,EmCost,6)+VLOOKUP(L172,EmTruck20,7)*VLOOKUP(ProjLoc,EmCost,7)),0)</f>
        <v>807674.20386284031</v>
      </c>
      <c r="S172" s="729">
        <f>IF(INDEX(HwyTransitModelGroup,A146,1)=Hwy,O172*(1-M172)*0.00000110231131*(VLOOKUP(0,EmAuto20,2)*VLOOKUP(ProjLoc,EmCost,2)+VLOOKUP(0,EmAuto20,3)*VLOOKUP(ProjLoc,EmCost,3)*(1+CO2Uprater)^($B172-YearCurrent)+VLOOKUP(0,EmAuto20,4)*VLOOKUP(ProjLoc,EmCost,4)+VLOOKUP(0,EmAuto20,5)*VLOOKUP(ProjLoc,EmCost,5)+VLOOKUP(0,EmAuto20,6)*VLOOKUP(ProjLoc,EmCost,6)+VLOOKUP(0,EmAuto20,7)*VLOOKUP(ProjLoc,EmCost,7))+O172*M172*0.00000110231131*(VLOOKUP(0,EmTruck20,2)*VLOOKUP(ProjLoc,EmCost,2)+VLOOKUP(0,EmTruck20,3)*VLOOKUP(ProjLoc,EmCost,3)*(1+CO2Uprater)^($B172-YearCurrent)+VLOOKUP(0,EmTruck20,4)*VLOOKUP(ProjLoc,EmCost,4)+VLOOKUP(0,EmTruck20,5)*VLOOKUP(ProjLoc,EmCost,5)+VLOOKUP(0,EmTruck20,6)*VLOOKUP(ProjLoc,EmCost,6)+VLOOKUP(0,EmTruck20,7)*VLOOKUP(ProjLoc,EmCost,7)),0)</f>
        <v>0</v>
      </c>
      <c r="T172" s="802">
        <f>IF(INDEX(HwyTransitModelGroup,A146,1)=Hwy,P172*(1-N172)*0.00000110231131*(VLOOKUP(0,EmAuto20,2)*VLOOKUP(ProjLoc,EmCost,2)+VLOOKUP(0,EmAuto20,3)*VLOOKUP(ProjLoc,EmCost,3)*(1+CO2Uprater)^($B172-YearCurrent)+VLOOKUP(0,EmAuto20,4)*VLOOKUP(ProjLoc,EmCost,4)+VLOOKUP(0,EmAuto20,5)*VLOOKUP(ProjLoc,EmCost,5)+VLOOKUP(0,EmAuto20,6)*VLOOKUP(ProjLoc,EmCost,6)+VLOOKUP(0,EmAuto20,7)*VLOOKUP(ProjLoc,EmCost,7))+P172*N172*0.00000110231131*(VLOOKUP(0,EmTruck20,2)*VLOOKUP(ProjLoc,EmCost,2)+VLOOKUP(0,EmTruck20,3)*VLOOKUP(ProjLoc,EmCost,3)*(1+CO2Uprater)^($B172-YearCurrent)+VLOOKUP(0,EmTruck20,4)*VLOOKUP(ProjLoc,EmCost,4)+VLOOKUP(0,EmTruck20,5)*VLOOKUP(ProjLoc,EmCost,5)+VLOOKUP(0,EmTruck20,6)*VLOOKUP(ProjLoc,EmCost,6)+VLOOKUP(0,EmTruck20,7)*VLOOKUP(ProjLoc,EmCost,7)),0)</f>
        <v>0</v>
      </c>
      <c r="U172" s="729">
        <f>IF(INDEX(HwyTransitModelGroup,A146,1)=PARAMETERS!$J$9,C172*0.00000110231131*(VLOOKUP(K172,EmBus20,2)*VLOOKUP(ProjLoc,EmCost,2)+VLOOKUP(K172,EmBus20,3)*VLOOKUP(ProjLoc,EmCost,3)*(1+CO2Uprater)^($B172-YearCurrent)+VLOOKUP(K172,EmBus20,4)*VLOOKUP(ProjLoc,EmCost,4)+VLOOKUP(K172,EmBus20,5)*VLOOKUP(ProjLoc,EmCost,5)+VLOOKUP(K172,EmBus20,6)*VLOOKUP(ProjLoc,EmCost,6)+VLOOKUP(K172,EmBus20,7)*VLOOKUP(ProjLoc,EmCost,7)),0)</f>
        <v>0</v>
      </c>
      <c r="V172" s="802">
        <f>IF(INDEX(HwyTransitModelGroup,A146,1)=PARAMETERS!$J$9,D172*0.00000110231131*(VLOOKUP(L172,EmBus20,2)*VLOOKUP(ProjLoc,EmCost,2)+VLOOKUP(L172,EmBus20,3)*VLOOKUP(ProjLoc,EmCost,3)*(1+CO2Uprater)^($B172-YearCurrent)+VLOOKUP(L172,EmBus20,4)*VLOOKUP(ProjLoc,EmCost,4)+VLOOKUP(L172,EmBus20,5)*VLOOKUP(ProjLoc,EmCost,5)+VLOOKUP(L172,EmBus20,6)*VLOOKUP(ProjLoc,EmCost,6)+VLOOKUP(L172,EmBus20,7)*VLOOKUP(ProjLoc,EmCost,7)),0)</f>
        <v>0</v>
      </c>
      <c r="W172" s="808">
        <f>IF(INDEX(HwyTransitModelGroup,A146,1)=PARAMETERS!$J$10,C172*0.00000110231131*(PARAMETERS!$CQ$29*VLOOKUP(ProjLoc,EmCost,2)+PARAMETERS!$CR$29*VLOOKUP(ProjLoc,EmCost,3)*(1+CO2Uprater)^($B172-YearCurrent)+PARAMETERS!$CS$29*VLOOKUP(ProjLoc,EmCost,4)+PARAMETERS!$CT$29*VLOOKUP(ProjLoc,EmCost,5)+PARAMETERS!$CU$29*VLOOKUP(ProjLoc,EmCost,6)+PARAMETERS!$CV$29*VLOOKUP(ProjLoc,EmCost,7)),0)</f>
        <v>0</v>
      </c>
      <c r="X172" s="844">
        <f>IF(INDEX(HwyTransitModelGroup,A146,1)=PARAMETERS!$J$10,D172*0.00000110231131*(PARAMETERS!$CQ$29*VLOOKUP(ProjLoc,EmCost,2)+PARAMETERS!$CR$29*VLOOKUP(ProjLoc,EmCost,3)*(1+CO2Uprater)^($B172-YearCurrent)+PARAMETERS!$CS$29*VLOOKUP(ProjLoc,EmCost,4)+PARAMETERS!$CT$29*VLOOKUP(ProjLoc,EmCost,5)+PARAMETERS!$CU$29*VLOOKUP(ProjLoc,EmCost,6)+PARAMETERS!$CV$29*VLOOKUP(ProjLoc,EmCost,7)),0)</f>
        <v>0</v>
      </c>
      <c r="Y172" s="808">
        <f>IF(INDEX(HwyTransitModelGroup,A146,1)=PARAMETERS!$J$11,C172*0.00000110231131*(PARAMETERS!$CQ$37*VLOOKUP(ProjLoc,EmCost,2)+PARAMETERS!$CR$37*VLOOKUP(ProjLoc,EmCost,3)*(1+CO2Uprater)^($B172-YearCurrent)+PARAMETERS!$CS$37*VLOOKUP(ProjLoc,EmCost,4)+PARAMETERS!$CT$37*VLOOKUP(ProjLoc,EmCost,5)+PARAMETERS!$CU$37*VLOOKUP(ProjLoc,EmCost,6)+PARAMETERS!$CV$37*VLOOKUP(ProjLoc,EmCost,7)),0)</f>
        <v>0</v>
      </c>
      <c r="Z172" s="844">
        <f>IF(INDEX(HwyTransitModelGroup,A146,1)=PARAMETERS!$J$11,D172*0.00000110231131*(PARAMETERS!$CQ$37*VLOOKUP(ProjLoc,EmCost,2)+PARAMETERS!$CR$37*VLOOKUP(ProjLoc,EmCost,3)*(1+CO2Uprater)^($B172-YearCurrent)+PARAMETERS!$CS$37*VLOOKUP(ProjLoc,EmCost,4)+PARAMETERS!$CT$37*VLOOKUP(ProjLoc,EmCost,5)+PARAMETERS!$CU$37*VLOOKUP(ProjLoc,EmCost,6)+PARAMETERS!$CV$37*VLOOKUP(ProjLoc,EmCost,7)),0)</f>
        <v>0</v>
      </c>
      <c r="AA172" s="369">
        <f t="shared" si="64"/>
        <v>100109.79084399599</v>
      </c>
      <c r="AB172" s="370">
        <f t="shared" si="65"/>
        <v>43931.540123212872</v>
      </c>
      <c r="AC172" s="371"/>
      <c r="AD172" s="401">
        <f>IF(INDEX(HwyTransitModelGroup,A146,1)=Hwy,0.00000110231131*(C172*(1-M172)*VLOOKUP(K172,EmAuto20,2)-D172*(1-N172)*VLOOKUP(L172,EmAuto20,2)+(O172*(1-M172)-P172*(1-N172))*VLOOKUP(0,EmAuto20,2))+0.00000110231131*(C172*M172*VLOOKUP(K172,EmTruck20,2)-D172*N172*VLOOKUP(L172,EmTruck20,2)+(O172*M172-P172*N172)*VLOOKUP(0,EmTruck20,2)),0)</f>
        <v>0.93228845342543509</v>
      </c>
      <c r="AE172" s="863">
        <f>IF(INDEX(HwyTransitModelGroup,A146,1)=Hwy,0.00000110231131*(C172*(1-M172)*VLOOKUP(K172,EmAuto20,3)-D172*(1-N172)*VLOOKUP(L172,EmAuto20,3)+(O172*(1-M172)-P172*(1-N172))*VLOOKUP(0,EmAuto20,3))+0.00000110231131*(C172*M172*VLOOKUP(K172,EmTruck20,3)-D172*N172*VLOOKUP(L172,EmTruck20,3)+(O172*M172-P172*N172)*VLOOKUP(0,EmTruck20,3)),0)</f>
        <v>1213.7367782659078</v>
      </c>
      <c r="AF172" s="861">
        <f>IF(INDEX(HwyTransitModelGroup,A146,1)=Hwy,0.00000110231131*(C172*(1-M172)*VLOOKUP(K172,EmAuto20,4)-D172*(1-N172)*VLOOKUP(L172,EmAuto20,4)+(O172*(1-M172)-P172*(1-N172))*VLOOKUP(0,EmAuto20,4))+0.00000110231131*(C172*M172*VLOOKUP(K172,EmTruck20,4)-D172*N172*VLOOKUP(L172,EmTruck20,4)+(O172*M172-P172*N172)*VLOOKUP(0,EmTruck20,4)),0)</f>
        <v>0.6042877666496943</v>
      </c>
      <c r="AG172" s="863">
        <f>IF(INDEX(HwyTransitModelGroup,A146,1)=Hwy,0.00000110231131*(C172*(1-M172)*VLOOKUP(K172,EmAuto20,5)-D172*(1-N172)*VLOOKUP(L172,EmAuto20,5)+(O172*(1-M172)-P172*(1-N172))*VLOOKUP(0,EmAuto20,5))+0.00000110231131*(C172*M172*VLOOKUP(K172,EmTruck20,5)-D172*N172*VLOOKUP(L172,EmTruck20,5)+(O172*M172-P172*N172)*VLOOKUP(0,EmTruck20,5)),0)</f>
        <v>1.6253477558093671E-2</v>
      </c>
      <c r="AH172" s="861">
        <f>IF(INDEX(HwyTransitModelGroup,A146,1)=Hwy,0.00000110231131*(C172*(1-M172)*VLOOKUP(K172,EmAuto20,6)-D172*(1-N172)*VLOOKUP(L172,EmAuto20,6)+(O172*(1-M172)-P172*(1-N172))*VLOOKUP(0,EmAuto20,6))+0.00000110231131*(C172*M172*VLOOKUP(K172,EmTruck20,6)-D172*N172*VLOOKUP(L172,EmTruck20,6)+(O172*M172-P172*N172)*VLOOKUP(0,EmTruck20,6)),0)</f>
        <v>1.1680465228189357E-2</v>
      </c>
      <c r="AI172" s="863">
        <f>IF(INDEX(HwyTransitModelGroup,A146,1)=Hwy,0.00000110231131*(C172*(1-M172)*VLOOKUP(K172,EmAuto20,7)-D172*(1-N172)*VLOOKUP(L172,EmAuto20,7)+(O172*(1-M172)-P172*(1-N172))*VLOOKUP(0,EmAuto20,7))+0.00000110231131*(C172*M172*VLOOKUP(K172,EmTruck20,7)-D172*N172*VLOOKUP(L172,EmTruck20,7)+(O172*M172-P172*N172)*VLOOKUP(0,EmTruck20,7)),0)</f>
        <v>2.0517949297064703E-2</v>
      </c>
      <c r="AJ172" s="861">
        <f>IF(INDEX(HwyTransitModelGroup,A146,1)=Hwy,0.00000110231131*(C172*(1-M172)*VLOOKUP(K172,EmAuto20,8)-D172*(1-N172)*VLOOKUP(L172,EmAuto20,8)+(O172*(1-M172)-P172*(1-N172))*VLOOKUP(0,EmAuto20,8))+0.00000110231131*(C172*M172*VLOOKUP(K172,EmTruck20,8)-D172*N172*VLOOKUP(L172,EmTruck20,8)+(O172*M172-P172*N172)*VLOOKUP(0,EmTruck20,8)),0)</f>
        <v>1.559231914895089E-2</v>
      </c>
      <c r="AK172" s="401">
        <f>IF(INDEX(HwyTransitModelGroup,A146,1)=PARAMETERS!$J$9,0.00000110231131*(C172*VLOOKUP(K172,EmBus20,2)-D172*VLOOKUP(L172,EmBus20,2)+(O172-P172)*VLOOKUP(0,EmBus20,2)),0)</f>
        <v>0</v>
      </c>
      <c r="AL172" s="863">
        <f>IF(INDEX(HwyTransitModelGroup,A146,1)=PARAMETERS!$J$9,0.00000110231131*(C172*VLOOKUP(K172,EmBus20,3)-D172*VLOOKUP(L172,EmBus20,3)+(O172-P172)*VLOOKUP(0,EmBus20,3)),0)</f>
        <v>0</v>
      </c>
      <c r="AM172" s="861">
        <f>IF(INDEX(HwyTransitModelGroup,A146,1)=PARAMETERS!$J$9,0.00000110231131*(C172*VLOOKUP(K172,EmBus20,4)-D172*VLOOKUP(L172,EmBus20,4)+(O172-P172)*VLOOKUP(0,EmBus20,4)),0)</f>
        <v>0</v>
      </c>
      <c r="AN172" s="863">
        <f>IF(INDEX(HwyTransitModelGroup,A146,1)=PARAMETERS!$J$9,0.00000110231131*(C172*VLOOKUP(K172,EmBus20,5)-D172*VLOOKUP(L172,EmBus20,5)+(O172-P172)*VLOOKUP(0,EmBus20,5)),0)</f>
        <v>0</v>
      </c>
      <c r="AO172" s="861">
        <f>IF(INDEX(HwyTransitModelGroup,A146,1)=PARAMETERS!$J$9,0.00000110231131*(C172*VLOOKUP(K172,EmBus20,6)-D172*VLOOKUP(L172,EmBus20,6)+(O172-P172)*VLOOKUP(0,EmBus20,6)),0)</f>
        <v>0</v>
      </c>
      <c r="AP172" s="863">
        <f>IF(INDEX(HwyTransitModelGroup,A146,1)=PARAMETERS!$J$9,0.00000110231131*(C172*VLOOKUP(K172,EmBus20,7)-D172*VLOOKUP(L172,EmBus20,7)+(O172-P172)*VLOOKUP(0,EmBus20,7)),0)</f>
        <v>0</v>
      </c>
      <c r="AQ172" s="861">
        <f>IF(INDEX(HwyTransitModelGroup,A146,1)=PARAMETERS!$J$9,0.00000110231131*(C172*VLOOKUP(K172,EmBus20,8)-D172*VLOOKUP(L172,EmBus20,8)+(O172-P172)*VLOOKUP(0,EmBus20,8)),0)</f>
        <v>0</v>
      </c>
      <c r="AR172" s="401">
        <f>IF(INDEX(HwyTransitModelGroup,A146,1)=PARAMETERS!$J$10,0.00000110231131*((C172-D172)*PARAMETERS!$CQ$29),0)</f>
        <v>0</v>
      </c>
      <c r="AS172" s="863">
        <f>IF(INDEX(HwyTransitModelGroup,A146,1)=PARAMETERS!$J$10,0.00000110231131*((C172-D172)*PARAMETERS!$CR$29),0)</f>
        <v>0</v>
      </c>
      <c r="AT172" s="861">
        <f>IF(INDEX(HwyTransitModelGroup,A146,1)=PARAMETERS!$J$10,0.00000110231131*((C172-D172)*PARAMETERS!$CS$29),0)</f>
        <v>0</v>
      </c>
      <c r="AU172" s="863">
        <f>IF(INDEX(HwyTransitModelGroup,A146,1)=PARAMETERS!$J$10,0.00000110231131*((C172-D172)*PARAMETERS!$CT$29),0)</f>
        <v>0</v>
      </c>
      <c r="AV172" s="861">
        <f>IF(INDEX(HwyTransitModelGroup,A146,1)=PARAMETERS!$J$10,0.00000110231131*((C172-D172)*PARAMETERS!$CU$29),0)</f>
        <v>0</v>
      </c>
      <c r="AW172" s="863">
        <f>IF(INDEX(HwyTransitModelGroup,A146,1)=PARAMETERS!$J$10,0.00000110231131*((C172-D172)*PARAMETERS!$CV$29),0)</f>
        <v>0</v>
      </c>
      <c r="AX172" s="861">
        <f>IF(INDEX(HwyTransitModelGroup,A146,1)=PARAMETERS!$J$10,0.00000110231131*((C172-D172)*PARAMETERS!$CW$29),0)</f>
        <v>0</v>
      </c>
      <c r="AY172" s="401">
        <f>IF(INDEX(HwyTransitModelGroup,A146,1)=PARAMETERS!$J$11,0.00000110231131*((C172-D172)*PARAMETERS!$CQ$37),0)</f>
        <v>0</v>
      </c>
      <c r="AZ172" s="863">
        <f>IF(INDEX(HwyTransitModelGroup,A146,1)=PARAMETERS!$J$11,0.00000110231131*((C172-D172)*PARAMETERS!$CR$37),0)</f>
        <v>0</v>
      </c>
      <c r="BA172" s="861">
        <f>IF(INDEX(HwyTransitModelGroup,A146,1)=PARAMETERS!$J$11,0.00000110231131*((C172-D172)*PARAMETERS!$CS$37),0)</f>
        <v>0</v>
      </c>
      <c r="BB172" s="863">
        <f>IF(INDEX(HwyTransitModelGroup,A146,1)=PARAMETERS!$J$11,0.00000110231131*((C172-D172)*PARAMETERS!$CT$37),0)</f>
        <v>0</v>
      </c>
      <c r="BC172" s="861">
        <f>IF(INDEX(HwyTransitModelGroup,A146,1)=PARAMETERS!$J$11,0.00000110231131*((C172-D172)*PARAMETERS!$CU$37),0)</f>
        <v>0</v>
      </c>
      <c r="BD172" s="863">
        <f>IF(INDEX(HwyTransitModelGroup,A146,1)=PARAMETERS!$J$11,0.00000110231131*((C172-D172)*PARAMETERS!$CV$37),0)</f>
        <v>0</v>
      </c>
      <c r="BE172" s="865">
        <f>IF(INDEX(HwyTransitModelGroup,A146,1)=PARAMETERS!$J$11,0.00000110231131*((C172-D172)*PARAMETERS!$CW$37),0)</f>
        <v>0</v>
      </c>
      <c r="BF172" s="729">
        <f t="shared" si="66"/>
        <v>32.729560018273823</v>
      </c>
      <c r="BG172" s="867">
        <f t="shared" si="67"/>
        <v>38749.779101631822</v>
      </c>
      <c r="BH172" s="867">
        <f t="shared" si="68"/>
        <v>4004.244838043845</v>
      </c>
      <c r="BI172" s="867">
        <f t="shared" si="69"/>
        <v>832.37116450645817</v>
      </c>
      <c r="BJ172" s="867">
        <f t="shared" si="70"/>
        <v>302.42105719857625</v>
      </c>
      <c r="BK172" s="869">
        <f t="shared" si="71"/>
        <v>9.9944018138657107</v>
      </c>
      <c r="BL172" s="374"/>
      <c r="BN172" s="375">
        <f t="shared" si="76"/>
        <v>2038</v>
      </c>
      <c r="BO172" s="871">
        <f t="shared" ca="1" si="74"/>
        <v>-7.6364176873064998E-5</v>
      </c>
      <c r="BP172" s="871">
        <f t="shared" ca="1" si="77"/>
        <v>-2.8138432728259401E-4</v>
      </c>
      <c r="BQ172" s="871">
        <f t="shared" ca="1" si="77"/>
        <v>-2.8409612333632489E-4</v>
      </c>
      <c r="BR172" s="871">
        <f t="shared" ca="1" si="77"/>
        <v>-4.1020368451957744E-3</v>
      </c>
      <c r="BS172" s="871">
        <f t="shared" ca="1" si="77"/>
        <v>1.3922972502169759E-2</v>
      </c>
      <c r="BT172" s="871">
        <f t="shared" ca="1" si="77"/>
        <v>1.6935359480491605E-2</v>
      </c>
    </row>
    <row r="173" spans="2:72" x14ac:dyDescent="0.25">
      <c r="B173" s="375">
        <f t="shared" si="72"/>
        <v>2044</v>
      </c>
      <c r="C173" s="401">
        <f>MAX(TREND(C152:C153,B152:B153,B173),0)</f>
        <v>22910283.5</v>
      </c>
      <c r="D173" s="402">
        <f>MAX(TREND(D152:D153,B152:B153,B173),0)</f>
        <v>20339479</v>
      </c>
      <c r="E173" s="401">
        <f>MAX(TREND(E152:E153,B152:B153,B173),0)</f>
        <v>331420</v>
      </c>
      <c r="F173" s="402">
        <f>MAX(TREND(F152:F153,B152:B153,B173),0)</f>
        <v>293387</v>
      </c>
      <c r="G173" s="401">
        <f>MAX(TREND(G152:G153,B152:B153,B173),0)</f>
        <v>0</v>
      </c>
      <c r="H173" s="402">
        <f>MAX(TREND(H152:H153,B152:B153,B173),0)</f>
        <v>0</v>
      </c>
      <c r="I173" s="401">
        <f>MAX(TREND(I152:I153,B152:B153,B173),0)</f>
        <v>0</v>
      </c>
      <c r="J173" s="402">
        <f>MAX(TREND(J152:J153,B152:B153,B173),0)</f>
        <v>0</v>
      </c>
      <c r="K173" s="435">
        <f>IFERROR(IF(INDEX(HwyTransitModelGroup,A146,1)=Hwy,MAX(5,ROUND(C173/E173,1)),MAX(5,ROUND(G173/I173,1))),55)</f>
        <v>69.099999999999994</v>
      </c>
      <c r="L173" s="436">
        <f>IFERROR(IF(INDEX(HwyTransitModelGroup,A146,1)=Hwy,MAX(5,ROUND(D173/F173,1)),MAX(5,ROUND(H173/J173,1))),55)</f>
        <v>69.3</v>
      </c>
      <c r="M173" s="405">
        <f>MIN(MAX(TREND(M152:M153,B152:B153,B173),0),1)</f>
        <v>0.24</v>
      </c>
      <c r="N173" s="406">
        <f>MIN(MAX(TREND(N152:N153,B152:B153,B173),0),1)</f>
        <v>0.24</v>
      </c>
      <c r="O173" s="401">
        <f>MAX(TREND(O152:O153,B152:B153,B173),0)</f>
        <v>0</v>
      </c>
      <c r="P173" s="402">
        <f>MAX(TREND(P152:P153,B152:B153,B173),0)</f>
        <v>0</v>
      </c>
      <c r="Q173" s="729">
        <f>IF(INDEX(HwyTransitModelGroup,A146,1)=Hwy,C173*(1-M173)*0.00000110231131*(VLOOKUP(K173,EmAuto20,2)*VLOOKUP(ProjLoc,EmCost,2)+VLOOKUP(K173,EmAuto20,3)*VLOOKUP(ProjLoc,EmCost,3)*(1+CO2Uprater)^($B173-YearCurrent)+VLOOKUP(K173,EmAuto20,4)*VLOOKUP(ProjLoc,EmCost,4)+VLOOKUP(K173,EmAuto20,5)*VLOOKUP(ProjLoc,EmCost,5)+VLOOKUP(K173,EmAuto20,6)*VLOOKUP(ProjLoc,EmCost,6)+VLOOKUP(K173,EmAuto20,7)*VLOOKUP(ProjLoc,EmCost,7))+C173*M173*0.00000110231131*(VLOOKUP(K173,EmTruck20,2)*VLOOKUP(ProjLoc,EmCost,2)+VLOOKUP(K173,EmTruck20,3)*VLOOKUP(ProjLoc,EmCost,3)*(1+CO2Uprater)^($B173-YearCurrent)+VLOOKUP(K173,EmTruck20,4)*VLOOKUP(ProjLoc,EmCost,4)+VLOOKUP(K173,EmTruck20,5)*VLOOKUP(ProjLoc,EmCost,5)+VLOOKUP(K173,EmTruck20,6)*VLOOKUP(ProjLoc,EmCost,6)+VLOOKUP(K173,EmTruck20,7)*VLOOKUP(ProjLoc,EmCost,7)),0)</f>
        <v>933924.10644933069</v>
      </c>
      <c r="R173" s="802">
        <f>IF(INDEX(HwyTransitModelGroup,A146,1)=Hwy,D173*(1-N173)*0.00000110231131*(VLOOKUP(L173,EmAuto20,2)*VLOOKUP(ProjLoc,EmCost,2)+VLOOKUP(L173,EmAuto20,3)*VLOOKUP(ProjLoc,EmCost,3)*(1+CO2Uprater)^($B173-YearCurrent)+VLOOKUP(L173,EmAuto20,4)*VLOOKUP(ProjLoc,EmCost,4)+VLOOKUP(L173,EmAuto20,5)*VLOOKUP(ProjLoc,EmCost,5)+VLOOKUP(L173,EmAuto20,6)*VLOOKUP(ProjLoc,EmCost,6)+VLOOKUP(L173,EmAuto20,7)*VLOOKUP(ProjLoc,EmCost,7))+D173*N173*0.00000110231131*(VLOOKUP(L173,EmTruck20,2)*VLOOKUP(ProjLoc,EmCost,2)+VLOOKUP(L173,EmTruck20,3)*VLOOKUP(ProjLoc,EmCost,3)*(1+CO2Uprater)^($B173-YearCurrent)+VLOOKUP(L173,EmTruck20,4)*VLOOKUP(ProjLoc,EmCost,4)+VLOOKUP(L173,EmTruck20,5)*VLOOKUP(ProjLoc,EmCost,5)+VLOOKUP(L173,EmTruck20,6)*VLOOKUP(ProjLoc,EmCost,6)+VLOOKUP(L173,EmTruck20,7)*VLOOKUP(ProjLoc,EmCost,7)),0)</f>
        <v>829126.78713556402</v>
      </c>
      <c r="S173" s="729">
        <f>IF(INDEX(HwyTransitModelGroup,A146,1)=Hwy,O173*(1-M173)*0.00000110231131*(VLOOKUP(0,EmAuto20,2)*VLOOKUP(ProjLoc,EmCost,2)+VLOOKUP(0,EmAuto20,3)*VLOOKUP(ProjLoc,EmCost,3)*(1+CO2Uprater)^($B173-YearCurrent)+VLOOKUP(0,EmAuto20,4)*VLOOKUP(ProjLoc,EmCost,4)+VLOOKUP(0,EmAuto20,5)*VLOOKUP(ProjLoc,EmCost,5)+VLOOKUP(0,EmAuto20,6)*VLOOKUP(ProjLoc,EmCost,6)+VLOOKUP(0,EmAuto20,7)*VLOOKUP(ProjLoc,EmCost,7))+O173*M173*0.00000110231131*(VLOOKUP(0,EmTruck20,2)*VLOOKUP(ProjLoc,EmCost,2)+VLOOKUP(0,EmTruck20,3)*VLOOKUP(ProjLoc,EmCost,3)*(1+CO2Uprater)^($B173-YearCurrent)+VLOOKUP(0,EmTruck20,4)*VLOOKUP(ProjLoc,EmCost,4)+VLOOKUP(0,EmTruck20,5)*VLOOKUP(ProjLoc,EmCost,5)+VLOOKUP(0,EmTruck20,6)*VLOOKUP(ProjLoc,EmCost,6)+VLOOKUP(0,EmTruck20,7)*VLOOKUP(ProjLoc,EmCost,7)),0)</f>
        <v>0</v>
      </c>
      <c r="T173" s="802">
        <f>IF(INDEX(HwyTransitModelGroup,A146,1)=Hwy,P173*(1-N173)*0.00000110231131*(VLOOKUP(0,EmAuto20,2)*VLOOKUP(ProjLoc,EmCost,2)+VLOOKUP(0,EmAuto20,3)*VLOOKUP(ProjLoc,EmCost,3)*(1+CO2Uprater)^($B173-YearCurrent)+VLOOKUP(0,EmAuto20,4)*VLOOKUP(ProjLoc,EmCost,4)+VLOOKUP(0,EmAuto20,5)*VLOOKUP(ProjLoc,EmCost,5)+VLOOKUP(0,EmAuto20,6)*VLOOKUP(ProjLoc,EmCost,6)+VLOOKUP(0,EmAuto20,7)*VLOOKUP(ProjLoc,EmCost,7))+P173*N173*0.00000110231131*(VLOOKUP(0,EmTruck20,2)*VLOOKUP(ProjLoc,EmCost,2)+VLOOKUP(0,EmTruck20,3)*VLOOKUP(ProjLoc,EmCost,3)*(1+CO2Uprater)^($B173-YearCurrent)+VLOOKUP(0,EmTruck20,4)*VLOOKUP(ProjLoc,EmCost,4)+VLOOKUP(0,EmTruck20,5)*VLOOKUP(ProjLoc,EmCost,5)+VLOOKUP(0,EmTruck20,6)*VLOOKUP(ProjLoc,EmCost,6)+VLOOKUP(0,EmTruck20,7)*VLOOKUP(ProjLoc,EmCost,7)),0)</f>
        <v>0</v>
      </c>
      <c r="U173" s="729">
        <f>IF(INDEX(HwyTransitModelGroup,A146,1)=PARAMETERS!$J$9,C173*0.00000110231131*(VLOOKUP(K173,EmBus20,2)*VLOOKUP(ProjLoc,EmCost,2)+VLOOKUP(K173,EmBus20,3)*VLOOKUP(ProjLoc,EmCost,3)*(1+CO2Uprater)^($B173-YearCurrent)+VLOOKUP(K173,EmBus20,4)*VLOOKUP(ProjLoc,EmCost,4)+VLOOKUP(K173,EmBus20,5)*VLOOKUP(ProjLoc,EmCost,5)+VLOOKUP(K173,EmBus20,6)*VLOOKUP(ProjLoc,EmCost,6)+VLOOKUP(K173,EmBus20,7)*VLOOKUP(ProjLoc,EmCost,7)),0)</f>
        <v>0</v>
      </c>
      <c r="V173" s="802">
        <f>IF(INDEX(HwyTransitModelGroup,A146,1)=PARAMETERS!$J$9,D173*0.00000110231131*(VLOOKUP(L173,EmBus20,2)*VLOOKUP(ProjLoc,EmCost,2)+VLOOKUP(L173,EmBus20,3)*VLOOKUP(ProjLoc,EmCost,3)*(1+CO2Uprater)^($B173-YearCurrent)+VLOOKUP(L173,EmBus20,4)*VLOOKUP(ProjLoc,EmCost,4)+VLOOKUP(L173,EmBus20,5)*VLOOKUP(ProjLoc,EmCost,5)+VLOOKUP(L173,EmBus20,6)*VLOOKUP(ProjLoc,EmCost,6)+VLOOKUP(L173,EmBus20,7)*VLOOKUP(ProjLoc,EmCost,7)),0)</f>
        <v>0</v>
      </c>
      <c r="W173" s="808">
        <f>IF(INDEX(HwyTransitModelGroup,A146,1)=PARAMETERS!$J$10,C173*0.00000110231131*(PARAMETERS!$CQ$29*VLOOKUP(ProjLoc,EmCost,2)+PARAMETERS!$CR$29*VLOOKUP(ProjLoc,EmCost,3)*(1+CO2Uprater)^($B173-YearCurrent)+PARAMETERS!$CS$29*VLOOKUP(ProjLoc,EmCost,4)+PARAMETERS!$CT$29*VLOOKUP(ProjLoc,EmCost,5)+PARAMETERS!$CU$29*VLOOKUP(ProjLoc,EmCost,6)+PARAMETERS!$CV$29*VLOOKUP(ProjLoc,EmCost,7)),0)</f>
        <v>0</v>
      </c>
      <c r="X173" s="844">
        <f>IF(INDEX(HwyTransitModelGroup,A146,1)=PARAMETERS!$J$10,D173*0.00000110231131*(PARAMETERS!$CQ$29*VLOOKUP(ProjLoc,EmCost,2)+PARAMETERS!$CR$29*VLOOKUP(ProjLoc,EmCost,3)*(1+CO2Uprater)^($B173-YearCurrent)+PARAMETERS!$CS$29*VLOOKUP(ProjLoc,EmCost,4)+PARAMETERS!$CT$29*VLOOKUP(ProjLoc,EmCost,5)+PARAMETERS!$CU$29*VLOOKUP(ProjLoc,EmCost,6)+PARAMETERS!$CV$29*VLOOKUP(ProjLoc,EmCost,7)),0)</f>
        <v>0</v>
      </c>
      <c r="Y173" s="808">
        <f>IF(INDEX(HwyTransitModelGroup,A146,1)=PARAMETERS!$J$11,C173*0.00000110231131*(PARAMETERS!$CQ$37*VLOOKUP(ProjLoc,EmCost,2)+PARAMETERS!$CR$37*VLOOKUP(ProjLoc,EmCost,3)*(1+CO2Uprater)^($B173-YearCurrent)+PARAMETERS!$CS$37*VLOOKUP(ProjLoc,EmCost,4)+PARAMETERS!$CT$37*VLOOKUP(ProjLoc,EmCost,5)+PARAMETERS!$CU$37*VLOOKUP(ProjLoc,EmCost,6)+PARAMETERS!$CV$37*VLOOKUP(ProjLoc,EmCost,7)),0)</f>
        <v>0</v>
      </c>
      <c r="Z173" s="844">
        <f>IF(INDEX(HwyTransitModelGroup,A146,1)=PARAMETERS!$J$11,D173*0.00000110231131*(PARAMETERS!$CQ$37*VLOOKUP(ProjLoc,EmCost,2)+PARAMETERS!$CR$37*VLOOKUP(ProjLoc,EmCost,3)*(1+CO2Uprater)^($B173-YearCurrent)+PARAMETERS!$CS$37*VLOOKUP(ProjLoc,EmCost,4)+PARAMETERS!$CT$37*VLOOKUP(ProjLoc,EmCost,5)+PARAMETERS!$CU$37*VLOOKUP(ProjLoc,EmCost,6)+PARAMETERS!$CV$37*VLOOKUP(ProjLoc,EmCost,7)),0)</f>
        <v>0</v>
      </c>
      <c r="AA173" s="369">
        <f t="shared" si="64"/>
        <v>104797.31931376667</v>
      </c>
      <c r="AB173" s="370">
        <f t="shared" si="65"/>
        <v>44219.793390987099</v>
      </c>
      <c r="AC173" s="371"/>
      <c r="AD173" s="401">
        <f>IF(INDEX(HwyTransitModelGroup,A146,1)=Hwy,0.00000110231131*(C173*(1-M173)*VLOOKUP(K173,EmAuto20,2)-D173*(1-N173)*VLOOKUP(L173,EmAuto20,2)+(O173*(1-M173)-P173*(1-N173))*VLOOKUP(0,EmAuto20,2))+0.00000110231131*(C173*M173*VLOOKUP(K173,EmTruck20,2)-D173*N173*VLOOKUP(L173,EmTruck20,2)+(O173*M173-P173*N173)*VLOOKUP(0,EmTruck20,2)),0)</f>
        <v>0.95902369142630917</v>
      </c>
      <c r="AE173" s="863">
        <f>IF(INDEX(HwyTransitModelGroup,A146,1)=Hwy,0.00000110231131*(C173*(1-M173)*VLOOKUP(K173,EmAuto20,3)-D173*(1-N173)*VLOOKUP(L173,EmAuto20,3)+(O173*(1-M173)-P173*(1-N173))*VLOOKUP(0,EmAuto20,3))+0.00000110231131*(C173*M173*VLOOKUP(K173,EmTruck20,3)-D173*N173*VLOOKUP(L173,EmTruck20,3)+(O173*M173-P173*N173)*VLOOKUP(0,EmTruck20,3)),0)</f>
        <v>1248.5431104886522</v>
      </c>
      <c r="AF173" s="861">
        <f>IF(INDEX(HwyTransitModelGroup,A146,1)=Hwy,0.00000110231131*(C173*(1-M173)*VLOOKUP(K173,EmAuto20,4)-D173*(1-N173)*VLOOKUP(L173,EmAuto20,4)+(O173*(1-M173)-P173*(1-N173))*VLOOKUP(0,EmAuto20,4))+0.00000110231131*(C173*M173*VLOOKUP(K173,EmTruck20,4)-D173*N173*VLOOKUP(L173,EmTruck20,4)+(O173*M173-P173*N173)*VLOOKUP(0,EmTruck20,4)),0)</f>
        <v>0.62161692824451686</v>
      </c>
      <c r="AG173" s="863">
        <f>IF(INDEX(HwyTransitModelGroup,A146,1)=Hwy,0.00000110231131*(C173*(1-M173)*VLOOKUP(K173,EmAuto20,5)-D173*(1-N173)*VLOOKUP(L173,EmAuto20,5)+(O173*(1-M173)-P173*(1-N173))*VLOOKUP(0,EmAuto20,5))+0.00000110231131*(C173*M173*VLOOKUP(K173,EmTruck20,5)-D173*N173*VLOOKUP(L173,EmTruck20,5)+(O173*M173-P173*N173)*VLOOKUP(0,EmTruck20,5)),0)</f>
        <v>1.6719578569278484E-2</v>
      </c>
      <c r="AH173" s="861">
        <f>IF(INDEX(HwyTransitModelGroup,A146,1)=Hwy,0.00000110231131*(C173*(1-M173)*VLOOKUP(K173,EmAuto20,6)-D173*(1-N173)*VLOOKUP(L173,EmAuto20,6)+(O173*(1-M173)-P173*(1-N173))*VLOOKUP(0,EmAuto20,6))+0.00000110231131*(C173*M173*VLOOKUP(K173,EmTruck20,6)-D173*N173*VLOOKUP(L173,EmTruck20,6)+(O173*M173-P173*N173)*VLOOKUP(0,EmTruck20,6)),0)</f>
        <v>1.2015425954871315E-2</v>
      </c>
      <c r="AI173" s="863">
        <f>IF(INDEX(HwyTransitModelGroup,A146,1)=Hwy,0.00000110231131*(C173*(1-M173)*VLOOKUP(K173,EmAuto20,7)-D173*(1-N173)*VLOOKUP(L173,EmAuto20,7)+(O173*(1-M173)-P173*(1-N173))*VLOOKUP(0,EmAuto20,7))+0.00000110231131*(C173*M173*VLOOKUP(K173,EmTruck20,7)-D173*N173*VLOOKUP(L173,EmTruck20,7)+(O173*M173-P173*N173)*VLOOKUP(0,EmTruck20,7)),0)</f>
        <v>2.110634257355698E-2</v>
      </c>
      <c r="AJ173" s="861">
        <f>IF(INDEX(HwyTransitModelGroup,A146,1)=Hwy,0.00000110231131*(C173*(1-M173)*VLOOKUP(K173,EmAuto20,8)-D173*(1-N173)*VLOOKUP(L173,EmAuto20,8)+(O173*(1-M173)-P173*(1-N173))*VLOOKUP(0,EmAuto20,8))+0.00000110231131*(C173*M173*VLOOKUP(K173,EmTruck20,8)-D173*N173*VLOOKUP(L173,EmTruck20,8)+(O173*M173-P173*N173)*VLOOKUP(0,EmTruck20,8)),0)</f>
        <v>1.6039460119002751E-2</v>
      </c>
      <c r="AK173" s="401">
        <f>IF(INDEX(HwyTransitModelGroup,A146,1)=PARAMETERS!$J$9,0.00000110231131*(C173*VLOOKUP(K173,EmBus20,2)-D173*VLOOKUP(L173,EmBus20,2)+(O173-P173)*VLOOKUP(0,EmBus20,2)),0)</f>
        <v>0</v>
      </c>
      <c r="AL173" s="863">
        <f>IF(INDEX(HwyTransitModelGroup,A146,1)=PARAMETERS!$J$9,0.00000110231131*(C173*VLOOKUP(K173,EmBus20,3)-D173*VLOOKUP(L173,EmBus20,3)+(O173-P173)*VLOOKUP(0,EmBus20,3)),0)</f>
        <v>0</v>
      </c>
      <c r="AM173" s="861">
        <f>IF(INDEX(HwyTransitModelGroup,A146,1)=PARAMETERS!$J$9,0.00000110231131*(C173*VLOOKUP(K173,EmBus20,4)-D173*VLOOKUP(L173,EmBus20,4)+(O173-P173)*VLOOKUP(0,EmBus20,4)),0)</f>
        <v>0</v>
      </c>
      <c r="AN173" s="863">
        <f>IF(INDEX(HwyTransitModelGroup,A146,1)=PARAMETERS!$J$9,0.00000110231131*(C173*VLOOKUP(K173,EmBus20,5)-D173*VLOOKUP(L173,EmBus20,5)+(O173-P173)*VLOOKUP(0,EmBus20,5)),0)</f>
        <v>0</v>
      </c>
      <c r="AO173" s="861">
        <f>IF(INDEX(HwyTransitModelGroup,A146,1)=PARAMETERS!$J$9,0.00000110231131*(C173*VLOOKUP(K173,EmBus20,6)-D173*VLOOKUP(L173,EmBus20,6)+(O173-P173)*VLOOKUP(0,EmBus20,6)),0)</f>
        <v>0</v>
      </c>
      <c r="AP173" s="863">
        <f>IF(INDEX(HwyTransitModelGroup,A146,1)=PARAMETERS!$J$9,0.00000110231131*(C173*VLOOKUP(K173,EmBus20,7)-D173*VLOOKUP(L173,EmBus20,7)+(O173-P173)*VLOOKUP(0,EmBus20,7)),0)</f>
        <v>0</v>
      </c>
      <c r="AQ173" s="861">
        <f>IF(INDEX(HwyTransitModelGroup,A146,1)=PARAMETERS!$J$9,0.00000110231131*(C173*VLOOKUP(K173,EmBus20,8)-D173*VLOOKUP(L173,EmBus20,8)+(O173-P173)*VLOOKUP(0,EmBus20,8)),0)</f>
        <v>0</v>
      </c>
      <c r="AR173" s="401">
        <f>IF(INDEX(HwyTransitModelGroup,A146,1)=PARAMETERS!$J$10,0.00000110231131*((C173-D173)*PARAMETERS!$CQ$29),0)</f>
        <v>0</v>
      </c>
      <c r="AS173" s="863">
        <f>IF(INDEX(HwyTransitModelGroup,A146,1)=PARAMETERS!$J$10,0.00000110231131*((C173-D173)*PARAMETERS!$CR$29),0)</f>
        <v>0</v>
      </c>
      <c r="AT173" s="861">
        <f>IF(INDEX(HwyTransitModelGroup,A146,1)=PARAMETERS!$J$10,0.00000110231131*((C173-D173)*PARAMETERS!$CS$29),0)</f>
        <v>0</v>
      </c>
      <c r="AU173" s="863">
        <f>IF(INDEX(HwyTransitModelGroup,A146,1)=PARAMETERS!$J$10,0.00000110231131*((C173-D173)*PARAMETERS!$CT$29),0)</f>
        <v>0</v>
      </c>
      <c r="AV173" s="861">
        <f>IF(INDEX(HwyTransitModelGroup,A146,1)=PARAMETERS!$J$10,0.00000110231131*((C173-D173)*PARAMETERS!$CU$29),0)</f>
        <v>0</v>
      </c>
      <c r="AW173" s="863">
        <f>IF(INDEX(HwyTransitModelGroup,A146,1)=PARAMETERS!$J$10,0.00000110231131*((C173-D173)*PARAMETERS!$CV$29),0)</f>
        <v>0</v>
      </c>
      <c r="AX173" s="861">
        <f>IF(INDEX(HwyTransitModelGroup,A146,1)=PARAMETERS!$J$10,0.00000110231131*((C173-D173)*PARAMETERS!$CW$29),0)</f>
        <v>0</v>
      </c>
      <c r="AY173" s="401">
        <f>IF(INDEX(HwyTransitModelGroup,A146,1)=PARAMETERS!$J$11,0.00000110231131*((C173-D173)*PARAMETERS!$CQ$37),0)</f>
        <v>0</v>
      </c>
      <c r="AZ173" s="863">
        <f>IF(INDEX(HwyTransitModelGroup,A146,1)=PARAMETERS!$J$11,0.00000110231131*((C173-D173)*PARAMETERS!$CR$37),0)</f>
        <v>0</v>
      </c>
      <c r="BA173" s="861">
        <f>IF(INDEX(HwyTransitModelGroup,A146,1)=PARAMETERS!$J$11,0.00000110231131*((C173-D173)*PARAMETERS!$CS$37),0)</f>
        <v>0</v>
      </c>
      <c r="BB173" s="863">
        <f>IF(INDEX(HwyTransitModelGroup,A146,1)=PARAMETERS!$J$11,0.00000110231131*((C173-D173)*PARAMETERS!$CT$37),0)</f>
        <v>0</v>
      </c>
      <c r="BC173" s="861">
        <f>IF(INDEX(HwyTransitModelGroup,A146,1)=PARAMETERS!$J$11,0.00000110231131*((C173-D173)*PARAMETERS!$CU$37),0)</f>
        <v>0</v>
      </c>
      <c r="BD173" s="863">
        <f>IF(INDEX(HwyTransitModelGroup,A146,1)=PARAMETERS!$J$11,0.00000110231131*((C173-D173)*PARAMETERS!$CV$37),0)</f>
        <v>0</v>
      </c>
      <c r="BE173" s="865">
        <f>IF(INDEX(HwyTransitModelGroup,A146,1)=PARAMETERS!$J$11,0.00000110231131*((C173-D173)*PARAMETERS!$CW$37),0)</f>
        <v>0</v>
      </c>
      <c r="BF173" s="729">
        <f t="shared" si="66"/>
        <v>32.373217001830128</v>
      </c>
      <c r="BG173" s="867">
        <f t="shared" si="67"/>
        <v>39094.448781722327</v>
      </c>
      <c r="BH173" s="867">
        <f t="shared" si="68"/>
        <v>3960.648630720224</v>
      </c>
      <c r="BI173" s="867">
        <f t="shared" si="69"/>
        <v>823.30872518874855</v>
      </c>
      <c r="BJ173" s="867">
        <f t="shared" si="70"/>
        <v>299.12844856900546</v>
      </c>
      <c r="BK173" s="869">
        <f t="shared" si="71"/>
        <v>9.885587784959899</v>
      </c>
      <c r="BL173" s="374"/>
      <c r="BN173" s="375">
        <f t="shared" si="76"/>
        <v>2039</v>
      </c>
      <c r="BO173" s="871">
        <f t="shared" ca="1" si="74"/>
        <v>-8.6362898844946238E-5</v>
      </c>
      <c r="BP173" s="871">
        <f t="shared" ca="1" si="77"/>
        <v>-2.8576649314295232E-4</v>
      </c>
      <c r="BQ173" s="871">
        <f t="shared" ca="1" si="77"/>
        <v>-2.8853542199188081E-4</v>
      </c>
      <c r="BR173" s="871">
        <f t="shared" ca="1" si="77"/>
        <v>-4.1476249532643892E-3</v>
      </c>
      <c r="BS173" s="871">
        <f t="shared" ca="1" si="77"/>
        <v>1.4389073513354542E-2</v>
      </c>
      <c r="BT173" s="871">
        <f t="shared" ca="1" si="77"/>
        <v>1.7314815791354299E-2</v>
      </c>
    </row>
    <row r="174" spans="2:72" x14ac:dyDescent="0.25">
      <c r="B174" s="375">
        <f t="shared" si="72"/>
        <v>2045</v>
      </c>
      <c r="C174" s="401">
        <f>MAX(TREND(C152:C153,B152:B153,B174),0)</f>
        <v>23158684.25</v>
      </c>
      <c r="D174" s="402">
        <f>MAX(TREND(D152:D153,B152:B153,B174),0)</f>
        <v>20516212</v>
      </c>
      <c r="E174" s="401">
        <f>MAX(TREND(E152:E153,B152:B153,B174),0)</f>
        <v>335070</v>
      </c>
      <c r="F174" s="402">
        <f>MAX(TREND(F152:F153,B152:B153,B174),0)</f>
        <v>295978.5</v>
      </c>
      <c r="G174" s="401">
        <f>MAX(TREND(G152:G153,B152:B153,B174),0)</f>
        <v>0</v>
      </c>
      <c r="H174" s="402">
        <f>MAX(TREND(H152:H153,B152:B153,B174),0)</f>
        <v>0</v>
      </c>
      <c r="I174" s="401">
        <f>MAX(TREND(I152:I153,B152:B153,B174),0)</f>
        <v>0</v>
      </c>
      <c r="J174" s="402">
        <f>MAX(TREND(J152:J153,B152:B153,B174),0)</f>
        <v>0</v>
      </c>
      <c r="K174" s="435">
        <f>IFERROR(IF(INDEX(HwyTransitModelGroup,A146,1)=Hwy,MAX(5,ROUND(C174/E174,1)),MAX(5,ROUND(G174/I174,1))),55)</f>
        <v>69.099999999999994</v>
      </c>
      <c r="L174" s="436">
        <f>IFERROR(IF(INDEX(HwyTransitModelGroup,A146,1)=Hwy,MAX(5,ROUND(D174/F174,1)),MAX(5,ROUND(H174/J174,1))),55)</f>
        <v>69.3</v>
      </c>
      <c r="M174" s="405">
        <f>MIN(MAX(TREND(M152:M153,B152:B153,B174),0),1)</f>
        <v>0.24</v>
      </c>
      <c r="N174" s="406">
        <f>MIN(MAX(TREND(N152:N153,B152:B153,B174),0),1)</f>
        <v>0.24</v>
      </c>
      <c r="O174" s="401">
        <f>MAX(TREND(O152:O153,B152:B153,B174),0)</f>
        <v>0</v>
      </c>
      <c r="P174" s="402">
        <f>MAX(TREND(P152:P153,B152:B153,B174),0)</f>
        <v>0</v>
      </c>
      <c r="Q174" s="729">
        <f>IF(INDEX(HwyTransitModelGroup,A146,1)=Hwy,C174*(1-M174)*0.00000110231131*(VLOOKUP(K174,EmAuto20,2)*VLOOKUP(ProjLoc,EmCost,2)+VLOOKUP(K174,EmAuto20,3)*VLOOKUP(ProjLoc,EmCost,3)*(1+CO2Uprater)^($B174-YearCurrent)+VLOOKUP(K174,EmAuto20,4)*VLOOKUP(ProjLoc,EmCost,4)+VLOOKUP(K174,EmAuto20,5)*VLOOKUP(ProjLoc,EmCost,5)+VLOOKUP(K174,EmAuto20,6)*VLOOKUP(ProjLoc,EmCost,6)+VLOOKUP(K174,EmAuto20,7)*VLOOKUP(ProjLoc,EmCost,7))+C174*M174*0.00000110231131*(VLOOKUP(K174,EmTruck20,2)*VLOOKUP(ProjLoc,EmCost,2)+VLOOKUP(K174,EmTruck20,3)*VLOOKUP(ProjLoc,EmCost,3)*(1+CO2Uprater)^($B174-YearCurrent)+VLOOKUP(K174,EmTruck20,4)*VLOOKUP(ProjLoc,EmCost,4)+VLOOKUP(K174,EmTruck20,5)*VLOOKUP(ProjLoc,EmCost,5)+VLOOKUP(K174,EmTruck20,6)*VLOOKUP(ProjLoc,EmCost,6)+VLOOKUP(K174,EmTruck20,7)*VLOOKUP(ProjLoc,EmCost,7)),0)</f>
        <v>960742.59241611185</v>
      </c>
      <c r="R174" s="802">
        <f>IF(INDEX(HwyTransitModelGroup,A146,1)=Hwy,D174*(1-N174)*0.00000110231131*(VLOOKUP(L174,EmAuto20,2)*VLOOKUP(ProjLoc,EmCost,2)+VLOOKUP(L174,EmAuto20,3)*VLOOKUP(ProjLoc,EmCost,3)*(1+CO2Uprater)^($B174-YearCurrent)+VLOOKUP(L174,EmAuto20,4)*VLOOKUP(ProjLoc,EmCost,4)+VLOOKUP(L174,EmAuto20,5)*VLOOKUP(ProjLoc,EmCost,5)+VLOOKUP(L174,EmAuto20,6)*VLOOKUP(ProjLoc,EmCost,6)+VLOOKUP(L174,EmAuto20,7)*VLOOKUP(ProjLoc,EmCost,7))+D174*N174*0.00000110231131*(VLOOKUP(L174,EmTruck20,2)*VLOOKUP(ProjLoc,EmCost,2)+VLOOKUP(L174,EmTruck20,3)*VLOOKUP(ProjLoc,EmCost,3)*(1+CO2Uprater)^($B174-YearCurrent)+VLOOKUP(L174,EmTruck20,4)*VLOOKUP(ProjLoc,EmCost,4)+VLOOKUP(L174,EmTruck20,5)*VLOOKUP(ProjLoc,EmCost,5)+VLOOKUP(L174,EmTruck20,6)*VLOOKUP(ProjLoc,EmCost,6)+VLOOKUP(L174,EmTruck20,7)*VLOOKUP(ProjLoc,EmCost,7)),0)</f>
        <v>851119.10895536048</v>
      </c>
      <c r="S174" s="729">
        <f>IF(INDEX(HwyTransitModelGroup,A146,1)=Hwy,O174*(1-M174)*0.00000110231131*(VLOOKUP(0,EmAuto20,2)*VLOOKUP(ProjLoc,EmCost,2)+VLOOKUP(0,EmAuto20,3)*VLOOKUP(ProjLoc,EmCost,3)*(1+CO2Uprater)^($B174-YearCurrent)+VLOOKUP(0,EmAuto20,4)*VLOOKUP(ProjLoc,EmCost,4)+VLOOKUP(0,EmAuto20,5)*VLOOKUP(ProjLoc,EmCost,5)+VLOOKUP(0,EmAuto20,6)*VLOOKUP(ProjLoc,EmCost,6)+VLOOKUP(0,EmAuto20,7)*VLOOKUP(ProjLoc,EmCost,7))+O174*M174*0.00000110231131*(VLOOKUP(0,EmTruck20,2)*VLOOKUP(ProjLoc,EmCost,2)+VLOOKUP(0,EmTruck20,3)*VLOOKUP(ProjLoc,EmCost,3)*(1+CO2Uprater)^($B174-YearCurrent)+VLOOKUP(0,EmTruck20,4)*VLOOKUP(ProjLoc,EmCost,4)+VLOOKUP(0,EmTruck20,5)*VLOOKUP(ProjLoc,EmCost,5)+VLOOKUP(0,EmTruck20,6)*VLOOKUP(ProjLoc,EmCost,6)+VLOOKUP(0,EmTruck20,7)*VLOOKUP(ProjLoc,EmCost,7)),0)</f>
        <v>0</v>
      </c>
      <c r="T174" s="802">
        <f>IF(INDEX(HwyTransitModelGroup,A146,1)=Hwy,P174*(1-N174)*0.00000110231131*(VLOOKUP(0,EmAuto20,2)*VLOOKUP(ProjLoc,EmCost,2)+VLOOKUP(0,EmAuto20,3)*VLOOKUP(ProjLoc,EmCost,3)*(1+CO2Uprater)^($B174-YearCurrent)+VLOOKUP(0,EmAuto20,4)*VLOOKUP(ProjLoc,EmCost,4)+VLOOKUP(0,EmAuto20,5)*VLOOKUP(ProjLoc,EmCost,5)+VLOOKUP(0,EmAuto20,6)*VLOOKUP(ProjLoc,EmCost,6)+VLOOKUP(0,EmAuto20,7)*VLOOKUP(ProjLoc,EmCost,7))+P174*N174*0.00000110231131*(VLOOKUP(0,EmTruck20,2)*VLOOKUP(ProjLoc,EmCost,2)+VLOOKUP(0,EmTruck20,3)*VLOOKUP(ProjLoc,EmCost,3)*(1+CO2Uprater)^($B174-YearCurrent)+VLOOKUP(0,EmTruck20,4)*VLOOKUP(ProjLoc,EmCost,4)+VLOOKUP(0,EmTruck20,5)*VLOOKUP(ProjLoc,EmCost,5)+VLOOKUP(0,EmTruck20,6)*VLOOKUP(ProjLoc,EmCost,6)+VLOOKUP(0,EmTruck20,7)*VLOOKUP(ProjLoc,EmCost,7)),0)</f>
        <v>0</v>
      </c>
      <c r="U174" s="729">
        <f>IF(INDEX(HwyTransitModelGroup,A146,1)=PARAMETERS!$J$9,C174*0.00000110231131*(VLOOKUP(K174,EmBus20,2)*VLOOKUP(ProjLoc,EmCost,2)+VLOOKUP(K174,EmBus20,3)*VLOOKUP(ProjLoc,EmCost,3)*(1+CO2Uprater)^($B174-YearCurrent)+VLOOKUP(K174,EmBus20,4)*VLOOKUP(ProjLoc,EmCost,4)+VLOOKUP(K174,EmBus20,5)*VLOOKUP(ProjLoc,EmCost,5)+VLOOKUP(K174,EmBus20,6)*VLOOKUP(ProjLoc,EmCost,6)+VLOOKUP(K174,EmBus20,7)*VLOOKUP(ProjLoc,EmCost,7)),0)</f>
        <v>0</v>
      </c>
      <c r="V174" s="802">
        <f>IF(INDEX(HwyTransitModelGroup,A146,1)=PARAMETERS!$J$9,D174*0.00000110231131*(VLOOKUP(L174,EmBus20,2)*VLOOKUP(ProjLoc,EmCost,2)+VLOOKUP(L174,EmBus20,3)*VLOOKUP(ProjLoc,EmCost,3)*(1+CO2Uprater)^($B174-YearCurrent)+VLOOKUP(L174,EmBus20,4)*VLOOKUP(ProjLoc,EmCost,4)+VLOOKUP(L174,EmBus20,5)*VLOOKUP(ProjLoc,EmCost,5)+VLOOKUP(L174,EmBus20,6)*VLOOKUP(ProjLoc,EmCost,6)+VLOOKUP(L174,EmBus20,7)*VLOOKUP(ProjLoc,EmCost,7)),0)</f>
        <v>0</v>
      </c>
      <c r="W174" s="808">
        <f>IF(INDEX(HwyTransitModelGroup,A146,1)=PARAMETERS!$J$10,C174*0.00000110231131*(PARAMETERS!$CQ$29*VLOOKUP(ProjLoc,EmCost,2)+PARAMETERS!$CR$29*VLOOKUP(ProjLoc,EmCost,3)*(1+CO2Uprater)^($B174-YearCurrent)+PARAMETERS!$CS$29*VLOOKUP(ProjLoc,EmCost,4)+PARAMETERS!$CT$29*VLOOKUP(ProjLoc,EmCost,5)+PARAMETERS!$CU$29*VLOOKUP(ProjLoc,EmCost,6)+PARAMETERS!$CV$29*VLOOKUP(ProjLoc,EmCost,7)),0)</f>
        <v>0</v>
      </c>
      <c r="X174" s="844">
        <f>IF(INDEX(HwyTransitModelGroup,A146,1)=PARAMETERS!$J$10,D174*0.00000110231131*(PARAMETERS!$CQ$29*VLOOKUP(ProjLoc,EmCost,2)+PARAMETERS!$CR$29*VLOOKUP(ProjLoc,EmCost,3)*(1+CO2Uprater)^($B174-YearCurrent)+PARAMETERS!$CS$29*VLOOKUP(ProjLoc,EmCost,4)+PARAMETERS!$CT$29*VLOOKUP(ProjLoc,EmCost,5)+PARAMETERS!$CU$29*VLOOKUP(ProjLoc,EmCost,6)+PARAMETERS!$CV$29*VLOOKUP(ProjLoc,EmCost,7)),0)</f>
        <v>0</v>
      </c>
      <c r="Y174" s="808">
        <f>IF(INDEX(HwyTransitModelGroup,A146,1)=PARAMETERS!$J$11,C174*0.00000110231131*(PARAMETERS!$CQ$37*VLOOKUP(ProjLoc,EmCost,2)+PARAMETERS!$CR$37*VLOOKUP(ProjLoc,EmCost,3)*(1+CO2Uprater)^($B174-YearCurrent)+PARAMETERS!$CS$37*VLOOKUP(ProjLoc,EmCost,4)+PARAMETERS!$CT$37*VLOOKUP(ProjLoc,EmCost,5)+PARAMETERS!$CU$37*VLOOKUP(ProjLoc,EmCost,6)+PARAMETERS!$CV$37*VLOOKUP(ProjLoc,EmCost,7)),0)</f>
        <v>0</v>
      </c>
      <c r="Z174" s="844">
        <f>IF(INDEX(HwyTransitModelGroup,A146,1)=PARAMETERS!$J$11,D174*0.00000110231131*(PARAMETERS!$CQ$37*VLOOKUP(ProjLoc,EmCost,2)+PARAMETERS!$CR$37*VLOOKUP(ProjLoc,EmCost,3)*(1+CO2Uprater)^($B174-YearCurrent)+PARAMETERS!$CS$37*VLOOKUP(ProjLoc,EmCost,4)+PARAMETERS!$CT$37*VLOOKUP(ProjLoc,EmCost,5)+PARAMETERS!$CU$37*VLOOKUP(ProjLoc,EmCost,6)+PARAMETERS!$CV$37*VLOOKUP(ProjLoc,EmCost,7)),0)</f>
        <v>0</v>
      </c>
      <c r="AA174" s="369">
        <f t="shared" si="64"/>
        <v>109623.48346075136</v>
      </c>
      <c r="AB174" s="370">
        <f t="shared" si="65"/>
        <v>44477.133990064714</v>
      </c>
      <c r="AC174" s="371"/>
      <c r="AD174" s="401">
        <f>IF(INDEX(HwyTransitModelGroup,A146,1)=Hwy,0.00000110231131*(C174*(1-M174)*VLOOKUP(K174,EmAuto20,2)-D174*(1-N174)*VLOOKUP(L174,EmAuto20,2)+(O174*(1-M174)-P174*(1-N174))*VLOOKUP(0,EmAuto20,2))+0.00000110231131*(C174*M174*VLOOKUP(K174,EmTruck20,2)-D174*N174*VLOOKUP(L174,EmTruck20,2)+(O174*M174-P174*N174)*VLOOKUP(0,EmTruck20,2)),0)</f>
        <v>0.98575892942718302</v>
      </c>
      <c r="AE174" s="863">
        <f>IF(INDEX(HwyTransitModelGroup,A146,1)=Hwy,0.00000110231131*(C174*(1-M174)*VLOOKUP(K174,EmAuto20,3)-D174*(1-N174)*VLOOKUP(L174,EmAuto20,3)+(O174*(1-M174)-P174*(1-N174))*VLOOKUP(0,EmAuto20,3))+0.00000110231131*(C174*M174*VLOOKUP(K174,EmTruck20,3)-D174*N174*VLOOKUP(L174,EmTruck20,3)+(O174*M174-P174*N174)*VLOOKUP(0,EmTruck20,3)),0)</f>
        <v>1283.3494427113947</v>
      </c>
      <c r="AF174" s="861">
        <f>IF(INDEX(HwyTransitModelGroup,A146,1)=Hwy,0.00000110231131*(C174*(1-M174)*VLOOKUP(K174,EmAuto20,4)-D174*(1-N174)*VLOOKUP(L174,EmAuto20,4)+(O174*(1-M174)-P174*(1-N174))*VLOOKUP(0,EmAuto20,4))+0.00000110231131*(C174*M174*VLOOKUP(K174,EmTruck20,4)-D174*N174*VLOOKUP(L174,EmTruck20,4)+(O174*M174-P174*N174)*VLOOKUP(0,EmTruck20,4)),0)</f>
        <v>0.63894608983933887</v>
      </c>
      <c r="AG174" s="863">
        <f>IF(INDEX(HwyTransitModelGroup,A146,1)=Hwy,0.00000110231131*(C174*(1-M174)*VLOOKUP(K174,EmAuto20,5)-D174*(1-N174)*VLOOKUP(L174,EmAuto20,5)+(O174*(1-M174)-P174*(1-N174))*VLOOKUP(0,EmAuto20,5))+0.00000110231131*(C174*M174*VLOOKUP(K174,EmTruck20,5)-D174*N174*VLOOKUP(L174,EmTruck20,5)+(O174*M174-P174*N174)*VLOOKUP(0,EmTruck20,5)),0)</f>
        <v>1.7185679580463267E-2</v>
      </c>
      <c r="AH174" s="861">
        <f>IF(INDEX(HwyTransitModelGroup,A146,1)=Hwy,0.00000110231131*(C174*(1-M174)*VLOOKUP(K174,EmAuto20,6)-D174*(1-N174)*VLOOKUP(L174,EmAuto20,6)+(O174*(1-M174)-P174*(1-N174))*VLOOKUP(0,EmAuto20,6))+0.00000110231131*(C174*M174*VLOOKUP(K174,EmTruck20,6)-D174*N174*VLOOKUP(L174,EmTruck20,6)+(O174*M174-P174*N174)*VLOOKUP(0,EmTruck20,6)),0)</f>
        <v>1.2350386681553258E-2</v>
      </c>
      <c r="AI174" s="863">
        <f>IF(INDEX(HwyTransitModelGroup,A146,1)=Hwy,0.00000110231131*(C174*(1-M174)*VLOOKUP(K174,EmAuto20,7)-D174*(1-N174)*VLOOKUP(L174,EmAuto20,7)+(O174*(1-M174)-P174*(1-N174))*VLOOKUP(0,EmAuto20,7))+0.00000110231131*(C174*M174*VLOOKUP(K174,EmTruck20,7)-D174*N174*VLOOKUP(L174,EmTruck20,7)+(O174*M174-P174*N174)*VLOOKUP(0,EmTruck20,7)),0)</f>
        <v>2.1694735850049225E-2</v>
      </c>
      <c r="AJ174" s="861">
        <f>IF(INDEX(HwyTransitModelGroup,A146,1)=Hwy,0.00000110231131*(C174*(1-M174)*VLOOKUP(K174,EmAuto20,8)-D174*(1-N174)*VLOOKUP(L174,EmAuto20,8)+(O174*(1-M174)-P174*(1-N174))*VLOOKUP(0,EmAuto20,8))+0.00000110231131*(C174*M174*VLOOKUP(K174,EmTruck20,8)-D174*N174*VLOOKUP(L174,EmTruck20,8)+(O174*M174-P174*N174)*VLOOKUP(0,EmTruck20,8)),0)</f>
        <v>1.6486601089054594E-2</v>
      </c>
      <c r="AK174" s="401">
        <f>IF(INDEX(HwyTransitModelGroup,A146,1)=PARAMETERS!$J$9,0.00000110231131*(C174*VLOOKUP(K174,EmBus20,2)-D174*VLOOKUP(L174,EmBus20,2)+(O174-P174)*VLOOKUP(0,EmBus20,2)),0)</f>
        <v>0</v>
      </c>
      <c r="AL174" s="863">
        <f>IF(INDEX(HwyTransitModelGroup,A146,1)=PARAMETERS!$J$9,0.00000110231131*(C174*VLOOKUP(K174,EmBus20,3)-D174*VLOOKUP(L174,EmBus20,3)+(O174-P174)*VLOOKUP(0,EmBus20,3)),0)</f>
        <v>0</v>
      </c>
      <c r="AM174" s="861">
        <f>IF(INDEX(HwyTransitModelGroup,A146,1)=PARAMETERS!$J$9,0.00000110231131*(C174*VLOOKUP(K174,EmBus20,4)-D174*VLOOKUP(L174,EmBus20,4)+(O174-P174)*VLOOKUP(0,EmBus20,4)),0)</f>
        <v>0</v>
      </c>
      <c r="AN174" s="863">
        <f>IF(INDEX(HwyTransitModelGroup,A146,1)=PARAMETERS!$J$9,0.00000110231131*(C174*VLOOKUP(K174,EmBus20,5)-D174*VLOOKUP(L174,EmBus20,5)+(O174-P174)*VLOOKUP(0,EmBus20,5)),0)</f>
        <v>0</v>
      </c>
      <c r="AO174" s="861">
        <f>IF(INDEX(HwyTransitModelGroup,A146,1)=PARAMETERS!$J$9,0.00000110231131*(C174*VLOOKUP(K174,EmBus20,6)-D174*VLOOKUP(L174,EmBus20,6)+(O174-P174)*VLOOKUP(0,EmBus20,6)),0)</f>
        <v>0</v>
      </c>
      <c r="AP174" s="863">
        <f>IF(INDEX(HwyTransitModelGroup,A146,1)=PARAMETERS!$J$9,0.00000110231131*(C174*VLOOKUP(K174,EmBus20,7)-D174*VLOOKUP(L174,EmBus20,7)+(O174-P174)*VLOOKUP(0,EmBus20,7)),0)</f>
        <v>0</v>
      </c>
      <c r="AQ174" s="861">
        <f>IF(INDEX(HwyTransitModelGroup,A146,1)=PARAMETERS!$J$9,0.00000110231131*(C174*VLOOKUP(K174,EmBus20,8)-D174*VLOOKUP(L174,EmBus20,8)+(O174-P174)*VLOOKUP(0,EmBus20,8)),0)</f>
        <v>0</v>
      </c>
      <c r="AR174" s="401">
        <f>IF(INDEX(HwyTransitModelGroup,A146,1)=PARAMETERS!$J$10,0.00000110231131*((C174-D174)*PARAMETERS!$CQ$29),0)</f>
        <v>0</v>
      </c>
      <c r="AS174" s="863">
        <f>IF(INDEX(HwyTransitModelGroup,A146,1)=PARAMETERS!$J$10,0.00000110231131*((C174-D174)*PARAMETERS!$CR$29),0)</f>
        <v>0</v>
      </c>
      <c r="AT174" s="861">
        <f>IF(INDEX(HwyTransitModelGroup,A146,1)=PARAMETERS!$J$10,0.00000110231131*((C174-D174)*PARAMETERS!$CS$29),0)</f>
        <v>0</v>
      </c>
      <c r="AU174" s="863">
        <f>IF(INDEX(HwyTransitModelGroup,A146,1)=PARAMETERS!$J$10,0.00000110231131*((C174-D174)*PARAMETERS!$CT$29),0)</f>
        <v>0</v>
      </c>
      <c r="AV174" s="861">
        <f>IF(INDEX(HwyTransitModelGroup,A146,1)=PARAMETERS!$J$10,0.00000110231131*((C174-D174)*PARAMETERS!$CU$29),0)</f>
        <v>0</v>
      </c>
      <c r="AW174" s="863">
        <f>IF(INDEX(HwyTransitModelGroup,A146,1)=PARAMETERS!$J$10,0.00000110231131*((C174-D174)*PARAMETERS!$CV$29),0)</f>
        <v>0</v>
      </c>
      <c r="AX174" s="861">
        <f>IF(INDEX(HwyTransitModelGroup,A146,1)=PARAMETERS!$J$10,0.00000110231131*((C174-D174)*PARAMETERS!$CW$29),0)</f>
        <v>0</v>
      </c>
      <c r="AY174" s="401">
        <f>IF(INDEX(HwyTransitModelGroup,A146,1)=PARAMETERS!$J$11,0.00000110231131*((C174-D174)*PARAMETERS!$CQ$37),0)</f>
        <v>0</v>
      </c>
      <c r="AZ174" s="863">
        <f>IF(INDEX(HwyTransitModelGroup,A146,1)=PARAMETERS!$J$11,0.00000110231131*((C174-D174)*PARAMETERS!$CR$37),0)</f>
        <v>0</v>
      </c>
      <c r="BA174" s="861">
        <f>IF(INDEX(HwyTransitModelGroup,A146,1)=PARAMETERS!$J$11,0.00000110231131*((C174-D174)*PARAMETERS!$CS$37),0)</f>
        <v>0</v>
      </c>
      <c r="BB174" s="863">
        <f>IF(INDEX(HwyTransitModelGroup,A146,1)=PARAMETERS!$J$11,0.00000110231131*((C174-D174)*PARAMETERS!$CT$37),0)</f>
        <v>0</v>
      </c>
      <c r="BC174" s="861">
        <f>IF(INDEX(HwyTransitModelGroup,A146,1)=PARAMETERS!$J$11,0.00000110231131*((C174-D174)*PARAMETERS!$CU$37),0)</f>
        <v>0</v>
      </c>
      <c r="BD174" s="863">
        <f>IF(INDEX(HwyTransitModelGroup,A146,1)=PARAMETERS!$J$11,0.00000110231131*((C174-D174)*PARAMETERS!$CV$37),0)</f>
        <v>0</v>
      </c>
      <c r="BE174" s="865">
        <f>IF(INDEX(HwyTransitModelGroup,A146,1)=PARAMETERS!$J$11,0.00000110231131*((C174-D174)*PARAMETERS!$CW$37),0)</f>
        <v>0</v>
      </c>
      <c r="BF174" s="729">
        <f t="shared" si="66"/>
        <v>31.995868477748566</v>
      </c>
      <c r="BG174" s="867">
        <f t="shared" si="67"/>
        <v>39411.531396046834</v>
      </c>
      <c r="BH174" s="867">
        <f t="shared" si="68"/>
        <v>3914.4825386965776</v>
      </c>
      <c r="BI174" s="867">
        <f t="shared" si="69"/>
        <v>813.71207829709431</v>
      </c>
      <c r="BJ174" s="867">
        <f t="shared" si="70"/>
        <v>295.64174909851573</v>
      </c>
      <c r="BK174" s="869">
        <f t="shared" si="71"/>
        <v>9.7703594479020577</v>
      </c>
      <c r="BL174" s="374"/>
      <c r="BN174" s="375">
        <f t="shared" si="76"/>
        <v>2040</v>
      </c>
      <c r="BO174" s="871">
        <f t="shared" ca="1" si="74"/>
        <v>-9.6361620816827221E-5</v>
      </c>
      <c r="BP174" s="871">
        <f t="shared" ca="1" si="77"/>
        <v>-2.901486590033108E-4</v>
      </c>
      <c r="BQ174" s="871">
        <f t="shared" ca="1" si="77"/>
        <v>-2.9297472064743668E-4</v>
      </c>
      <c r="BR174" s="871">
        <f t="shared" ca="1" si="77"/>
        <v>-4.193213061333005E-3</v>
      </c>
      <c r="BS174" s="871">
        <f t="shared" ca="1" si="77"/>
        <v>1.4855174524539291E-2</v>
      </c>
      <c r="BT174" s="871">
        <f t="shared" ca="1" si="77"/>
        <v>1.7694272102216989E-2</v>
      </c>
    </row>
    <row r="175" spans="2:72" x14ac:dyDescent="0.25">
      <c r="B175" s="385"/>
      <c r="C175" s="386"/>
      <c r="D175" s="386"/>
      <c r="E175" s="386"/>
      <c r="F175" s="386"/>
      <c r="G175" s="386"/>
      <c r="H175" s="386"/>
      <c r="I175" s="386"/>
      <c r="J175" s="386"/>
      <c r="K175" s="388"/>
      <c r="L175" s="388"/>
      <c r="M175" s="386"/>
      <c r="N175" s="386"/>
      <c r="O175" s="388"/>
      <c r="P175" s="388"/>
      <c r="Q175" s="388"/>
      <c r="R175" s="388"/>
      <c r="S175" s="388"/>
      <c r="T175" s="388"/>
      <c r="U175" s="388"/>
      <c r="V175" s="388"/>
      <c r="W175" s="388"/>
      <c r="X175" s="388"/>
      <c r="Y175" s="388"/>
      <c r="Z175" s="388"/>
      <c r="AA175" s="388"/>
      <c r="AB175" s="389"/>
      <c r="AC175" s="390"/>
      <c r="AD175" s="847"/>
      <c r="AE175" s="389"/>
      <c r="AF175" s="389"/>
      <c r="AG175" s="389"/>
      <c r="AH175" s="389"/>
      <c r="AI175" s="389"/>
      <c r="AJ175" s="848"/>
      <c r="AK175" s="390"/>
      <c r="AL175" s="390"/>
      <c r="AM175" s="390"/>
      <c r="AN175" s="390"/>
      <c r="AO175" s="390"/>
      <c r="AP175" s="390"/>
      <c r="AQ175" s="390"/>
      <c r="AR175" s="390"/>
      <c r="AS175" s="390"/>
      <c r="AT175" s="390"/>
      <c r="AU175" s="390"/>
      <c r="AV175" s="390"/>
      <c r="AW175" s="390"/>
      <c r="AX175" s="390"/>
      <c r="AY175" s="390"/>
      <c r="AZ175" s="390"/>
      <c r="BA175" s="390"/>
      <c r="BB175" s="390"/>
      <c r="BC175" s="390"/>
      <c r="BD175" s="390"/>
      <c r="BE175" s="390"/>
      <c r="BF175" s="390"/>
      <c r="BG175" s="390"/>
      <c r="BH175" s="390"/>
      <c r="BI175" s="390"/>
      <c r="BJ175" s="390"/>
      <c r="BK175" s="390"/>
      <c r="BL175" s="374"/>
      <c r="BN175" s="375">
        <f t="shared" si="76"/>
        <v>2041</v>
      </c>
      <c r="BO175" s="871">
        <f t="shared" ca="1" si="74"/>
        <v>-1.0636034278870871E-4</v>
      </c>
      <c r="BP175" s="871">
        <f t="shared" ca="1" si="77"/>
        <v>-4.4522621672548306E-4</v>
      </c>
      <c r="BQ175" s="871">
        <f t="shared" ca="1" si="77"/>
        <v>-2.9741401930299255E-4</v>
      </c>
      <c r="BR175" s="871">
        <f t="shared" ca="1" si="77"/>
        <v>-4.2388011694016198E-3</v>
      </c>
      <c r="BS175" s="871">
        <f t="shared" ca="1" si="77"/>
        <v>1.5321275535724106E-2</v>
      </c>
      <c r="BT175" s="871">
        <f t="shared" ca="1" si="77"/>
        <v>1.8073728413079665E-2</v>
      </c>
    </row>
    <row r="176" spans="2:72" x14ac:dyDescent="0.25">
      <c r="B176" s="407" t="s">
        <v>56</v>
      </c>
      <c r="C176" s="413"/>
      <c r="D176" s="414"/>
      <c r="E176" s="414"/>
      <c r="F176" s="414"/>
      <c r="G176" s="414"/>
      <c r="H176" s="414"/>
      <c r="I176" s="414"/>
      <c r="J176" s="414"/>
      <c r="K176" s="414"/>
      <c r="L176" s="414"/>
      <c r="M176" s="414"/>
      <c r="N176" s="414"/>
      <c r="O176" s="414"/>
      <c r="P176" s="414"/>
      <c r="Q176" s="414"/>
      <c r="R176" s="415"/>
      <c r="S176" s="414"/>
      <c r="T176" s="415"/>
      <c r="U176" s="415"/>
      <c r="V176" s="415"/>
      <c r="W176" s="415"/>
      <c r="X176" s="415"/>
      <c r="Y176" s="415"/>
      <c r="Z176" s="415"/>
      <c r="AA176" s="414"/>
      <c r="AB176" s="409">
        <f>SUM(AB155:AB174)</f>
        <v>886751.33138721297</v>
      </c>
      <c r="AC176" s="416"/>
      <c r="AD176" s="438">
        <f t="shared" ref="AD176:BK176" si="78">SUM(AD155:AD174)</f>
        <v>18.01292848013906</v>
      </c>
      <c r="AE176" s="699">
        <f t="shared" si="78"/>
        <v>20573.702466628256</v>
      </c>
      <c r="AF176" s="699">
        <f t="shared" si="78"/>
        <v>11.424798304803394</v>
      </c>
      <c r="AG176" s="699">
        <f t="shared" si="78"/>
        <v>0.27773010187287206</v>
      </c>
      <c r="AH176" s="699">
        <f t="shared" si="78"/>
        <v>0.19832332965954008</v>
      </c>
      <c r="AI176" s="699">
        <f t="shared" si="78"/>
        <v>0.45644619886656768</v>
      </c>
      <c r="AJ176" s="700">
        <f t="shared" si="78"/>
        <v>0.26591976036292209</v>
      </c>
      <c r="AK176" s="438">
        <f t="shared" si="78"/>
        <v>0</v>
      </c>
      <c r="AL176" s="699">
        <f t="shared" si="78"/>
        <v>0</v>
      </c>
      <c r="AM176" s="699">
        <f t="shared" si="78"/>
        <v>0</v>
      </c>
      <c r="AN176" s="699">
        <f t="shared" si="78"/>
        <v>0</v>
      </c>
      <c r="AO176" s="699">
        <f t="shared" si="78"/>
        <v>0</v>
      </c>
      <c r="AP176" s="699">
        <f t="shared" si="78"/>
        <v>0</v>
      </c>
      <c r="AQ176" s="700">
        <f t="shared" si="78"/>
        <v>0</v>
      </c>
      <c r="AR176" s="438">
        <f t="shared" si="78"/>
        <v>0</v>
      </c>
      <c r="AS176" s="699">
        <f t="shared" si="78"/>
        <v>0</v>
      </c>
      <c r="AT176" s="699">
        <f t="shared" si="78"/>
        <v>0</v>
      </c>
      <c r="AU176" s="699">
        <f t="shared" si="78"/>
        <v>0</v>
      </c>
      <c r="AV176" s="699">
        <f t="shared" si="78"/>
        <v>0</v>
      </c>
      <c r="AW176" s="699">
        <f t="shared" si="78"/>
        <v>0</v>
      </c>
      <c r="AX176" s="700">
        <f t="shared" si="78"/>
        <v>0</v>
      </c>
      <c r="AY176" s="438">
        <f t="shared" si="78"/>
        <v>0</v>
      </c>
      <c r="AZ176" s="699">
        <f t="shared" si="78"/>
        <v>0</v>
      </c>
      <c r="BA176" s="699">
        <f t="shared" si="78"/>
        <v>0</v>
      </c>
      <c r="BB176" s="699">
        <f t="shared" si="78"/>
        <v>0</v>
      </c>
      <c r="BC176" s="699">
        <f t="shared" si="78"/>
        <v>0</v>
      </c>
      <c r="BD176" s="699">
        <f t="shared" si="78"/>
        <v>0</v>
      </c>
      <c r="BE176" s="700">
        <f t="shared" si="78"/>
        <v>0</v>
      </c>
      <c r="BF176" s="704">
        <f t="shared" si="78"/>
        <v>878.34451237292797</v>
      </c>
      <c r="BG176" s="705">
        <f t="shared" si="78"/>
        <v>754932.15233385714</v>
      </c>
      <c r="BH176" s="705">
        <f t="shared" si="78"/>
        <v>104594.97819107036</v>
      </c>
      <c r="BI176" s="705">
        <f t="shared" si="78"/>
        <v>19132.449729367581</v>
      </c>
      <c r="BJ176" s="705">
        <f t="shared" si="78"/>
        <v>6894.7948197029682</v>
      </c>
      <c r="BK176" s="439">
        <f t="shared" si="78"/>
        <v>318.61180084199589</v>
      </c>
      <c r="BL176" s="374"/>
      <c r="BN176" s="375">
        <f t="shared" si="76"/>
        <v>2042</v>
      </c>
      <c r="BO176" s="871">
        <f t="shared" ca="1" si="74"/>
        <v>-1.6431198773801962E-4</v>
      </c>
      <c r="BP176" s="871">
        <f t="shared" ca="1" si="77"/>
        <v>-4.5185249440621121E-4</v>
      </c>
      <c r="BQ176" s="871">
        <f t="shared" ca="1" si="77"/>
        <v>-3.0185331795854831E-4</v>
      </c>
      <c r="BR176" s="871">
        <f t="shared" ca="1" si="77"/>
        <v>-4.2843892774702347E-3</v>
      </c>
      <c r="BS176" s="871">
        <f t="shared" ca="1" si="77"/>
        <v>1.5787376546908889E-2</v>
      </c>
      <c r="BT176" s="871">
        <f t="shared" ca="1" si="77"/>
        <v>1.8453184723942372E-2</v>
      </c>
    </row>
    <row r="177" spans="1:72" x14ac:dyDescent="0.25">
      <c r="B177" s="2"/>
      <c r="C177" s="418"/>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I177" s="2"/>
      <c r="BJ177" s="418"/>
      <c r="BK177" s="418"/>
      <c r="BL177" s="374"/>
      <c r="BN177" s="375">
        <f t="shared" si="76"/>
        <v>2043</v>
      </c>
      <c r="BO177" s="871">
        <f t="shared" ca="1" si="74"/>
        <v>-1.7482249080490777E-4</v>
      </c>
      <c r="BP177" s="871">
        <f t="shared" ca="1" si="77"/>
        <v>-4.5847877208693904E-4</v>
      </c>
      <c r="BQ177" s="871">
        <f t="shared" ca="1" si="77"/>
        <v>-3.0629261661410434E-4</v>
      </c>
      <c r="BR177" s="871">
        <f t="shared" ca="1" si="77"/>
        <v>-4.3299773855388496E-3</v>
      </c>
      <c r="BS177" s="871">
        <f t="shared" ca="1" si="77"/>
        <v>1.6253477558093671E-2</v>
      </c>
      <c r="BT177" s="871">
        <f t="shared" ca="1" si="77"/>
        <v>1.8832641034805035E-2</v>
      </c>
    </row>
    <row r="178" spans="1:72" x14ac:dyDescent="0.25">
      <c r="A178" s="1">
        <f>MAX($A$1:A177)+1</f>
        <v>6</v>
      </c>
      <c r="B178" s="319" t="str">
        <f>IF(ISBLANK(INDEX(ModelGroup,A178,1)),"Not Used",INDEX(ModelGroup,A178,1))</f>
        <v>SB Mainline</v>
      </c>
      <c r="C178" s="2"/>
      <c r="D178" s="2"/>
      <c r="E178" s="2"/>
      <c r="F178" s="2"/>
      <c r="G178" s="2"/>
      <c r="H178" s="2"/>
      <c r="I178" s="2"/>
      <c r="J178" s="2"/>
      <c r="K178" s="2"/>
      <c r="L178" s="2"/>
      <c r="M178" s="2"/>
      <c r="N178" s="2"/>
      <c r="O178" s="2"/>
      <c r="P178" s="320"/>
      <c r="Q178" s="320"/>
      <c r="R178" s="2"/>
      <c r="S178" s="320"/>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I178" s="319"/>
      <c r="BJ178" s="2"/>
      <c r="BK178" s="2"/>
      <c r="BL178" s="374"/>
      <c r="BN178" s="375">
        <f t="shared" si="76"/>
        <v>2044</v>
      </c>
      <c r="BO178" s="871">
        <f t="shared" ca="1" si="74"/>
        <v>-1.8533299387179551E-4</v>
      </c>
      <c r="BP178" s="871">
        <f t="shared" ca="1" si="77"/>
        <v>-4.6510504976766693E-4</v>
      </c>
      <c r="BQ178" s="871">
        <f t="shared" ca="1" si="77"/>
        <v>-3.1073191526965988E-4</v>
      </c>
      <c r="BR178" s="871">
        <f t="shared" ca="1" si="77"/>
        <v>-4.3755654936074653E-3</v>
      </c>
      <c r="BS178" s="871">
        <f t="shared" ca="1" si="77"/>
        <v>1.6719578569278484E-2</v>
      </c>
      <c r="BT178" s="871">
        <f t="shared" ca="1" si="77"/>
        <v>1.9212097345667742E-2</v>
      </c>
    </row>
    <row r="179" spans="1:72" ht="15.75" x14ac:dyDescent="0.25">
      <c r="B179" s="2"/>
      <c r="C179" s="2"/>
      <c r="D179" s="321"/>
      <c r="E179" s="321"/>
      <c r="F179" s="321"/>
      <c r="G179" s="321"/>
      <c r="H179" s="321"/>
      <c r="I179" s="321"/>
      <c r="J179" s="321"/>
      <c r="K179" s="321"/>
      <c r="L179" s="321"/>
      <c r="M179" s="321"/>
      <c r="N179" s="321"/>
      <c r="O179" s="2"/>
      <c r="P179" s="320"/>
      <c r="Q179" s="1788" t="s">
        <v>327</v>
      </c>
      <c r="R179" s="1789"/>
      <c r="S179" s="1789"/>
      <c r="T179" s="1790"/>
      <c r="U179" s="1788" t="s">
        <v>328</v>
      </c>
      <c r="V179" s="1789"/>
      <c r="W179" s="1788" t="s">
        <v>329</v>
      </c>
      <c r="X179" s="1790"/>
      <c r="Y179" s="1788" t="s">
        <v>330</v>
      </c>
      <c r="Z179" s="1790"/>
      <c r="AA179" s="2"/>
      <c r="AB179" s="149"/>
      <c r="AC179" s="149"/>
      <c r="AD179" s="1791" t="s">
        <v>327</v>
      </c>
      <c r="AE179" s="1792"/>
      <c r="AF179" s="1792"/>
      <c r="AG179" s="1792"/>
      <c r="AH179" s="1792"/>
      <c r="AI179" s="1792"/>
      <c r="AJ179" s="1793"/>
      <c r="AK179" s="1791" t="s">
        <v>328</v>
      </c>
      <c r="AL179" s="1792"/>
      <c r="AM179" s="1792"/>
      <c r="AN179" s="1792"/>
      <c r="AO179" s="1792"/>
      <c r="AP179" s="1792"/>
      <c r="AQ179" s="1793"/>
      <c r="AR179" s="1791" t="s">
        <v>329</v>
      </c>
      <c r="AS179" s="1792"/>
      <c r="AT179" s="1792"/>
      <c r="AU179" s="1792"/>
      <c r="AV179" s="1792"/>
      <c r="AW179" s="1792"/>
      <c r="AX179" s="1793"/>
      <c r="AY179" s="1791" t="s">
        <v>330</v>
      </c>
      <c r="AZ179" s="1792"/>
      <c r="BA179" s="1792"/>
      <c r="BB179" s="1792"/>
      <c r="BC179" s="1792"/>
      <c r="BD179" s="1792"/>
      <c r="BE179" s="1793"/>
      <c r="BF179" s="149"/>
      <c r="BG179" s="149"/>
      <c r="BI179" s="2"/>
      <c r="BJ179" s="2"/>
      <c r="BK179" s="321"/>
      <c r="BL179" s="374"/>
      <c r="BN179" s="375">
        <f t="shared" si="76"/>
        <v>2045</v>
      </c>
      <c r="BO179" s="871">
        <f t="shared" ca="1" si="74"/>
        <v>-1.9584349693868371E-4</v>
      </c>
      <c r="BP179" s="871">
        <f t="shared" ca="1" si="77"/>
        <v>-4.7173132744839514E-4</v>
      </c>
      <c r="BQ179" s="871">
        <f t="shared" ca="1" si="77"/>
        <v>-3.1517121392521592E-4</v>
      </c>
      <c r="BR179" s="871">
        <f t="shared" ca="1" si="77"/>
        <v>-4.4211536016760802E-3</v>
      </c>
      <c r="BS179" s="871">
        <f t="shared" ca="1" si="77"/>
        <v>1.7185679580463267E-2</v>
      </c>
      <c r="BT179" s="871">
        <f t="shared" ca="1" si="77"/>
        <v>1.9591553656530435E-2</v>
      </c>
    </row>
    <row r="180" spans="1:72" ht="15.75" x14ac:dyDescent="0.25">
      <c r="B180" s="322"/>
      <c r="C180" s="325" t="s">
        <v>271</v>
      </c>
      <c r="D180" s="326"/>
      <c r="E180" s="325" t="s">
        <v>190</v>
      </c>
      <c r="F180" s="326"/>
      <c r="G180" s="325" t="s">
        <v>331</v>
      </c>
      <c r="H180" s="326"/>
      <c r="I180" s="325" t="s">
        <v>193</v>
      </c>
      <c r="J180" s="326"/>
      <c r="K180" s="323" t="s">
        <v>272</v>
      </c>
      <c r="L180" s="427"/>
      <c r="M180" s="325" t="s">
        <v>192</v>
      </c>
      <c r="N180" s="326"/>
      <c r="O180" s="323" t="s">
        <v>332</v>
      </c>
      <c r="P180" s="324"/>
      <c r="Q180" s="327" t="s">
        <v>333</v>
      </c>
      <c r="R180" s="328"/>
      <c r="S180" s="327" t="s">
        <v>334</v>
      </c>
      <c r="T180" s="328"/>
      <c r="U180" s="327" t="s">
        <v>333</v>
      </c>
      <c r="V180" s="328"/>
      <c r="W180" s="327" t="s">
        <v>335</v>
      </c>
      <c r="X180" s="328"/>
      <c r="Y180" s="323" t="s">
        <v>335</v>
      </c>
      <c r="Z180" s="323"/>
      <c r="AA180" s="329"/>
      <c r="AB180" s="330"/>
      <c r="AC180" s="2"/>
      <c r="AD180" s="680" t="s">
        <v>336</v>
      </c>
      <c r="AE180" s="680"/>
      <c r="AF180" s="681"/>
      <c r="AG180" s="681"/>
      <c r="AH180" s="681"/>
      <c r="AI180" s="681"/>
      <c r="AJ180" s="683"/>
      <c r="AK180" s="852" t="s">
        <v>336</v>
      </c>
      <c r="AL180" s="681"/>
      <c r="AM180" s="681"/>
      <c r="AN180" s="681"/>
      <c r="AO180" s="681"/>
      <c r="AP180" s="681"/>
      <c r="AQ180" s="683"/>
      <c r="AR180" s="852" t="s">
        <v>336</v>
      </c>
      <c r="AS180" s="681"/>
      <c r="AT180" s="681"/>
      <c r="AU180" s="681"/>
      <c r="AV180" s="681"/>
      <c r="AW180" s="681"/>
      <c r="AX180" s="683"/>
      <c r="AY180" s="852" t="s">
        <v>336</v>
      </c>
      <c r="AZ180" s="681"/>
      <c r="BA180" s="681"/>
      <c r="BB180" s="681"/>
      <c r="BC180" s="681"/>
      <c r="BD180" s="681"/>
      <c r="BE180" s="683"/>
      <c r="BF180" s="849" t="s">
        <v>337</v>
      </c>
      <c r="BG180" s="682"/>
      <c r="BH180" s="681"/>
      <c r="BI180" s="681"/>
      <c r="BJ180" s="681"/>
      <c r="BK180" s="683"/>
      <c r="BL180" s="374"/>
      <c r="BN180" s="385"/>
      <c r="BO180" s="389"/>
      <c r="BP180" s="389"/>
      <c r="BQ180" s="389"/>
      <c r="BR180" s="389"/>
      <c r="BS180" s="389"/>
      <c r="BT180" s="389"/>
    </row>
    <row r="181" spans="1:72" x14ac:dyDescent="0.25">
      <c r="B181" s="335"/>
      <c r="C181" s="338" t="s">
        <v>274</v>
      </c>
      <c r="D181" s="339"/>
      <c r="E181" s="338" t="s">
        <v>275</v>
      </c>
      <c r="F181" s="339"/>
      <c r="G181" s="338" t="s">
        <v>338</v>
      </c>
      <c r="H181" s="339"/>
      <c r="I181" s="338" t="s">
        <v>339</v>
      </c>
      <c r="J181" s="339"/>
      <c r="K181" s="336" t="s">
        <v>276</v>
      </c>
      <c r="L181" s="428"/>
      <c r="M181" s="338" t="s">
        <v>277</v>
      </c>
      <c r="N181" s="339"/>
      <c r="O181" s="336" t="s">
        <v>340</v>
      </c>
      <c r="P181" s="337"/>
      <c r="Q181" s="340" t="s">
        <v>203</v>
      </c>
      <c r="R181" s="341"/>
      <c r="S181" s="340" t="s">
        <v>203</v>
      </c>
      <c r="T181" s="341"/>
      <c r="U181" s="340" t="s">
        <v>203</v>
      </c>
      <c r="V181" s="341"/>
      <c r="W181" s="340" t="s">
        <v>203</v>
      </c>
      <c r="X181" s="341"/>
      <c r="Y181" s="336" t="s">
        <v>203</v>
      </c>
      <c r="Z181" s="336"/>
      <c r="AA181" s="342"/>
      <c r="AB181" s="343"/>
      <c r="AC181" s="2"/>
      <c r="AD181" s="684" t="s">
        <v>341</v>
      </c>
      <c r="AE181" s="684"/>
      <c r="AF181" s="685"/>
      <c r="AG181" s="685"/>
      <c r="AH181" s="685"/>
      <c r="AI181" s="685"/>
      <c r="AJ181" s="686"/>
      <c r="AK181" s="684" t="s">
        <v>341</v>
      </c>
      <c r="AL181" s="685"/>
      <c r="AM181" s="685"/>
      <c r="AN181" s="685"/>
      <c r="AO181" s="685"/>
      <c r="AP181" s="685"/>
      <c r="AQ181" s="686"/>
      <c r="AR181" s="684" t="s">
        <v>341</v>
      </c>
      <c r="AS181" s="685"/>
      <c r="AT181" s="685"/>
      <c r="AU181" s="685"/>
      <c r="AV181" s="685"/>
      <c r="AW181" s="685"/>
      <c r="AX181" s="686"/>
      <c r="AY181" s="684" t="s">
        <v>341</v>
      </c>
      <c r="AZ181" s="685"/>
      <c r="BA181" s="685"/>
      <c r="BB181" s="685"/>
      <c r="BC181" s="685"/>
      <c r="BD181" s="685"/>
      <c r="BE181" s="686"/>
      <c r="BF181" s="685" t="s">
        <v>342</v>
      </c>
      <c r="BG181" s="687"/>
      <c r="BH181" s="688"/>
      <c r="BI181" s="688"/>
      <c r="BJ181" s="688"/>
      <c r="BK181" s="687"/>
      <c r="BL181" s="374"/>
      <c r="BN181" s="407" t="s">
        <v>56</v>
      </c>
      <c r="BO181" s="411">
        <f t="shared" ref="BO181:BT181" ca="1" si="79">SUM(BO160:BO179)</f>
        <v>-1.0805291391673762E-3</v>
      </c>
      <c r="BP181" s="411">
        <f t="shared" ca="1" si="79"/>
        <v>-5.7113060242339215E-3</v>
      </c>
      <c r="BQ181" s="411">
        <f t="shared" ca="1" si="79"/>
        <v>-2.7157090064522109E-3</v>
      </c>
      <c r="BR181" s="411">
        <f t="shared" ca="1" si="79"/>
        <v>-7.5914096219528382E-2</v>
      </c>
      <c r="BS181" s="411">
        <f t="shared" ca="1" si="79"/>
        <v>0.27773010187287206</v>
      </c>
      <c r="BT181" s="411">
        <f t="shared" ca="1" si="79"/>
        <v>0.35111052656363073</v>
      </c>
    </row>
    <row r="182" spans="1:72" x14ac:dyDescent="0.25">
      <c r="B182" s="77" t="s">
        <v>34</v>
      </c>
      <c r="C182" s="348"/>
      <c r="D182" s="349"/>
      <c r="E182" s="348"/>
      <c r="F182" s="349"/>
      <c r="G182" s="348"/>
      <c r="H182" s="349"/>
      <c r="I182" s="348"/>
      <c r="J182" s="349"/>
      <c r="K182" s="348"/>
      <c r="L182" s="349"/>
      <c r="M182" s="348"/>
      <c r="N182" s="349"/>
      <c r="O182" s="348"/>
      <c r="P182" s="349"/>
      <c r="Q182" s="348"/>
      <c r="R182" s="349"/>
      <c r="S182" s="348"/>
      <c r="T182" s="349"/>
      <c r="U182" s="348"/>
      <c r="V182" s="349"/>
      <c r="W182" s="723"/>
      <c r="X182" s="349"/>
      <c r="Y182" s="723"/>
      <c r="Z182" s="349"/>
      <c r="AA182" s="351" t="s">
        <v>208</v>
      </c>
      <c r="AB182" s="347" t="s">
        <v>39</v>
      </c>
      <c r="AC182" s="352"/>
      <c r="AD182" s="689"/>
      <c r="AE182" s="690"/>
      <c r="AF182" s="690"/>
      <c r="AG182" s="690"/>
      <c r="AH182" s="690"/>
      <c r="AI182" s="690"/>
      <c r="AJ182" s="692"/>
      <c r="AK182" s="689"/>
      <c r="AL182" s="690"/>
      <c r="AM182" s="690"/>
      <c r="AN182" s="690"/>
      <c r="AO182" s="690"/>
      <c r="AP182" s="690"/>
      <c r="AQ182" s="692"/>
      <c r="AR182" s="689"/>
      <c r="AS182" s="690"/>
      <c r="AT182" s="690"/>
      <c r="AU182" s="690"/>
      <c r="AV182" s="690"/>
      <c r="AW182" s="690"/>
      <c r="AX182" s="692"/>
      <c r="AY182" s="689"/>
      <c r="AZ182" s="690"/>
      <c r="BA182" s="690"/>
      <c r="BB182" s="690"/>
      <c r="BC182" s="690"/>
      <c r="BD182" s="690"/>
      <c r="BE182" s="692"/>
      <c r="BF182" s="850"/>
      <c r="BG182" s="690"/>
      <c r="BH182" s="690"/>
      <c r="BI182" s="690"/>
      <c r="BJ182" s="690"/>
      <c r="BK182" s="692"/>
      <c r="BL182" s="374"/>
    </row>
    <row r="183" spans="1:72" ht="16.5" x14ac:dyDescent="0.25">
      <c r="B183" s="355"/>
      <c r="C183" s="356" t="s">
        <v>74</v>
      </c>
      <c r="D183" s="357" t="s">
        <v>125</v>
      </c>
      <c r="E183" s="356" t="s">
        <v>74</v>
      </c>
      <c r="F183" s="357" t="s">
        <v>125</v>
      </c>
      <c r="G183" s="356" t="s">
        <v>74</v>
      </c>
      <c r="H183" s="357" t="s">
        <v>125</v>
      </c>
      <c r="I183" s="356" t="s">
        <v>74</v>
      </c>
      <c r="J183" s="357" t="s">
        <v>125</v>
      </c>
      <c r="K183" s="356" t="s">
        <v>74</v>
      </c>
      <c r="L183" s="357" t="s">
        <v>125</v>
      </c>
      <c r="M183" s="356" t="s">
        <v>74</v>
      </c>
      <c r="N183" s="357" t="s">
        <v>125</v>
      </c>
      <c r="O183" s="356" t="s">
        <v>74</v>
      </c>
      <c r="P183" s="357" t="s">
        <v>125</v>
      </c>
      <c r="Q183" s="356" t="s">
        <v>74</v>
      </c>
      <c r="R183" s="357" t="s">
        <v>125</v>
      </c>
      <c r="S183" s="356" t="s">
        <v>74</v>
      </c>
      <c r="T183" s="357" t="s">
        <v>125</v>
      </c>
      <c r="U183" s="356" t="s">
        <v>74</v>
      </c>
      <c r="V183" s="357" t="s">
        <v>125</v>
      </c>
      <c r="W183" s="724" t="s">
        <v>74</v>
      </c>
      <c r="X183" s="357" t="s">
        <v>125</v>
      </c>
      <c r="Y183" s="724" t="s">
        <v>74</v>
      </c>
      <c r="Z183" s="357" t="s">
        <v>125</v>
      </c>
      <c r="AA183" s="359" t="s">
        <v>48</v>
      </c>
      <c r="AB183" s="360" t="s">
        <v>49</v>
      </c>
      <c r="AC183" s="352"/>
      <c r="AD183" s="693" t="s">
        <v>344</v>
      </c>
      <c r="AE183" s="694" t="s">
        <v>345</v>
      </c>
      <c r="AF183" s="694" t="s">
        <v>346</v>
      </c>
      <c r="AG183" s="694" t="s">
        <v>347</v>
      </c>
      <c r="AH183" s="694" t="s">
        <v>348</v>
      </c>
      <c r="AI183" s="694" t="s">
        <v>349</v>
      </c>
      <c r="AJ183" s="696" t="s">
        <v>350</v>
      </c>
      <c r="AK183" s="693" t="s">
        <v>344</v>
      </c>
      <c r="AL183" s="694" t="s">
        <v>345</v>
      </c>
      <c r="AM183" s="694" t="s">
        <v>346</v>
      </c>
      <c r="AN183" s="694" t="s">
        <v>347</v>
      </c>
      <c r="AO183" s="694" t="s">
        <v>348</v>
      </c>
      <c r="AP183" s="694" t="s">
        <v>349</v>
      </c>
      <c r="AQ183" s="696" t="s">
        <v>350</v>
      </c>
      <c r="AR183" s="693" t="s">
        <v>344</v>
      </c>
      <c r="AS183" s="694" t="s">
        <v>345</v>
      </c>
      <c r="AT183" s="694" t="s">
        <v>346</v>
      </c>
      <c r="AU183" s="694" t="s">
        <v>347</v>
      </c>
      <c r="AV183" s="694" t="s">
        <v>348</v>
      </c>
      <c r="AW183" s="694" t="s">
        <v>349</v>
      </c>
      <c r="AX183" s="696" t="s">
        <v>350</v>
      </c>
      <c r="AY183" s="693" t="s">
        <v>344</v>
      </c>
      <c r="AZ183" s="694" t="s">
        <v>345</v>
      </c>
      <c r="BA183" s="694" t="s">
        <v>346</v>
      </c>
      <c r="BB183" s="694" t="s">
        <v>347</v>
      </c>
      <c r="BC183" s="694" t="s">
        <v>348</v>
      </c>
      <c r="BD183" s="694" t="s">
        <v>349</v>
      </c>
      <c r="BE183" s="696" t="s">
        <v>350</v>
      </c>
      <c r="BF183" s="851" t="s">
        <v>344</v>
      </c>
      <c r="BG183" s="694" t="s">
        <v>345</v>
      </c>
      <c r="BH183" s="694" t="s">
        <v>346</v>
      </c>
      <c r="BI183" s="694" t="s">
        <v>347</v>
      </c>
      <c r="BJ183" s="694" t="s">
        <v>348</v>
      </c>
      <c r="BK183" s="696" t="s">
        <v>349</v>
      </c>
      <c r="BL183" s="374"/>
    </row>
    <row r="184" spans="1:72" x14ac:dyDescent="0.25">
      <c r="B184" s="363">
        <f>YearFirst</f>
        <v>2026</v>
      </c>
      <c r="C184" s="364">
        <f>INDEX(ModelData1NB,A178,2)*AnnualFactor</f>
        <v>17745205</v>
      </c>
      <c r="D184" s="365">
        <f>INDEX(ModelData1B,A178,2)*AnnualFactor</f>
        <v>15841365</v>
      </c>
      <c r="E184" s="364">
        <f>IF(INDEX(HwyTransitModelGroup,A178,1)=Hwy,INDEX(ModelData1NB,A178,3),0)*AnnualFactor</f>
        <v>255500</v>
      </c>
      <c r="F184" s="365">
        <f>IF(INDEX(HwyTransitModelGroup,A178,1)=Hwy,INDEX(ModelData1B,A178,3),0)*AnnualFactor</f>
        <v>227760</v>
      </c>
      <c r="G184" s="364">
        <f>IF(INDEX(HwyTransitModelGroup,A178,1)&lt;&gt;Hwy,INDEX(ModelData1NB,A178,4),0)*AnnualFactor</f>
        <v>0</v>
      </c>
      <c r="H184" s="365">
        <f>IF(INDEX(HwyTransitModelGroup,A178,1)&lt;&gt;Hwy,INDEX(ModelData1B,A178,4),0)*AnnualFactor</f>
        <v>0</v>
      </c>
      <c r="I184" s="364">
        <f>IF(INDEX(HwyTransitModelGroup,A178,1)&lt;&gt;Hwy,INDEX(ModelData1NB,A178,5),0)*AnnualFactor</f>
        <v>0</v>
      </c>
      <c r="J184" s="365">
        <f>IF(INDEX(HwyTransitModelGroup,A178,1)&lt;&gt;Hwy,INDEX(ModelData1B,A178,5),0)*AnnualFactor</f>
        <v>0</v>
      </c>
      <c r="K184" s="429">
        <f>IFERROR(IF(INDEX(HwyTransitModelGroup,A178,1)=Hwy,MAX(5,ROUND(C184/E184,1)),MAX(5,ROUND(G184/I184,1))),55)</f>
        <v>69.5</v>
      </c>
      <c r="L184" s="430">
        <f>IFERROR(IF(INDEX(HwyTransitModelGroup,A178,1)=Hwy,MAX(5,ROUND(D184/F184,1)),MAX(5,ROUND(H184/J184,1))),55)</f>
        <v>69.599999999999994</v>
      </c>
      <c r="M184" s="803">
        <f>IF(INDEX(HwyTransitModelGroup,A178,1)=Hwy,INDEX(ModelData1NB,A178,9),0)</f>
        <v>0.24</v>
      </c>
      <c r="N184" s="804">
        <f>IF(INDEX(HwyTransitModelGroup,A178,1)=Hwy,INDEX(ModelData1B,A178,9),0)</f>
        <v>0.24</v>
      </c>
      <c r="O184" s="364">
        <f>IF(OR(INDEX(ModelData1NB,A178,8)=0,INDEX(HwyTransitModelGroup,A178,1)&lt;&gt;Hwy),0,INDEX(ModelData1NB,A178,1)*AnnualFactor/INDEX(ModelData1NB,A178,8))</f>
        <v>0</v>
      </c>
      <c r="P184" s="365">
        <f>IF(OR(INDEX(ModelData1B,A178,8)=0,INDEX(HwyTransitModelGroup,A178,1)&lt;&gt;Hwy),0,INDEX(ModelData1B,A178,1)*AnnualFactor/INDEX(ModelData1B,A178,8))</f>
        <v>0</v>
      </c>
      <c r="Q184" s="808">
        <f>IF(INDEX(HwyTransitModelGroup,A178,1)=Hwy,C184*(1-M184)*0.00000110231131*(VLOOKUP(K184,EmAuto1,2)*VLOOKUP(ProjLoc,EmCost,2)+VLOOKUP(K184,EmAuto1,3)*VLOOKUP(ProjLoc,EmCost,3)*(1+CO2Uprater)^($B184-YearCurrent)+VLOOKUP(K184,EmAuto1,4)*VLOOKUP(ProjLoc,EmCost,4)+VLOOKUP(K184,EmAuto1,5)*VLOOKUP(ProjLoc,EmCost,5)+VLOOKUP(K184,EmAuto1,6)*VLOOKUP(ProjLoc,EmCost,6)+VLOOKUP(K184,EmAuto1,7)*VLOOKUP(ProjLoc,EmCost,7))+C184*M184*0.00000110231131*(VLOOKUP(K184,EmTruck1,2)*VLOOKUP(ProjLoc,EmCost,2)+VLOOKUP(K184,EmTruck1,3)*VLOOKUP(ProjLoc,EmCost,3)*(1+CO2Uprater)^($B184-YearCurrent)+VLOOKUP(K184,EmTruck1,4)*VLOOKUP(ProjLoc,EmCost,4)+VLOOKUP(K184,EmTruck1,5)*VLOOKUP(ProjLoc,EmCost,5)+VLOOKUP(K184,EmTruck1,6)*VLOOKUP(ProjLoc,EmCost,6)+VLOOKUP(K184,EmTruck1,7)*VLOOKUP(ProjLoc,EmCost,7)),0)</f>
        <v>721730.06026630383</v>
      </c>
      <c r="R184" s="844">
        <f>IF(INDEX(HwyTransitModelGroup,A178,1)=Hwy,D184*(1-N184)*0.00000110231131*(VLOOKUP(L184,EmAuto1,2)*VLOOKUP(ProjLoc,EmCost,2)+VLOOKUP(L184,EmAuto1,3)*VLOOKUP(ProjLoc,EmCost,3)*(1+CO2Uprater)^($B184-YearCurrent)+VLOOKUP(L184,EmAuto1,4)*VLOOKUP(ProjLoc,EmCost,4)+VLOOKUP(L184,EmAuto1,5)*VLOOKUP(ProjLoc,EmCost,5)+VLOOKUP(L184,EmAuto1,6)*VLOOKUP(ProjLoc,EmCost,6)+VLOOKUP(L184,EmAuto1,7)*VLOOKUP(ProjLoc,EmCost,7))+D184*N184*0.00000110231131*(VLOOKUP(L184,EmTruck1,2)*VLOOKUP(ProjLoc,EmCost,2)+VLOOKUP(L184,EmTruck1,3)*VLOOKUP(ProjLoc,EmCost,3)*(1+CO2Uprater)^($B184-YearCurrent)+VLOOKUP(L184,EmTruck1,4)*VLOOKUP(ProjLoc,EmCost,4)+VLOOKUP(L184,EmTruck1,5)*VLOOKUP(ProjLoc,EmCost,5)+VLOOKUP(L184,EmTruck1,6)*VLOOKUP(ProjLoc,EmCost,6)+VLOOKUP(L184,EmTruck1,7)*VLOOKUP(ProjLoc,EmCost,7)),0)</f>
        <v>644297.3927971255</v>
      </c>
      <c r="S184" s="808">
        <f>IF(INDEX(HwyTransitModelGroup,A178,1)=Hwy,O184*(1-M184)*0.00000110231131*(VLOOKUP(0,EmAuto1,2)*VLOOKUP(ProjLoc,EmCost,2)+VLOOKUP(0,EmAuto1,3)*VLOOKUP(ProjLoc,EmCost,3)*(1+CO2Uprater)^($B184-YearCurrent)+VLOOKUP(0,EmAuto1,4)*VLOOKUP(ProjLoc,EmCost,4)+VLOOKUP(0,EmAuto1,5)*VLOOKUP(ProjLoc,EmCost,5)+VLOOKUP(0,EmAuto1,6)*VLOOKUP(ProjLoc,EmCost,6)+VLOOKUP(0,EmAuto1,7)*VLOOKUP(ProjLoc,EmCost,7))+O184*M184*0.00000110231131*(VLOOKUP(0,EmTruck1,2)*VLOOKUP(ProjLoc,EmCost,2)+VLOOKUP(0,EmTruck1,3)*VLOOKUP(ProjLoc,EmCost,3)*(1+CO2Uprater)^($B184-YearCurrent)+VLOOKUP(0,EmTruck1,4)*VLOOKUP(ProjLoc,EmCost,4)+VLOOKUP(0,EmTruck1,5)*VLOOKUP(ProjLoc,EmCost,5)+VLOOKUP(0,EmTruck1,6)*VLOOKUP(ProjLoc,EmCost,6)+VLOOKUP(0,EmTruck1,7)*VLOOKUP(ProjLoc,EmCost,7)),0)</f>
        <v>0</v>
      </c>
      <c r="T184" s="844">
        <f>IF(INDEX(HwyTransitModelGroup,A178,1)=Hwy,P184*(1-N184)*0.00000110231131*(VLOOKUP(0,EmAuto1,2)*VLOOKUP(ProjLoc,EmCost,2)+VLOOKUP(0,EmAuto1,3)*VLOOKUP(ProjLoc,EmCost,3)*(1+CO2Uprater)^($B184-YearCurrent)+VLOOKUP(0,EmAuto1,4)*VLOOKUP(ProjLoc,EmCost,4)+VLOOKUP(0,EmAuto1,5)*VLOOKUP(ProjLoc,EmCost,5)+VLOOKUP(0,EmAuto1,6)*VLOOKUP(ProjLoc,EmCost,6)+VLOOKUP(0,EmAuto1,7)*VLOOKUP(ProjLoc,EmCost,7))+P184*N184*0.00000110231131*(VLOOKUP(0,EmTruck1,2)*VLOOKUP(ProjLoc,EmCost,2)+VLOOKUP(0,EmTruck1,3)*VLOOKUP(ProjLoc,EmCost,3)*(1+CO2Uprater)^($B184-YearCurrent)+VLOOKUP(0,EmTruck1,4)*VLOOKUP(ProjLoc,EmCost,4)+VLOOKUP(0,EmTruck1,5)*VLOOKUP(ProjLoc,EmCost,5)+VLOOKUP(0,EmTruck1,6)*VLOOKUP(ProjLoc,EmCost,6)+VLOOKUP(0,EmTruck1,7)*VLOOKUP(ProjLoc,EmCost,7)),0)</f>
        <v>0</v>
      </c>
      <c r="U184" s="808">
        <f>IF(INDEX(HwyTransitModelGroup,A178,1)=PARAMETERS!$J$9,C184*0.00000110231131*(VLOOKUP(K184,EmBus1,2)*VLOOKUP(ProjLoc,EmCost,2)+VLOOKUP(K184,EmBus1,3)*VLOOKUP(ProjLoc,EmCost,3)*(1+CO2Uprater)^($B184-YearCurrent)+VLOOKUP(K184,EmBus1,4)*VLOOKUP(ProjLoc,EmCost,4)+VLOOKUP(K184,EmBus1,5)*VLOOKUP(ProjLoc,EmCost,5)+VLOOKUP(K184,EmBus1,6)*VLOOKUP(ProjLoc,EmCost,6)+VLOOKUP(K184,EmBus1,7)*VLOOKUP(ProjLoc,EmCost,7)),0)</f>
        <v>0</v>
      </c>
      <c r="V184" s="844">
        <f>IF(INDEX(HwyTransitModelGroup,A178,1)=PARAMETERS!$J$9,D184*0.00000110231131*(VLOOKUP(L184,EmBus1,2)*VLOOKUP(ProjLoc,EmCost,2)+VLOOKUP(L184,EmBus1,3)*VLOOKUP(ProjLoc,EmCost,3)*(1+CO2Uprater)^($B184-YearCurrent)+VLOOKUP(L184,EmBus1,4)*VLOOKUP(ProjLoc,EmCost,4)+VLOOKUP(L184,EmBus1,5)*VLOOKUP(ProjLoc,EmCost,5)+VLOOKUP(L184,EmBus1,6)*VLOOKUP(ProjLoc,EmCost,6)+VLOOKUP(L184,EmBus1,7)*VLOOKUP(ProjLoc,EmCost,7)),0)</f>
        <v>0</v>
      </c>
      <c r="W184" s="808">
        <f>IF(INDEX(HwyTransitModelGroup,A178,1)=PARAMETERS!$J$10,C184*0.00000110231131*(PARAMETERS!$CQ$28*VLOOKUP(ProjLoc,EmCost,2)+PARAMETERS!$CR$28*VLOOKUP(ProjLoc,EmCost,3)*(1+CO2Uprater)^($B184-YearCurrent)+PARAMETERS!$CS$28*VLOOKUP(ProjLoc,EmCost,4)+PARAMETERS!$CT$28*VLOOKUP(ProjLoc,EmCost,5)+PARAMETERS!$CU$28*VLOOKUP(ProjLoc,EmCost,6)+PARAMETERS!$CV$28*VLOOKUP(ProjLoc,EmCost,7)),0)</f>
        <v>0</v>
      </c>
      <c r="X184" s="844">
        <f>IF(INDEX(HwyTransitModelGroup,A178,1)=PARAMETERS!$J$10,D184*0.00000110231131*(PARAMETERS!$CQ$28*VLOOKUP(ProjLoc,EmCost,2)+PARAMETERS!$CR$28*VLOOKUP(ProjLoc,EmCost,3)*(1+CO2Uprater)^($B184-YearCurrent)+PARAMETERS!$CS$28*VLOOKUP(ProjLoc,EmCost,4)+PARAMETERS!$CT$28*VLOOKUP(ProjLoc,EmCost,5)+PARAMETERS!$CU$28*VLOOKUP(ProjLoc,EmCost,6)+PARAMETERS!$CV$28*VLOOKUP(ProjLoc,EmCost,7)),0)</f>
        <v>0</v>
      </c>
      <c r="Y184" s="808">
        <f>IF(INDEX(HwyTransitModelGroup,A178,1)=PARAMETERS!$J$11,C184*0.00000110231131*(PARAMETERS!$CQ$36*VLOOKUP(ProjLoc,EmCost,2)+PARAMETERS!$CR$36*VLOOKUP(ProjLoc,EmCost,3)*(1+CO2Uprater)^($B184-YearCurrent)+PARAMETERS!$CS$36*VLOOKUP(ProjLoc,EmCost,4)+PARAMETERS!$CT$36*VLOOKUP(ProjLoc,EmCost,5)+PARAMETERS!$CU$36*VLOOKUP(ProjLoc,EmCost,6)+PARAMETERS!$CV$36*VLOOKUP(ProjLoc,EmCost,7)),0)</f>
        <v>0</v>
      </c>
      <c r="Z184" s="844">
        <f>IF(INDEX(HwyTransitModelGroup,A178,1)=PARAMETERS!$J$11,D184*0.00000110231131*(PARAMETERS!$CQ$36*VLOOKUP(ProjLoc,EmCost,2)+PARAMETERS!$CR$36*VLOOKUP(ProjLoc,EmCost,3)*(1+CO2Uprater)^($B184-YearCurrent)+PARAMETERS!$CS$36*VLOOKUP(ProjLoc,EmCost,4)+PARAMETERS!$CT$36*VLOOKUP(ProjLoc,EmCost,5)+PARAMETERS!$CU$36*VLOOKUP(ProjLoc,EmCost,6)+PARAMETERS!$CV$36*VLOOKUP(ProjLoc,EmCost,7)),0)</f>
        <v>0</v>
      </c>
      <c r="AA184" s="369">
        <f>(Q184+S184+U184+W184+Y184)-(R184+T184+V184+X184+Z184)</f>
        <v>77432.667469178326</v>
      </c>
      <c r="AB184" s="370">
        <f>AA184/(1+DiscRate)^(B184-YearCurrent)</f>
        <v>66189.768675264742</v>
      </c>
      <c r="AC184" s="371"/>
      <c r="AD184" s="853">
        <f>IF(INDEX(HwyTransitModelGroup,A178,1)=Hwy,0.00000110231131*(C184*(1-M184)*VLOOKUP(K184,EmAuto1,2)-D184*(1-N184)*VLOOKUP(L184,EmAuto1,2)+(O184*(1-M184)-P184*(1-N184))*VLOOKUP(0,EmAuto1,2))+0.00000110231131*(C184*M184*VLOOKUP(K184,EmTruck1,2)-D184*N184*VLOOKUP(L184,EmTruck1,2)+(O184*M184-P184*N184)*VLOOKUP(0,EmTruck1,2)),0)</f>
        <v>1.3243327079250757</v>
      </c>
      <c r="AE184" s="854">
        <f>IF(INDEX(HwyTransitModelGroup,A178,1)=Hwy,0.00000110231131*(C184*(1-M184)*VLOOKUP(K184,EmAuto1,3)-D184*(1-N184)*VLOOKUP(L184,EmAuto1,3)+(O184*(1-M184)-P184*(1-N184))*VLOOKUP(0,EmAuto1,3))+0.00000110231131*(C184*M184*VLOOKUP(K184,EmTruck1,3)-D184*N184*VLOOKUP(L184,EmTruck1,3)+(O184*M184-P184*N184)*VLOOKUP(0,EmTruck1,3)),0)</f>
        <v>1200.987916089618</v>
      </c>
      <c r="AF184" s="854">
        <f>IF(INDEX(HwyTransitModelGroup,A178,1)=Hwy,0.00000110231131*(C184*(1-M184)*VLOOKUP(K184,EmAuto1,4)-D184*(1-N184)*VLOOKUP(L184,EmAuto1,4)+(O184*(1-M184)-P184*(1-N184))*VLOOKUP(0,EmAuto1,4))+0.00000110231131*(C184*M184*VLOOKUP(K184,EmTruck1,4)-D184*N184*VLOOKUP(L184,EmTruck1,4)+(O184*M184-P184*N184)*VLOOKUP(0,EmTruck1,4)),0)</f>
        <v>0.81280561084135261</v>
      </c>
      <c r="AG184" s="854">
        <f>IF(INDEX(HwyTransitModelGroup,A178,1)=Hwy,0.00000110231131*(C184*(1-M184)*VLOOKUP(K184,EmAuto1,5)-D184*(1-N184)*VLOOKUP(L184,EmAuto1,5)+(O184*(1-M184)-P184*(1-N184))*VLOOKUP(0,EmAuto1,5))+0.00000110231131*(C184*M184*VLOOKUP(K184,EmTruck1,5)-D184*N184*VLOOKUP(L184,EmTruck1,5)+(O184*M184-P184*N184)*VLOOKUP(0,EmTruck1,5)),0)</f>
        <v>1.648679300696524E-2</v>
      </c>
      <c r="AH184" s="854">
        <f>IF(INDEX(HwyTransitModelGroup,A178,1)=Hwy,0.00000110231131*(C184*(1-M184)*VLOOKUP(K184,EmAuto1,6)-D184*(1-N184)*VLOOKUP(L184,EmAuto1,6)+(O184*(1-M184)-P184*(1-N184))*VLOOKUP(0,EmAuto1,6))+0.00000110231131*(C184*M184*VLOOKUP(K184,EmTruck1,6)-D184*N184*VLOOKUP(L184,EmTruck1,6)+(O184*M184-P184*N184)*VLOOKUP(0,EmTruck1,6)),0)</f>
        <v>1.1617984481486706E-2</v>
      </c>
      <c r="AI184" s="854">
        <f>IF(INDEX(HwyTransitModelGroup,A178,1)=Hwy,0.00000110231131*(C184*(1-M184)*VLOOKUP(K184,EmAuto1,7)-D184*(1-N184)*VLOOKUP(L184,EmAuto1,7)+(O184*(1-M184)-P184*(1-N184))*VLOOKUP(0,EmAuto1,7))+0.00000110231131*(C184*M184*VLOOKUP(K184,EmTruck1,7)-D184*N184*VLOOKUP(L184,EmTruck1,7)+(O184*M184-P184*N184)*VLOOKUP(0,EmTruck1,7)),0)</f>
        <v>4.0058541868247484E-2</v>
      </c>
      <c r="AJ184" s="855">
        <f>IF(INDEX(HwyTransitModelGroup,A178,1)=Hwy,0.00000110231131*(C184*(1-M184)*VLOOKUP(K184,EmAuto1,8)-D184*(1-N184)*VLOOKUP(L184,EmAuto1,8)+(O184*(1-M184)-P184*(1-N184))*VLOOKUP(0,EmAuto1,8))+0.00000110231131*(C184*M184*VLOOKUP(K184,EmTruck1,8)-D184*N184*VLOOKUP(L184,EmTruck1,8)+(O184*M184-P184*N184)*VLOOKUP(0,EmTruck1,8)),0)</f>
        <v>1.5722893738312576E-2</v>
      </c>
      <c r="AK184" s="853">
        <f>IF(INDEX(HwyTransitModelGroup,A178,1)=PARAMETERS!$J$9,0.00000110231131*(C184*VLOOKUP(K184,EmBus1,2)-D184*VLOOKUP(L184,EmBus1,2)+(O184-P184)*VLOOKUP(0,EmBus1,2)),0)</f>
        <v>0</v>
      </c>
      <c r="AL184" s="854">
        <f>IF(INDEX(HwyTransitModelGroup,A178,1)=PARAMETERS!$J$9,0.00000110231131*(C184*VLOOKUP(K184,EmBus1,3)-D184*VLOOKUP(L184,EmBus1,3)+(O184-P184)*VLOOKUP(0,EmBus1,3)),0)</f>
        <v>0</v>
      </c>
      <c r="AM184" s="854">
        <f>IF(INDEX(HwyTransitModelGroup,A178,1)=PARAMETERS!$J$9,0.00000110231131*(C184*VLOOKUP(K184,EmBus1,4)-D184*VLOOKUP(L184,EmBus1,4)+(O184-P184)*VLOOKUP(0,EmBus1,4)),0)</f>
        <v>0</v>
      </c>
      <c r="AN184" s="854">
        <f>IF(INDEX(HwyTransitModelGroup,A178,1)=PARAMETERS!$J$9,0.00000110231131*(C184*VLOOKUP(K184,EmBus1,5)-D184*VLOOKUP(L184,EmBus1,5)+(O184-P184)*VLOOKUP(0,EmBus1,5)),0)</f>
        <v>0</v>
      </c>
      <c r="AO184" s="854">
        <f>IF(INDEX(HwyTransitModelGroup,A178,1)=PARAMETERS!$J$9,0.00000110231131*(C184*VLOOKUP(K184,EmBus1,6)-D184*VLOOKUP(L184,EmBus1,6)+(O184-P184)*VLOOKUP(0,EmBus1,6)),0)</f>
        <v>0</v>
      </c>
      <c r="AP184" s="854">
        <f>IF(INDEX(HwyTransitModelGroup,A178,1)=PARAMETERS!$J$9,0.00000110231131*(C184*VLOOKUP(K184,EmBus1,7)-D184*VLOOKUP(L184,EmBus1,7)+(O184-P184)*VLOOKUP(0,EmBus1,7)),0)</f>
        <v>0</v>
      </c>
      <c r="AQ184" s="855">
        <f>IF(INDEX(HwyTransitModelGroup,A178,1)=PARAMETERS!$J$9,0.00000110231131*(C184*VLOOKUP(K184,EmBus1,8)-D184*VLOOKUP(L184,EmBus1,8)+(O184-P184)*VLOOKUP(0,EmBus1,8)),0)</f>
        <v>0</v>
      </c>
      <c r="AR184" s="853">
        <f>IF(INDEX(HwyTransitModelGroup,A178,1)=PARAMETERS!$J$10,0.00000110231131*((C184-D184)*PARAMETERS!$CQ$28),0)</f>
        <v>0</v>
      </c>
      <c r="AS184" s="854">
        <f>IF(INDEX(HwyTransitModelGroup,A178,1)=PARAMETERS!$J$10,0.00000110231131*((C184-D184)*PARAMETERS!$CR$28),0)</f>
        <v>0</v>
      </c>
      <c r="AT184" s="854">
        <f>IF(INDEX(HwyTransitModelGroup,A178,1)=PARAMETERS!$J$10,0.00000110231131*((C184-D184)*PARAMETERS!$CS$28),0)</f>
        <v>0</v>
      </c>
      <c r="AU184" s="854">
        <f>IF(INDEX(HwyTransitModelGroup,A178,1)=PARAMETERS!$J$10,0.00000110231131*((C184-D184)*PARAMETERS!$CT$28),0)</f>
        <v>0</v>
      </c>
      <c r="AV184" s="854">
        <f>IF(INDEX(HwyTransitModelGroup,A178,1)=PARAMETERS!$J$10,0.00000110231131*((C184-D184)*PARAMETERS!$CU$28),0)</f>
        <v>0</v>
      </c>
      <c r="AW184" s="854">
        <f>IF(INDEX(HwyTransitModelGroup,A178,1)=PARAMETERS!$J$10,0.00000110231131*((C184-D184)*PARAMETERS!$CV$28),0)</f>
        <v>0</v>
      </c>
      <c r="AX184" s="855">
        <f>IF(INDEX(HwyTransitModelGroup,A178,1)=PARAMETERS!$J$10,0.00000110231131*((C184-D184)*PARAMETERS!$CW$28),0)</f>
        <v>0</v>
      </c>
      <c r="AY184" s="853">
        <f>IF(INDEX(HwyTransitModelGroup,A178,1)=PARAMETERS!$J$11,0.00000110231131*((C184-D184)*PARAMETERS!$CQ$36),0)</f>
        <v>0</v>
      </c>
      <c r="AZ184" s="854">
        <f>IF(INDEX(HwyTransitModelGroup,A178,1)=PARAMETERS!$J$11,0.00000110231131*((C184-D184)*PARAMETERS!$CR$36),0)</f>
        <v>0</v>
      </c>
      <c r="BA184" s="854">
        <f>IF(INDEX(HwyTransitModelGroup,A178,1)=PARAMETERS!$J$11,0.00000110231131*((C184-D184)*PARAMETERS!$CS$36),0)</f>
        <v>0</v>
      </c>
      <c r="BB184" s="854">
        <f>IF(INDEX(HwyTransitModelGroup,A178,1)=PARAMETERS!$J$11,0.00000110231131*((C184-D184)*PARAMETERS!$CT$36),0)</f>
        <v>0</v>
      </c>
      <c r="BC184" s="854">
        <f>IF(INDEX(HwyTransitModelGroup,A178,1)=PARAMETERS!$J$11,0.00000110231131*((C184-D184)*PARAMETERS!$CU$36),0)</f>
        <v>0</v>
      </c>
      <c r="BD184" s="854">
        <f>IF(INDEX(HwyTransitModelGroup,A178,1)=PARAMETERS!$J$11,0.00000110231131*((C184-D184)*PARAMETERS!$CV$36),0)</f>
        <v>0</v>
      </c>
      <c r="BE184" s="855">
        <f>IF(INDEX(HwyTransitModelGroup,A178,1)=PARAMETERS!$J$11,0.00000110231131*((C184-D184)*PARAMETERS!$CW$36),0)</f>
        <v>0</v>
      </c>
      <c r="BF184" s="832">
        <f>(AD184+AK184+AR184+AY184)*VLOOKUP(ProjLoc,EmCost,2)/(1+DiscRate)^($B184-YearCurrent)</f>
        <v>90.563611924168029</v>
      </c>
      <c r="BG184" s="701">
        <f>(AE184+AL184+AS184+AZ184)*VLOOKUP(ProjLoc,EmCost,3)*(1+CO2Uprater)^($B184-YearCurrent)/(1+DiscRate)^($B184-YearCurrent)</f>
        <v>53339.286861349814</v>
      </c>
      <c r="BH184" s="701">
        <f>(AF184+AM184+AT184+BA184)*VLOOKUP(ProjLoc,EmCost,4)/(1+DiscRate)^($B184-YearCurrent)</f>
        <v>10491.323603858933</v>
      </c>
      <c r="BI184" s="701">
        <f>(AG184+AN184+AU184+BB184)*VLOOKUP(ProjLoc,EmCost,5)/(1+DiscRate)^($B184-YearCurrent)</f>
        <v>1644.6507378745368</v>
      </c>
      <c r="BJ184" s="701">
        <f>(AH184+AO184+AV184+BC184)*VLOOKUP(ProjLoc,EmCost,6)/(1+DiscRate)^($B184-YearCurrent)</f>
        <v>585.93500773949597</v>
      </c>
      <c r="BK184" s="368">
        <f>(AI184+AP184+AW184+BD184)*VLOOKUP(ProjLoc,EmCost,7)/(1+DiscRate)^($B184-YearCurrent)</f>
        <v>38.008852517824629</v>
      </c>
      <c r="BL184" s="374"/>
    </row>
    <row r="185" spans="1:72" ht="21" x14ac:dyDescent="0.35">
      <c r="B185" s="379">
        <f>YearLast</f>
        <v>2046</v>
      </c>
      <c r="C185" s="380">
        <f>INDEX(ModelData20NB,A178,2)*AnnualFactor</f>
        <v>22525610</v>
      </c>
      <c r="D185" s="381">
        <f>INDEX(ModelData20B,A178,2)*AnnualFactor</f>
        <v>19454865</v>
      </c>
      <c r="E185" s="380">
        <f>IF(INDEX(HwyTransitModelGroup,A178,1)=Hwy,INDEX(ModelData20NB,A178,3),0)*AnnualFactor</f>
        <v>325945</v>
      </c>
      <c r="F185" s="381">
        <f>IF(INDEX(HwyTransitModelGroup,A178,1)=Hwy,INDEX(ModelData20B,A178,3),0)*AnnualFactor</f>
        <v>280685</v>
      </c>
      <c r="G185" s="380">
        <f>IF(INDEX(HwyTransitModelGroup,A178,1)&lt;&gt;Hwy,INDEX(ModelData20NB,A178,4),0)*AnnualFactor</f>
        <v>0</v>
      </c>
      <c r="H185" s="381">
        <f>IF(INDEX(HwyTransitModelGroup,A178,1)&lt;&gt;Hwy,INDEX(ModelData20B,A178,4),0)*AnnualFactor</f>
        <v>0</v>
      </c>
      <c r="I185" s="380">
        <f>IF(INDEX(HwyTransitModelGroup,A178,1)&lt;&gt;Hwy,INDEX(ModelData20NB,A178,5),0)*AnnualFactor</f>
        <v>0</v>
      </c>
      <c r="J185" s="381">
        <f>IF(INDEX(HwyTransitModelGroup,A178,1)&lt;&gt;Hwy,INDEX(ModelData20B,A178,5),0)*AnnualFactor</f>
        <v>0</v>
      </c>
      <c r="K185" s="432">
        <f>IFERROR(IF(INDEX(HwyTransitModelGroup,A178,1)=Hwy,MAX(5,ROUND(C185/E185,1)),MAX(5,ROUND(G185/I185,1))),55)</f>
        <v>69.099999999999994</v>
      </c>
      <c r="L185" s="433">
        <f>IFERROR(IF(INDEX(HwyTransitModelGroup,A178,1)=Hwy,MAX(5,ROUND(D185/F185,1)),MAX(5,ROUND(H185/J185,1))),55)</f>
        <v>69.3</v>
      </c>
      <c r="M185" s="805">
        <f>IF(INDEX(HwyTransitModelGroup,A178,1)=Hwy,INDEX(ModelData20NB,A178,9),0)</f>
        <v>0.24</v>
      </c>
      <c r="N185" s="806">
        <f>IF(INDEX(HwyTransitModelGroup,A178,1)=Hwy,INDEX(ModelData20B,A178,9),0)</f>
        <v>0.24</v>
      </c>
      <c r="O185" s="380">
        <f>IF(OR(INDEX(ModelData20NB,A178,8)=0,INDEX(HwyTransitModelGroup,A178,1)&lt;&gt;Hwy),0,INDEX(ModelData20NB,A178,1)*AnnualFactor/INDEX(ModelData20NB,A178,8))</f>
        <v>0</v>
      </c>
      <c r="P185" s="381">
        <f>IF(OR(INDEX(ModelData20B,A178,8)=0,INDEX(HwyTransitModelGroup,A178,1)&lt;&gt;Hwy),0,INDEX(ModelData20B,A178,1)*AnnualFactor/INDEX(ModelData20B,A178,8))</f>
        <v>0</v>
      </c>
      <c r="Q185" s="845">
        <f>IF(INDEX(HwyTransitModelGroup,A178,1)=Hwy,C185*(1-M185)*0.00000110231131*(VLOOKUP(K185,EmAuto20,2)*VLOOKUP(ProjLoc,EmCost,2)+VLOOKUP(K185,EmAuto20,3)*VLOOKUP(ProjLoc,EmCost,3)*(1+CO2Uprater)^($B185-YearCurrent)+VLOOKUP(K185,EmAuto20,4)*VLOOKUP(ProjLoc,EmCost,4)+VLOOKUP(K185,EmAuto20,5)*VLOOKUP(ProjLoc,EmCost,5)+VLOOKUP(K185,EmAuto20,6)*VLOOKUP(ProjLoc,EmCost,6)+VLOOKUP(K185,EmAuto20,7)*VLOOKUP(ProjLoc,EmCost,7))+C185*M185*0.00000110231131*(VLOOKUP(K185,EmTruck20,2)*VLOOKUP(ProjLoc,EmCost,2)+VLOOKUP(K185,EmTruck20,3)*VLOOKUP(ProjLoc,EmCost,3)*(1+CO2Uprater)^($B185-YearCurrent)+VLOOKUP(K185,EmTruck20,4)*VLOOKUP(ProjLoc,EmCost,4)+VLOOKUP(K185,EmTruck20,5)*VLOOKUP(ProjLoc,EmCost,5)+VLOOKUP(K185,EmTruck20,6)*VLOOKUP(ProjLoc,EmCost,6)+VLOOKUP(K185,EmTruck20,7)*VLOOKUP(ProjLoc,EmCost,7)),0)</f>
        <v>951040.36978130997</v>
      </c>
      <c r="R185" s="846">
        <f>IF(INDEX(HwyTransitModelGroup,A178,1)=Hwy,D185*(1-N185)*0.00000110231131*(VLOOKUP(L185,EmAuto20,2)*VLOOKUP(ProjLoc,EmCost,2)+VLOOKUP(L185,EmAuto20,3)*VLOOKUP(ProjLoc,EmCost,3)*(1+CO2Uprater)^($B185-YearCurrent)+VLOOKUP(L185,EmAuto20,4)*VLOOKUP(ProjLoc,EmCost,4)+VLOOKUP(L185,EmAuto20,5)*VLOOKUP(ProjLoc,EmCost,5)+VLOOKUP(L185,EmAuto20,6)*VLOOKUP(ProjLoc,EmCost,6)+VLOOKUP(L185,EmAuto20,7)*VLOOKUP(ProjLoc,EmCost,7))+D185*N185*0.00000110231131*(VLOOKUP(L185,EmTruck20,2)*VLOOKUP(ProjLoc,EmCost,2)+VLOOKUP(L185,EmTruck20,3)*VLOOKUP(ProjLoc,EmCost,3)*(1+CO2Uprater)^($B185-YearCurrent)+VLOOKUP(L185,EmTruck20,4)*VLOOKUP(ProjLoc,EmCost,4)+VLOOKUP(L185,EmTruck20,5)*VLOOKUP(ProjLoc,EmCost,5)+VLOOKUP(L185,EmTruck20,6)*VLOOKUP(ProjLoc,EmCost,6)+VLOOKUP(L185,EmTruck20,7)*VLOOKUP(ProjLoc,EmCost,7)),0)</f>
        <v>821392.27322347602</v>
      </c>
      <c r="S185" s="845">
        <f>IF(INDEX(HwyTransitModelGroup,A178,1)=Hwy,O185*(1-M185)*0.00000110231131*(VLOOKUP(0,EmAuto20,2)*VLOOKUP(ProjLoc,EmCost,2)+VLOOKUP(0,EmAuto20,3)*VLOOKUP(ProjLoc,EmCost,3)*(1+CO2Uprater)^($B185-YearCurrent)+VLOOKUP(0,EmAuto20,4)*VLOOKUP(ProjLoc,EmCost,4)+VLOOKUP(0,EmAuto20,5)*VLOOKUP(ProjLoc,EmCost,5)+VLOOKUP(0,EmAuto20,6)*VLOOKUP(ProjLoc,EmCost,6)+VLOOKUP(0,EmAuto20,7)*VLOOKUP(ProjLoc,EmCost,7))+O185*M185*0.00000110231131*(VLOOKUP(0,EmTruck20,2)*VLOOKUP(ProjLoc,EmCost,2)+VLOOKUP(0,EmTruck20,3)*VLOOKUP(ProjLoc,EmCost,3)*(1+CO2Uprater)^($B185-YearCurrent)+VLOOKUP(0,EmTruck20,4)*VLOOKUP(ProjLoc,EmCost,4)+VLOOKUP(0,EmTruck20,5)*VLOOKUP(ProjLoc,EmCost,5)+VLOOKUP(0,EmTruck20,6)*VLOOKUP(ProjLoc,EmCost,6)+VLOOKUP(0,EmTruck20,7)*VLOOKUP(ProjLoc,EmCost,7)),0)</f>
        <v>0</v>
      </c>
      <c r="T185" s="846">
        <f>IF(INDEX(HwyTransitModelGroup,A178,1)=Hwy,P185*(1-N185)*0.00000110231131*(VLOOKUP(0,EmAuto20,2)*VLOOKUP(ProjLoc,EmCost,2)+VLOOKUP(0,EmAuto20,3)*VLOOKUP(ProjLoc,EmCost,3)*(1+CO2Uprater)^($B185-YearCurrent)+VLOOKUP(0,EmAuto20,4)*VLOOKUP(ProjLoc,EmCost,4)+VLOOKUP(0,EmAuto20,5)*VLOOKUP(ProjLoc,EmCost,5)+VLOOKUP(0,EmAuto20,6)*VLOOKUP(ProjLoc,EmCost,6)+VLOOKUP(0,EmAuto20,7)*VLOOKUP(ProjLoc,EmCost,7))+P185*N185*0.00000110231131*(VLOOKUP(0,EmTruck20,2)*VLOOKUP(ProjLoc,EmCost,2)+VLOOKUP(0,EmTruck20,3)*VLOOKUP(ProjLoc,EmCost,3)*(1+CO2Uprater)^($B185-YearCurrent)+VLOOKUP(0,EmTruck20,4)*VLOOKUP(ProjLoc,EmCost,4)+VLOOKUP(0,EmTruck20,5)*VLOOKUP(ProjLoc,EmCost,5)+VLOOKUP(0,EmTruck20,6)*VLOOKUP(ProjLoc,EmCost,6)+VLOOKUP(0,EmTruck20,7)*VLOOKUP(ProjLoc,EmCost,7)),0)</f>
        <v>0</v>
      </c>
      <c r="U185" s="845">
        <f>IF(INDEX(HwyTransitModelGroup,A178,1)=PARAMETERS!$J$9,C185*0.00000110231131*(VLOOKUP(K185,EmBus20,2)*VLOOKUP(ProjLoc,EmCost,2)+VLOOKUP(K185,EmBus20,3)*VLOOKUP(ProjLoc,EmCost,3)*(1+CO2Uprater)^($B185-YearCurrent)+VLOOKUP(K185,EmBus20,4)*VLOOKUP(ProjLoc,EmCost,4)+VLOOKUP(K185,EmBus20,5)*VLOOKUP(ProjLoc,EmCost,5)+VLOOKUP(K185,EmBus20,6)*VLOOKUP(ProjLoc,EmCost,6)+VLOOKUP(K185,EmBus20,7)*VLOOKUP(ProjLoc,EmCost,7)),0)</f>
        <v>0</v>
      </c>
      <c r="V185" s="846">
        <f>IF(INDEX(HwyTransitModelGroup,A178,1)=PARAMETERS!$J$9,D185*0.00000110231131*(VLOOKUP(L185,EmBus20,2)*VLOOKUP(ProjLoc,EmCost,2)+VLOOKUP(L185,EmBus20,3)*VLOOKUP(ProjLoc,EmCost,3)*(1+CO2Uprater)^($B185-YearCurrent)+VLOOKUP(L185,EmBus20,4)*VLOOKUP(ProjLoc,EmCost,4)+VLOOKUP(L185,EmBus20,5)*VLOOKUP(ProjLoc,EmCost,5)+VLOOKUP(L185,EmBus20,6)*VLOOKUP(ProjLoc,EmCost,6)+VLOOKUP(L185,EmBus20,7)*VLOOKUP(ProjLoc,EmCost,7)),0)</f>
        <v>0</v>
      </c>
      <c r="W185" s="845">
        <f>IF(INDEX(HwyTransitModelGroup,A178,1)=PARAMETERS!$J$10,C185*0.00000110231131*(PARAMETERS!$CQ$29*VLOOKUP(ProjLoc,EmCost,2)+PARAMETERS!$CR$29*VLOOKUP(ProjLoc,EmCost,3)*(1+CO2Uprater)^($B185-YearCurrent)+PARAMETERS!$CS$29*VLOOKUP(ProjLoc,EmCost,4)+PARAMETERS!$CT$29*VLOOKUP(ProjLoc,EmCost,5)+PARAMETERS!$CU$29*VLOOKUP(ProjLoc,EmCost,6)+PARAMETERS!$CV$29*VLOOKUP(ProjLoc,EmCost,7)),0)</f>
        <v>0</v>
      </c>
      <c r="X185" s="846">
        <f>IF(INDEX(HwyTransitModelGroup,A178,1)=PARAMETERS!$J$10,D185*0.00000110231131*(PARAMETERS!$CQ$29*VLOOKUP(ProjLoc,EmCost,2)+PARAMETERS!$CR$29*VLOOKUP(ProjLoc,EmCost,3)*(1+CO2Uprater)^($B185-YearCurrent)+PARAMETERS!$CS$29*VLOOKUP(ProjLoc,EmCost,4)+PARAMETERS!$CT$29*VLOOKUP(ProjLoc,EmCost,5)+PARAMETERS!$CU$29*VLOOKUP(ProjLoc,EmCost,6)+PARAMETERS!$CV$29*VLOOKUP(ProjLoc,EmCost,7)),0)</f>
        <v>0</v>
      </c>
      <c r="Y185" s="845">
        <f>IF(INDEX(HwyTransitModelGroup,A178,1)=PARAMETERS!$J$11,C185*0.00000110231131*(PARAMETERS!$CQ$37*VLOOKUP(ProjLoc,EmCost,2)+PARAMETERS!$CR$37*VLOOKUP(ProjLoc,EmCost,3)*(1+CO2Uprater)^($B185-YearCurrent)+PARAMETERS!$CS$37*VLOOKUP(ProjLoc,EmCost,4)+PARAMETERS!$CT$37*VLOOKUP(ProjLoc,EmCost,5)+PARAMETERS!$CU$37*VLOOKUP(ProjLoc,EmCost,6)+PARAMETERS!$CV$37*VLOOKUP(ProjLoc,EmCost,7)),0)</f>
        <v>0</v>
      </c>
      <c r="Z185" s="846">
        <f>IF(INDEX(HwyTransitModelGroup,A178,1)=PARAMETERS!$J$11,D185*0.00000110231131*(PARAMETERS!$CQ$37*VLOOKUP(ProjLoc,EmCost,2)+PARAMETERS!$CR$37*VLOOKUP(ProjLoc,EmCost,3)*(1+CO2Uprater)^($B185-YearCurrent)+PARAMETERS!$CS$37*VLOOKUP(ProjLoc,EmCost,4)+PARAMETERS!$CT$37*VLOOKUP(ProjLoc,EmCost,5)+PARAMETERS!$CU$37*VLOOKUP(ProjLoc,EmCost,6)+PARAMETERS!$CV$37*VLOOKUP(ProjLoc,EmCost,7)),0)</f>
        <v>0</v>
      </c>
      <c r="AA185" s="369">
        <f>(Q185+S185+U185+W185+Y185)-(R185+T185+V185+X185+Z185)</f>
        <v>129648.09655783395</v>
      </c>
      <c r="AB185" s="370">
        <f>AA185/(1+DiscRate)^(B185-YearCurrent)</f>
        <v>50578.506575051324</v>
      </c>
      <c r="AC185" s="371"/>
      <c r="AD185" s="856">
        <f>IF(INDEX(HwyTransitModelGroup,A178,1)=Hwy,0.00000110231131*(C185*(1-M185)*VLOOKUP(K185,EmAuto20,2)-D185*(1-N185)*VLOOKUP(L185,EmAuto20,2)+(O185*(1-M185)-P185*(1-N185))*VLOOKUP(0,EmAuto20,2))+0.00000110231131*(C185*M185*VLOOKUP(K185,EmTruck20,2)-D185*N185*VLOOKUP(L185,EmTruck20,2)+(O185*M185-P185*N185)*VLOOKUP(0,EmTruck20,2)),0)</f>
        <v>1.1455235920618942</v>
      </c>
      <c r="AE185" s="857">
        <f>IF(INDEX(HwyTransitModelGroup,A178,1)=Hwy,0.00000110231131*(C185*(1-M185)*VLOOKUP(K185,EmAuto20,3)-D185*(1-N185)*VLOOKUP(L185,EmAuto20,3)+(O185*(1-M185)-P185*(1-N185))*VLOOKUP(0,EmAuto20,3))+0.00000110231131*(C185*M185*VLOOKUP(K185,EmTruck20,3)-D185*N185*VLOOKUP(L185,EmTruck20,3)+(O185*M185-P185*N185)*VLOOKUP(0,EmTruck20,3)),0)</f>
        <v>1491.3454188435853</v>
      </c>
      <c r="AF185" s="857">
        <f>IF(INDEX(HwyTransitModelGroup,A178,1)=Hwy,0.00000110231131*(C185*(1-M185)*VLOOKUP(K185,EmAuto20,4)-D185*(1-N185)*VLOOKUP(L185,EmAuto20,4)+(O185*(1-M185)-P185*(1-N185))*VLOOKUP(0,EmAuto20,4))+0.00000110231131*(C185*M185*VLOOKUP(K185,EmTruck20,4)-D185*N185*VLOOKUP(L185,EmTruck20,4)+(O185*M185-P185*N185)*VLOOKUP(0,EmTruck20,4)),0)</f>
        <v>0.74250184108601391</v>
      </c>
      <c r="AG185" s="857">
        <f>IF(INDEX(HwyTransitModelGroup,A178,1)=Hwy,0.00000110231131*(C185*(1-M185)*VLOOKUP(K185,EmAuto20,5)-D185*(1-N185)*VLOOKUP(L185,EmAuto20,5)+(O185*(1-M185)-P185*(1-N185))*VLOOKUP(0,EmAuto20,5))+0.00000110231131*(C185*M185*VLOOKUP(K185,EmTruck20,5)-D185*N185*VLOOKUP(L185,EmTruck20,5)+(O185*M185-P185*N185)*VLOOKUP(0,EmTruck20,5)),0)</f>
        <v>1.9971009967393098E-2</v>
      </c>
      <c r="AH185" s="857">
        <f>IF(INDEX(HwyTransitModelGroup,A178,1)=Hwy,0.00000110231131*(C185*(1-M185)*VLOOKUP(K185,EmAuto20,6)-D185*(1-N185)*VLOOKUP(L185,EmAuto20,6)+(O185*(1-M185)-P185*(1-N185))*VLOOKUP(0,EmAuto20,6))+0.00000110231131*(C185*M185*VLOOKUP(K185,EmTruck20,6)-D185*N185*VLOOKUP(L185,EmTruck20,6)+(O185*M185-P185*N185)*VLOOKUP(0,EmTruck20,6)),0)</f>
        <v>1.4352047840974028E-2</v>
      </c>
      <c r="AI185" s="857">
        <f>IF(INDEX(HwyTransitModelGroup,A178,1)=Hwy,0.00000110231131*(C185*(1-M185)*VLOOKUP(K185,EmAuto20,7)-D185*(1-N185)*VLOOKUP(L185,EmAuto20,7)+(O185*(1-M185)-P185*(1-N185))*VLOOKUP(0,EmAuto20,7))+0.00000110231131*(C185*M185*VLOOKUP(K185,EmTruck20,7)-D185*N185*VLOOKUP(L185,EmTruck20,7)+(O185*M185-P185*N185)*VLOOKUP(0,EmTruck20,7)),0)</f>
        <v>2.5210861396126091E-2</v>
      </c>
      <c r="AJ185" s="858">
        <f>IF(INDEX(HwyTransitModelGroup,A178,1)=Hwy,0.00000110231131*(C185*(1-M185)*VLOOKUP(K185,EmAuto20,8)-D185*(1-N185)*VLOOKUP(L185,EmAuto20,8)+(O185*(1-M185)-P185*(1-N185))*VLOOKUP(0,EmAuto20,8))+0.00000110231131*(C185*M185*VLOOKUP(K185,EmTruck20,8)-D185*N185*VLOOKUP(L185,EmTruck20,8)+(O185*M185-P185*N185)*VLOOKUP(0,EmTruck20,8)),0)</f>
        <v>1.9158629900922871E-2</v>
      </c>
      <c r="AK185" s="856">
        <f>IF(INDEX(HwyTransitModelGroup,A178,1)=PARAMETERS!$J$9,0.00000110231131*(C185*VLOOKUP(K185,EmBus20,2)-D185*VLOOKUP(L185,EmBus20,2)+(O185-P185)*VLOOKUP(0,EmBus20,2)),0)</f>
        <v>0</v>
      </c>
      <c r="AL185" s="857">
        <f>IF(INDEX(HwyTransitModelGroup,A178,1)=PARAMETERS!$J$9,0.00000110231131*(C185*VLOOKUP(K185,EmBus20,3)-D185*VLOOKUP(L185,EmBus20,3)+(O185-P185)*VLOOKUP(0,EmBus20,3)),0)</f>
        <v>0</v>
      </c>
      <c r="AM185" s="857">
        <f>IF(INDEX(HwyTransitModelGroup,A178,1)=PARAMETERS!$J$9,0.00000110231131*(C185*VLOOKUP(K185,EmBus20,4)-D185*VLOOKUP(L185,EmBus20,4)+(O185-P185)*VLOOKUP(0,EmBus20,4)),0)</f>
        <v>0</v>
      </c>
      <c r="AN185" s="857">
        <f>IF(INDEX(HwyTransitModelGroup,A178,1)=PARAMETERS!$J$9,0.00000110231131*(C185*VLOOKUP(K185,EmBus20,5)-D185*VLOOKUP(L185,EmBus20,5)+(O185-P185)*VLOOKUP(0,EmBus20,5)),0)</f>
        <v>0</v>
      </c>
      <c r="AO185" s="857">
        <f>IF(INDEX(HwyTransitModelGroup,A178,1)=PARAMETERS!$J$9,0.00000110231131*(C185*VLOOKUP(K185,EmBus20,6)-D185*VLOOKUP(L185,EmBus20,6)+(O185-P185)*VLOOKUP(0,EmBus20,6)),0)</f>
        <v>0</v>
      </c>
      <c r="AP185" s="857">
        <f>IF(INDEX(HwyTransitModelGroup,A178,1)=PARAMETERS!$J$9,0.00000110231131*(C185*VLOOKUP(K185,EmBus20,7)-D185*VLOOKUP(L185,EmBus20,7)+(O185-P185)*VLOOKUP(0,EmBus20,7)),0)</f>
        <v>0</v>
      </c>
      <c r="AQ185" s="858">
        <f>IF(INDEX(HwyTransitModelGroup,A178,1)=PARAMETERS!$J$9,0.00000110231131*(C185*VLOOKUP(K185,EmBus20,8)-D185*VLOOKUP(L185,EmBus20,8)+(O185-P185)*VLOOKUP(0,EmBus20,8)),0)</f>
        <v>0</v>
      </c>
      <c r="AR185" s="856">
        <f>IF(INDEX(HwyTransitModelGroup,A178,1)=PARAMETERS!$J$10,0.00000110231131*((C185-D185)*PARAMETERS!$CQ$29),0)</f>
        <v>0</v>
      </c>
      <c r="AS185" s="857">
        <f>IF(INDEX(HwyTransitModelGroup,A178,1)=PARAMETERS!$J$10,0.00000110231131*((C185-D185)*PARAMETERS!$CR$29),0)</f>
        <v>0</v>
      </c>
      <c r="AT185" s="857">
        <f>IF(INDEX(HwyTransitModelGroup,A178,1)=PARAMETERS!$J$10,0.00000110231131*((C185-D185)*PARAMETERS!$CS$29),0)</f>
        <v>0</v>
      </c>
      <c r="AU185" s="857">
        <f>IF(INDEX(HwyTransitModelGroup,A178,1)=PARAMETERS!$J$10,0.00000110231131*((C185-D185)*PARAMETERS!$CT$29),0)</f>
        <v>0</v>
      </c>
      <c r="AV185" s="857">
        <f>IF(INDEX(HwyTransitModelGroup,A178,1)=PARAMETERS!$J$10,0.00000110231131*((C185-D185)*PARAMETERS!$CU$29),0)</f>
        <v>0</v>
      </c>
      <c r="AW185" s="857">
        <f>IF(INDEX(HwyTransitModelGroup,A178,1)=PARAMETERS!$J$10,0.00000110231131*((C185-D185)*PARAMETERS!$CV$29),0)</f>
        <v>0</v>
      </c>
      <c r="AX185" s="858">
        <f>IF(INDEX(HwyTransitModelGroup,A178,1)=PARAMETERS!$J$10,0.00000110231131*((C185-D185)*PARAMETERS!$CW$29),0)</f>
        <v>0</v>
      </c>
      <c r="AY185" s="856">
        <f>IF(INDEX(HwyTransitModelGroup,A178,1)=PARAMETERS!$J$11,0.00000110231131*((C185-D185)*PARAMETERS!$CQ$37),0)</f>
        <v>0</v>
      </c>
      <c r="AZ185" s="857">
        <f>IF(INDEX(HwyTransitModelGroup,A178,1)=PARAMETERS!$J$11,0.00000110231131*((C185-D185)*PARAMETERS!$CR$37),0)</f>
        <v>0</v>
      </c>
      <c r="BA185" s="857">
        <f>IF(INDEX(HwyTransitModelGroup,A178,1)=PARAMETERS!$J$11,0.00000110231131*((C185-D185)*PARAMETERS!$CS$37),0)</f>
        <v>0</v>
      </c>
      <c r="BB185" s="857">
        <f>IF(INDEX(HwyTransitModelGroup,A178,1)=PARAMETERS!$J$11,0.00000110231131*((C185-D185)*PARAMETERS!$CT$37),0)</f>
        <v>0</v>
      </c>
      <c r="BC185" s="857">
        <f>IF(INDEX(HwyTransitModelGroup,A178,1)=PARAMETERS!$J$11,0.00000110231131*((C185-D185)*PARAMETERS!$CU$37),0)</f>
        <v>0</v>
      </c>
      <c r="BD185" s="857">
        <f>IF(INDEX(HwyTransitModelGroup,A178,1)=PARAMETERS!$J$11,0.00000110231131*((C185-D185)*PARAMETERS!$CV$37),0)</f>
        <v>0</v>
      </c>
      <c r="BE185" s="858">
        <f>IF(INDEX(HwyTransitModelGroup,A178,1)=PARAMETERS!$J$11,0.00000110231131*((C185-D185)*PARAMETERS!$CW$37),0)</f>
        <v>0</v>
      </c>
      <c r="BF185" s="859">
        <f>(AD185+AK185+AR185+AY185)*VLOOKUP(ProjLoc,EmCost,2)/(1+DiscRate)^($B185-YearCurrent)</f>
        <v>35.751468210492895</v>
      </c>
      <c r="BG185" s="702">
        <f>(AE185+AL185+AS185+AZ185)*VLOOKUP(ProjLoc,EmCost,3)*(1+CO2Uprater)^($B185-YearCurrent)/(1+DiscRate)^($B185-YearCurrent)</f>
        <v>44918.315471535338</v>
      </c>
      <c r="BH185" s="702">
        <f>(AF185+AM185+AT185+BA185)*VLOOKUP(ProjLoc,EmCost,4)/(1+DiscRate)^($B185-YearCurrent)</f>
        <v>4373.9552855102856</v>
      </c>
      <c r="BI185" s="702">
        <f>(AG185+AN185+AU185+BB185)*VLOOKUP(ProjLoc,EmCost,5)/(1+DiscRate)^($B185-YearCurrent)</f>
        <v>909.22368680081922</v>
      </c>
      <c r="BJ185" s="702">
        <f>(AH185+AO185+AV185+BC185)*VLOOKUP(ProjLoc,EmCost,6)/(1+DiscRate)^($B185-YearCurrent)</f>
        <v>330.34348175111182</v>
      </c>
      <c r="BK185" s="384">
        <f>(AI185+AP185+AW185+BD185)*VLOOKUP(ProjLoc,EmCost,7)/(1+DiscRate)^($B185-YearCurrent)</f>
        <v>10.917181243249653</v>
      </c>
      <c r="BL185" s="374"/>
      <c r="BN185" s="316" t="s">
        <v>355</v>
      </c>
    </row>
    <row r="186" spans="1:72" x14ac:dyDescent="0.25">
      <c r="B186" s="385"/>
      <c r="C186" s="388"/>
      <c r="D186" s="388"/>
      <c r="E186" s="388"/>
      <c r="F186" s="388"/>
      <c r="G186" s="388"/>
      <c r="H186" s="388"/>
      <c r="I186" s="388"/>
      <c r="J186" s="388"/>
      <c r="K186" s="434"/>
      <c r="L186" s="434"/>
      <c r="M186" s="434"/>
      <c r="N186" s="434"/>
      <c r="O186" s="386"/>
      <c r="P186" s="386"/>
      <c r="Q186" s="386"/>
      <c r="R186" s="386"/>
      <c r="S186" s="386"/>
      <c r="T186" s="386"/>
      <c r="U186" s="386"/>
      <c r="V186" s="386"/>
      <c r="W186" s="842"/>
      <c r="X186" s="843"/>
      <c r="Y186" s="388"/>
      <c r="Z186" s="388"/>
      <c r="AA186" s="388"/>
      <c r="AB186" s="389"/>
      <c r="AC186" s="390"/>
      <c r="AD186" s="847"/>
      <c r="AE186" s="389"/>
      <c r="AF186" s="389"/>
      <c r="AG186" s="389"/>
      <c r="AH186" s="389"/>
      <c r="AI186" s="389"/>
      <c r="AJ186" s="848"/>
      <c r="AK186" s="847"/>
      <c r="AL186" s="389"/>
      <c r="AM186" s="389"/>
      <c r="AN186" s="389"/>
      <c r="AO186" s="389"/>
      <c r="AP186" s="389"/>
      <c r="AQ186" s="848"/>
      <c r="AR186" s="847"/>
      <c r="AS186" s="389"/>
      <c r="AT186" s="389"/>
      <c r="AU186" s="389"/>
      <c r="AV186" s="389"/>
      <c r="AW186" s="389"/>
      <c r="AX186" s="848"/>
      <c r="AY186" s="847"/>
      <c r="AZ186" s="389"/>
      <c r="BA186" s="389"/>
      <c r="BB186" s="389"/>
      <c r="BC186" s="389"/>
      <c r="BD186" s="389"/>
      <c r="BE186" s="848"/>
      <c r="BF186" s="388"/>
      <c r="BG186" s="388"/>
      <c r="BH186" s="388"/>
      <c r="BI186" s="388"/>
      <c r="BJ186" s="388"/>
      <c r="BK186" s="388"/>
      <c r="BL186" s="374"/>
      <c r="BN186" s="2"/>
      <c r="BO186" s="310"/>
      <c r="BP186" s="310"/>
      <c r="BQ186" s="310"/>
      <c r="BR186" s="310"/>
      <c r="BS186" s="310"/>
      <c r="BT186" s="310"/>
    </row>
    <row r="187" spans="1:72" x14ac:dyDescent="0.25">
      <c r="B187" s="375">
        <f>YearOpen</f>
        <v>2026</v>
      </c>
      <c r="C187" s="393">
        <f>MAX(TREND(C184:C185,B184:B185,B187),0)</f>
        <v>17745205</v>
      </c>
      <c r="D187" s="394">
        <f>MAX(TREND(D184:D185,B184:B185,B187),0)</f>
        <v>15841365</v>
      </c>
      <c r="E187" s="393">
        <f>MAX(TREND(E184:E185,B184:B185,B187),0)</f>
        <v>255500</v>
      </c>
      <c r="F187" s="394">
        <f>MAX(TREND(F184:F185,B184:B185,B187),0)</f>
        <v>227760</v>
      </c>
      <c r="G187" s="393">
        <f>MAX(TREND(G184:G185,B184:B185,B187),0)</f>
        <v>0</v>
      </c>
      <c r="H187" s="394">
        <f>MAX(TREND(H184:H185,B184:B185,B187),0)</f>
        <v>0</v>
      </c>
      <c r="I187" s="393">
        <f>MAX(TREND(I184:I185,B184:B185,B187),0)</f>
        <v>0</v>
      </c>
      <c r="J187" s="394">
        <f>MAX(TREND(J184:J185,B184:B185,B187),0)</f>
        <v>0</v>
      </c>
      <c r="K187" s="435">
        <f>IFERROR(IF(INDEX(HwyTransitModelGroup,A178,1)=Hwy,MAX(5,ROUND(C187/E187,1)),MAX(5,ROUND(G187/I187,1))),55)</f>
        <v>69.5</v>
      </c>
      <c r="L187" s="436">
        <f>IFERROR(IF(INDEX(HwyTransitModelGroup,A178,1)=Hwy,MAX(5,ROUND(D187/F187,1)),MAX(5,ROUND(H187/J187,1))),55)</f>
        <v>69.599999999999994</v>
      </c>
      <c r="M187" s="397">
        <f>MIN(MAX(TREND(M184:M185,B184:B185,B187),0),1)</f>
        <v>0.24</v>
      </c>
      <c r="N187" s="398">
        <f>MIN(MAX(TREND(N184:N185,B184:B185,B187),0),1)</f>
        <v>0.24</v>
      </c>
      <c r="O187" s="393">
        <f>MAX(TREND(O184:O185,B184:B185,B187),0)</f>
        <v>0</v>
      </c>
      <c r="P187" s="394">
        <f>MAX(TREND(P184:P185,B184:B185,B187),0)</f>
        <v>0</v>
      </c>
      <c r="Q187" s="727">
        <f>IF(INDEX(HwyTransitModelGroup,A178,1)=Hwy,C187*(1-M187)*0.00000110231131*(VLOOKUP(K187,EmAuto1,2)*VLOOKUP(ProjLoc,EmCost,2)+VLOOKUP(K187,EmAuto1,3)*VLOOKUP(ProjLoc,EmCost,3)*(1+CO2Uprater)^($B187-YearCurrent)+VLOOKUP(K187,EmAuto1,4)*VLOOKUP(ProjLoc,EmCost,4)+VLOOKUP(K187,EmAuto1,5)*VLOOKUP(ProjLoc,EmCost,5)+VLOOKUP(K187,EmAuto1,6)*VLOOKUP(ProjLoc,EmCost,6)+VLOOKUP(K187,EmAuto1,7)*VLOOKUP(ProjLoc,EmCost,7))+C187*M187*0.00000110231131*(VLOOKUP(K187,EmTruck1,2)*VLOOKUP(ProjLoc,EmCost,2)+VLOOKUP(K187,EmTruck1,3)*VLOOKUP(ProjLoc,EmCost,3)*(1+CO2Uprater)^($B187-YearCurrent)+VLOOKUP(K187,EmTruck1,4)*VLOOKUP(ProjLoc,EmCost,4)+VLOOKUP(K187,EmTruck1,5)*VLOOKUP(ProjLoc,EmCost,5)+VLOOKUP(K187,EmTruck1,6)*VLOOKUP(ProjLoc,EmCost,6)+VLOOKUP(K187,EmTruck1,7)*VLOOKUP(ProjLoc,EmCost,7)),0)</f>
        <v>721730.06026630383</v>
      </c>
      <c r="R187" s="801">
        <f>IF(INDEX(HwyTransitModelGroup,A178,1)=Hwy,D187*(1-N187)*0.00000110231131*(VLOOKUP(L187,EmAuto1,2)*VLOOKUP(ProjLoc,EmCost,2)+VLOOKUP(L187,EmAuto1,3)*VLOOKUP(ProjLoc,EmCost,3)*(1+CO2Uprater)^($B187-YearCurrent)+VLOOKUP(L187,EmAuto1,4)*VLOOKUP(ProjLoc,EmCost,4)+VLOOKUP(L187,EmAuto1,5)*VLOOKUP(ProjLoc,EmCost,5)+VLOOKUP(L187,EmAuto1,6)*VLOOKUP(ProjLoc,EmCost,6)+VLOOKUP(L187,EmAuto1,7)*VLOOKUP(ProjLoc,EmCost,7))+D187*N187*0.00000110231131*(VLOOKUP(L187,EmTruck1,2)*VLOOKUP(ProjLoc,EmCost,2)+VLOOKUP(L187,EmTruck1,3)*VLOOKUP(ProjLoc,EmCost,3)*(1+CO2Uprater)^($B187-YearCurrent)+VLOOKUP(L187,EmTruck1,4)*VLOOKUP(ProjLoc,EmCost,4)+VLOOKUP(L187,EmTruck1,5)*VLOOKUP(ProjLoc,EmCost,5)+VLOOKUP(L187,EmTruck1,6)*VLOOKUP(ProjLoc,EmCost,6)+VLOOKUP(L187,EmTruck1,7)*VLOOKUP(ProjLoc,EmCost,7)),0)</f>
        <v>644297.3927971255</v>
      </c>
      <c r="S187" s="727">
        <f>IF(INDEX(HwyTransitModelGroup,A178,1)=Hwy,O187*(1-M187)*0.00000110231131*(VLOOKUP(0,EmAuto1,2)*VLOOKUP(ProjLoc,EmCost,2)+VLOOKUP(0,EmAuto1,3)*VLOOKUP(ProjLoc,EmCost,3)*(1+CO2Uprater)^($B187-YearCurrent)+VLOOKUP(0,EmAuto1,4)*VLOOKUP(ProjLoc,EmCost,4)+VLOOKUP(0,EmAuto1,5)*VLOOKUP(ProjLoc,EmCost,5)+VLOOKUP(0,EmAuto1,6)*VLOOKUP(ProjLoc,EmCost,6)+VLOOKUP(0,EmAuto1,7)*VLOOKUP(ProjLoc,EmCost,7))+O187*M187*0.00000110231131*(VLOOKUP(0,EmTruck1,2)*VLOOKUP(ProjLoc,EmCost,2)+VLOOKUP(0,EmTruck1,3)*VLOOKUP(ProjLoc,EmCost,3)*(1+CO2Uprater)^($B187-YearCurrent)+VLOOKUP(0,EmTruck1,4)*VLOOKUP(ProjLoc,EmCost,4)+VLOOKUP(0,EmTruck1,5)*VLOOKUP(ProjLoc,EmCost,5)+VLOOKUP(0,EmTruck1,6)*VLOOKUP(ProjLoc,EmCost,6)+VLOOKUP(0,EmTruck1,7)*VLOOKUP(ProjLoc,EmCost,7)),0)</f>
        <v>0</v>
      </c>
      <c r="T187" s="801">
        <f>IF(INDEX(HwyTransitModelGroup,A178,1)=Hwy,P187*(1-N187)*0.00000110231131*(VLOOKUP(0,EmAuto1,2)*VLOOKUP(ProjLoc,EmCost,2)+VLOOKUP(0,EmAuto1,3)*VLOOKUP(ProjLoc,EmCost,3)*(1+CO2Uprater)^($B187-YearCurrent)+VLOOKUP(0,EmAuto1,4)*VLOOKUP(ProjLoc,EmCost,4)+VLOOKUP(0,EmAuto1,5)*VLOOKUP(ProjLoc,EmCost,5)+VLOOKUP(0,EmAuto1,6)*VLOOKUP(ProjLoc,EmCost,6)+VLOOKUP(0,EmAuto1,7)*VLOOKUP(ProjLoc,EmCost,7))+P187*N187*0.00000110231131*(VLOOKUP(0,EmTruck1,2)*VLOOKUP(ProjLoc,EmCost,2)+VLOOKUP(0,EmTruck1,3)*VLOOKUP(ProjLoc,EmCost,3)*(1+CO2Uprater)^($B187-YearCurrent)+VLOOKUP(0,EmTruck1,4)*VLOOKUP(ProjLoc,EmCost,4)+VLOOKUP(0,EmTruck1,5)*VLOOKUP(ProjLoc,EmCost,5)+VLOOKUP(0,EmTruck1,6)*VLOOKUP(ProjLoc,EmCost,6)+VLOOKUP(0,EmTruck1,7)*VLOOKUP(ProjLoc,EmCost,7)),0)</f>
        <v>0</v>
      </c>
      <c r="U187" s="727">
        <f>IF(INDEX(HwyTransitModelGroup,A178,1)=PARAMETERS!$J$9,C187*0.00000110231131*(VLOOKUP(K187,EmBus1,2)*VLOOKUP(ProjLoc,EmCost,2)+VLOOKUP(K187,EmBus1,3)*VLOOKUP(ProjLoc,EmCost,3)*(1+CO2Uprater)^($B187-YearCurrent)+VLOOKUP(K187,EmBus1,4)*VLOOKUP(ProjLoc,EmCost,4)+VLOOKUP(K187,EmBus1,5)*VLOOKUP(ProjLoc,EmCost,5)+VLOOKUP(K187,EmBus1,6)*VLOOKUP(ProjLoc,EmCost,6)+VLOOKUP(K187,EmBus1,7)*VLOOKUP(ProjLoc,EmCost,7)),0)</f>
        <v>0</v>
      </c>
      <c r="V187" s="801">
        <f>IF(INDEX(HwyTransitModelGroup,A178,1)=PARAMETERS!$J$9,D187*0.00000110231131*(VLOOKUP(L187,EmBus1,2)*VLOOKUP(ProjLoc,EmCost,2)+VLOOKUP(L187,EmBus1,3)*VLOOKUP(ProjLoc,EmCost,3)*(1+CO2Uprater)^($B187-YearCurrent)+VLOOKUP(L187,EmBus1,4)*VLOOKUP(ProjLoc,EmCost,4)+VLOOKUP(L187,EmBus1,5)*VLOOKUP(ProjLoc,EmCost,5)+VLOOKUP(L187,EmBus1,6)*VLOOKUP(ProjLoc,EmCost,6)+VLOOKUP(L187,EmBus1,7)*VLOOKUP(ProjLoc,EmCost,7)),0)</f>
        <v>0</v>
      </c>
      <c r="W187" s="808">
        <f>IF(INDEX(HwyTransitModelGroup,A178,1)=PARAMETERS!$J$10,C187*0.00000110231131*(PARAMETERS!$CQ$28*VLOOKUP(ProjLoc,EmCost,2)+PARAMETERS!$CR$28*VLOOKUP(ProjLoc,EmCost,3)*(1+CO2Uprater)^($B187-YearCurrent)+PARAMETERS!$CS$28*VLOOKUP(ProjLoc,EmCost,4)+PARAMETERS!$CT$28*VLOOKUP(ProjLoc,EmCost,5)+PARAMETERS!$CU$28*VLOOKUP(ProjLoc,EmCost,6)+PARAMETERS!$CV$28*VLOOKUP(ProjLoc,EmCost,7)),0)</f>
        <v>0</v>
      </c>
      <c r="X187" s="844">
        <f>IF(INDEX(HwyTransitModelGroup,A178,1)=PARAMETERS!$J$10,D187*0.00000110231131*(PARAMETERS!$CQ$28*VLOOKUP(ProjLoc,EmCost,2)+PARAMETERS!$CR$28*VLOOKUP(ProjLoc,EmCost,3)*(1+CO2Uprater)^($B187-YearCurrent)+PARAMETERS!$CS$28*VLOOKUP(ProjLoc,EmCost,4)+PARAMETERS!$CT$28*VLOOKUP(ProjLoc,EmCost,5)+PARAMETERS!$CU$28*VLOOKUP(ProjLoc,EmCost,6)+PARAMETERS!$CV$28*VLOOKUP(ProjLoc,EmCost,7)),0)</f>
        <v>0</v>
      </c>
      <c r="Y187" s="808">
        <f>IF(INDEX(HwyTransitModelGroup,A178,1)=PARAMETERS!$J$11,C187*0.00000110231131*(PARAMETERS!$CQ$36*VLOOKUP(ProjLoc,EmCost,2)+PARAMETERS!$CR$36*VLOOKUP(ProjLoc,EmCost,3)*(1+CO2Uprater)^($B187-YearCurrent)+PARAMETERS!$CS$36*VLOOKUP(ProjLoc,EmCost,4)+PARAMETERS!$CT$36*VLOOKUP(ProjLoc,EmCost,5)+PARAMETERS!$CU$36*VLOOKUP(ProjLoc,EmCost,6)+PARAMETERS!$CV$36*VLOOKUP(ProjLoc,EmCost,7)),0)</f>
        <v>0</v>
      </c>
      <c r="Z187" s="844">
        <f>IF(INDEX(HwyTransitModelGroup,A178,1)=PARAMETERS!$J$11,D187*0.00000110231131*(PARAMETERS!$CQ$36*VLOOKUP(ProjLoc,EmCost,2)+PARAMETERS!$CR$36*VLOOKUP(ProjLoc,EmCost,3)*(1+CO2Uprater)^($B187-YearCurrent)+PARAMETERS!$CS$36*VLOOKUP(ProjLoc,EmCost,4)+PARAMETERS!$CT$36*VLOOKUP(ProjLoc,EmCost,5)+PARAMETERS!$CU$36*VLOOKUP(ProjLoc,EmCost,6)+PARAMETERS!$CV$36*VLOOKUP(ProjLoc,EmCost,7)),0)</f>
        <v>0</v>
      </c>
      <c r="AA187" s="369">
        <f t="shared" ref="AA187:AA206" si="80">(Q187+S187+U187+W187+Y187)-(R187+T187+V187+X187+Z187)</f>
        <v>77432.667469178326</v>
      </c>
      <c r="AB187" s="370">
        <f t="shared" ref="AB187:AB206" si="81">AA187/(1+DiscRate)^(B187-YearCurrent)</f>
        <v>66189.768675264742</v>
      </c>
      <c r="AC187" s="371"/>
      <c r="AD187" s="393">
        <f>IF(INDEX(HwyTransitModelGroup,A178,1)=Hwy,0.00000110231131*(C187*(1-M187)*VLOOKUP(K187,EmAuto1,2)-D187*(1-N187)*VLOOKUP(L187,EmAuto1,2)+(O187*(1-M187)-P187*(1-N187))*VLOOKUP(0,EmAuto1,2))+0.00000110231131*(C187*M187*VLOOKUP(K187,EmTruck1,2)-D187*N187*VLOOKUP(L187,EmTruck1,2)+(O187*M187-P187*N187)*VLOOKUP(0,EmTruck1,2)),0)</f>
        <v>1.3243327079250757</v>
      </c>
      <c r="AE187" s="862">
        <f>IF(INDEX(HwyTransitModelGroup,A178,1)=Hwy,0.00000110231131*(C187*(1-M187)*VLOOKUP(K187,EmAuto1,3)-D187*(1-N187)*VLOOKUP(L187,EmAuto1,3)+(O187*(1-M187)-P187*(1-N187))*VLOOKUP(0,EmAuto1,3))+0.00000110231131*(C187*M187*VLOOKUP(K187,EmTruck1,3)-D187*N187*VLOOKUP(L187,EmTruck1,3)+(O187*M187-P187*N187)*VLOOKUP(0,EmTruck1,3)),0)</f>
        <v>1200.987916089618</v>
      </c>
      <c r="AF187" s="860">
        <f>IF(INDEX(HwyTransitModelGroup,A178,1)=Hwy,0.00000110231131*(C187*(1-M187)*VLOOKUP(K187,EmAuto1,4)-D187*(1-N187)*VLOOKUP(L187,EmAuto1,4)+(O187*(1-M187)-P187*(1-N187))*VLOOKUP(0,EmAuto1,4))+0.00000110231131*(C187*M187*VLOOKUP(K187,EmTruck1,4)-D187*N187*VLOOKUP(L187,EmTruck1,4)+(O187*M187-P187*N187)*VLOOKUP(0,EmTruck1,4)),0)</f>
        <v>0.81280561084135261</v>
      </c>
      <c r="AG187" s="862">
        <f>IF(INDEX(HwyTransitModelGroup,A178,1)=Hwy,0.00000110231131*(C187*(1-M187)*VLOOKUP(K187,EmAuto1,5)-D187*(1-N187)*VLOOKUP(L187,EmAuto1,5)+(O187*(1-M187)-P187*(1-N187))*VLOOKUP(0,EmAuto1,5))+0.00000110231131*(C187*M187*VLOOKUP(K187,EmTruck1,5)-D187*N187*VLOOKUP(L187,EmTruck1,5)+(O187*M187-P187*N187)*VLOOKUP(0,EmTruck1,5)),0)</f>
        <v>1.648679300696524E-2</v>
      </c>
      <c r="AH187" s="860">
        <f>IF(INDEX(HwyTransitModelGroup,A178,1)=Hwy,0.00000110231131*(C187*(1-M187)*VLOOKUP(K187,EmAuto1,6)-D187*(1-N187)*VLOOKUP(L187,EmAuto1,6)+(O187*(1-M187)-P187*(1-N187))*VLOOKUP(0,EmAuto1,6))+0.00000110231131*(C187*M187*VLOOKUP(K187,EmTruck1,6)-D187*N187*VLOOKUP(L187,EmTruck1,6)+(O187*M187-P187*N187)*VLOOKUP(0,EmTruck1,6)),0)</f>
        <v>1.1617984481486706E-2</v>
      </c>
      <c r="AI187" s="862">
        <f>IF(INDEX(HwyTransitModelGroup,A178,1)=Hwy,0.00000110231131*(C187*(1-M187)*VLOOKUP(K187,EmAuto1,7)-D187*(1-N187)*VLOOKUP(L187,EmAuto1,7)+(O187*(1-M187)-P187*(1-N187))*VLOOKUP(0,EmAuto1,7))+0.00000110231131*(C187*M187*VLOOKUP(K187,EmTruck1,7)-D187*N187*VLOOKUP(L187,EmTruck1,7)+(O187*M187-P187*N187)*VLOOKUP(0,EmTruck1,7)),0)</f>
        <v>4.0058541868247484E-2</v>
      </c>
      <c r="AJ187" s="860">
        <f>IF(INDEX(HwyTransitModelGroup,A178,1)=Hwy,0.00000110231131*(C187*(1-M187)*VLOOKUP(K187,EmAuto1,8)-D187*(1-N187)*VLOOKUP(L187,EmAuto1,8)+(O187*(1-M187)-P187*(1-N187))*VLOOKUP(0,EmAuto1,8))+0.00000110231131*(C187*M187*VLOOKUP(K187,EmTruck1,8)-D187*N187*VLOOKUP(L187,EmTruck1,8)+(O187*M187-P187*N187)*VLOOKUP(0,EmTruck1,8)),0)</f>
        <v>1.5722893738312576E-2</v>
      </c>
      <c r="AK187" s="393">
        <f>IF(INDEX(HwyTransitModelGroup,A178,1)=PARAMETERS!$J$9,0.00000110231131*(C187*VLOOKUP(K187,EmBus1,2)-D187*VLOOKUP(L187,EmBus1,2)+(O187-P187)*VLOOKUP(0,EmBus1,2)),0)</f>
        <v>0</v>
      </c>
      <c r="AL187" s="862">
        <f>IF(INDEX(HwyTransitModelGroup,A178,1)=PARAMETERS!$J$9,0.00000110231131*(C187*VLOOKUP(K187,EmBus1,3)-D187*VLOOKUP(L187,EmBus1,3)+(O187-P187)*VLOOKUP(0,EmBus1,3)),0)</f>
        <v>0</v>
      </c>
      <c r="AM187" s="860">
        <f>IF(INDEX(HwyTransitModelGroup,A178,1)=PARAMETERS!$J$9,0.00000110231131*(C187*VLOOKUP(K187,EmBus1,4)-D187*VLOOKUP(L187,EmBus1,4)+(O187-P187)*VLOOKUP(0,EmBus1,4)),0)</f>
        <v>0</v>
      </c>
      <c r="AN187" s="862">
        <f>IF(INDEX(HwyTransitModelGroup,A178,1)=PARAMETERS!$J$9,0.00000110231131*(C187*VLOOKUP(K187,EmBus1,5)-D187*VLOOKUP(L187,EmBus1,5)+(O187-P187)*VLOOKUP(0,EmBus1,5)),0)</f>
        <v>0</v>
      </c>
      <c r="AO187" s="860">
        <f>IF(INDEX(HwyTransitModelGroup,A178,1)=PARAMETERS!$J$9,0.00000110231131*(C187*VLOOKUP(K187,EmBus1,6)-D187*VLOOKUP(L187,EmBus1,6)+(O187-P187)*VLOOKUP(0,EmBus1,6)),0)</f>
        <v>0</v>
      </c>
      <c r="AP187" s="862">
        <f>IF(INDEX(HwyTransitModelGroup,A178,1)=PARAMETERS!$J$9,0.00000110231131*(C187*VLOOKUP(K187,EmBus1,7)-D187*VLOOKUP(L187,EmBus1,7)+(O187-P187)*VLOOKUP(0,EmBus1,7)),0)</f>
        <v>0</v>
      </c>
      <c r="AQ187" s="860">
        <f>IF(INDEX(HwyTransitModelGroup,A178,1)=PARAMETERS!$J$9,0.00000110231131*(C187*VLOOKUP(K187,EmBus1,8)-D187*VLOOKUP(L187,EmBus1,8)+(O187-P187)*VLOOKUP(0,EmBus1,8)),0)</f>
        <v>0</v>
      </c>
      <c r="AR187" s="393">
        <f>IF(INDEX(HwyTransitModelGroup,A178,1)=PARAMETERS!$J$10,0.00000110231131*((C187-D187)*PARAMETERS!$CQ$28),0)</f>
        <v>0</v>
      </c>
      <c r="AS187" s="862">
        <f>IF(INDEX(HwyTransitModelGroup,A178,1)=PARAMETERS!$J$10,0.00000110231131*((C187-D187)*PARAMETERS!$CR$28),0)</f>
        <v>0</v>
      </c>
      <c r="AT187" s="860">
        <f>IF(INDEX(HwyTransitModelGroup,A178,1)=PARAMETERS!$J$10,0.00000110231131*((C187-D187)*PARAMETERS!$CS$28),0)</f>
        <v>0</v>
      </c>
      <c r="AU187" s="862">
        <f>IF(INDEX(HwyTransitModelGroup,A178,1)=PARAMETERS!$J$10,0.00000110231131*((C187-D187)*PARAMETERS!$CT$28),0)</f>
        <v>0</v>
      </c>
      <c r="AV187" s="860">
        <f>IF(INDEX(HwyTransitModelGroup,A178,1)=PARAMETERS!$J$10,0.00000110231131*((C187-D187)*PARAMETERS!$CU$28),0)</f>
        <v>0</v>
      </c>
      <c r="AW187" s="862">
        <f>IF(INDEX(HwyTransitModelGroup,A178,1)=PARAMETERS!$J$10,0.00000110231131*((C187-D187)*PARAMETERS!$CV$28),0)</f>
        <v>0</v>
      </c>
      <c r="AX187" s="860">
        <f>IF(INDEX(HwyTransitModelGroup,A178,1)=PARAMETERS!$J$10,0.00000110231131*((C187-D187)*PARAMETERS!$CW$28),0)</f>
        <v>0</v>
      </c>
      <c r="AY187" s="393">
        <f>IF(INDEX(HwyTransitModelGroup,A178,1)=PARAMETERS!$J$11,0.00000110231131*((C187-D187)*PARAMETERS!$CQ$36),0)</f>
        <v>0</v>
      </c>
      <c r="AZ187" s="862">
        <f>IF(INDEX(HwyTransitModelGroup,A178,1)=PARAMETERS!$J$11,0.00000110231131*((C187-D187)*PARAMETERS!$CR$36),0)</f>
        <v>0</v>
      </c>
      <c r="BA187" s="860">
        <f>IF(INDEX(HwyTransitModelGroup,A178,1)=PARAMETERS!$J$11,0.00000110231131*((C187-D187)*PARAMETERS!$CS$36),0)</f>
        <v>0</v>
      </c>
      <c r="BB187" s="862">
        <f>IF(INDEX(HwyTransitModelGroup,A178,1)=PARAMETERS!$J$11,0.00000110231131*((C187-D187)*PARAMETERS!$CT$36),0)</f>
        <v>0</v>
      </c>
      <c r="BC187" s="860">
        <f>IF(INDEX(HwyTransitModelGroup,A178,1)=PARAMETERS!$J$11,0.00000110231131*((C187-D187)*PARAMETERS!$CU$36),0)</f>
        <v>0</v>
      </c>
      <c r="BD187" s="862">
        <f>IF(INDEX(HwyTransitModelGroup,A178,1)=PARAMETERS!$J$11,0.00000110231131*((C187-D187)*PARAMETERS!$CV$36),0)</f>
        <v>0</v>
      </c>
      <c r="BE187" s="864">
        <f>IF(INDEX(HwyTransitModelGroup,A178,1)=PARAMETERS!$J$11,0.00000110231131*((C187-D187)*PARAMETERS!$CW$36),0)</f>
        <v>0</v>
      </c>
      <c r="BF187" s="727">
        <f t="shared" ref="BF187:BF206" si="82">(AD187+AK187+AR187+AY187)*VLOOKUP(ProjLoc,EmCost,2)/(1+DiscRate)^($B187-YearCurrent)</f>
        <v>90.563611924168029</v>
      </c>
      <c r="BG187" s="866">
        <f t="shared" ref="BG187:BG206" si="83">(AE187+AL187+AS187+AZ187)*VLOOKUP(ProjLoc,EmCost,3)*(1+CO2Uprater)^($B187-YearCurrent)/(1+DiscRate)^($B187-YearCurrent)</f>
        <v>53339.286861349814</v>
      </c>
      <c r="BH187" s="866">
        <f t="shared" ref="BH187:BH206" si="84">(AF187+AM187+AT187+BA187)*VLOOKUP(ProjLoc,EmCost,4)/(1+DiscRate)^($B187-YearCurrent)</f>
        <v>10491.323603858933</v>
      </c>
      <c r="BI187" s="866">
        <f t="shared" ref="BI187:BI206" si="85">(AG187+AN187+AU187+BB187)*VLOOKUP(ProjLoc,EmCost,5)/(1+DiscRate)^($B187-YearCurrent)</f>
        <v>1644.6507378745368</v>
      </c>
      <c r="BJ187" s="866">
        <f t="shared" ref="BJ187:BJ206" si="86">(AH187+AO187+AV187+BC187)*VLOOKUP(ProjLoc,EmCost,6)/(1+DiscRate)^($B187-YearCurrent)</f>
        <v>585.93500773949597</v>
      </c>
      <c r="BK187" s="868">
        <f t="shared" ref="BK187:BK206" si="87">(AI187+AP187+AW187+BD187)*VLOOKUP(ProjLoc,EmCost,7)/(1+DiscRate)^($B187-YearCurrent)</f>
        <v>38.008852517824629</v>
      </c>
      <c r="BL187" s="374"/>
    </row>
    <row r="188" spans="1:72" x14ac:dyDescent="0.25">
      <c r="B188" s="375">
        <f>B187+1</f>
        <v>2027</v>
      </c>
      <c r="C188" s="401">
        <f>MAX(TREND(C184:C185,B184:B185,B188),0)</f>
        <v>17984225.25</v>
      </c>
      <c r="D188" s="402">
        <f>MAX(TREND(D184:D185,B184:B185,B188),0)</f>
        <v>16022040</v>
      </c>
      <c r="E188" s="401">
        <f>MAX(TREND(E184:E185,B184:B185,B188),0)</f>
        <v>259022.25</v>
      </c>
      <c r="F188" s="402">
        <f>MAX(TREND(F184:F185,B184:B185,B188),0)</f>
        <v>230406.25</v>
      </c>
      <c r="G188" s="401">
        <f>MAX(TREND(G184:G185,B184:B185,B188),0)</f>
        <v>0</v>
      </c>
      <c r="H188" s="402">
        <f>MAX(TREND(H184:H185,B184:B185,B188),0)</f>
        <v>0</v>
      </c>
      <c r="I188" s="401">
        <f>MAX(TREND(I184:I185,B184:B185,B188),0)</f>
        <v>0</v>
      </c>
      <c r="J188" s="402">
        <f>MAX(TREND(J184:J185,B184:B185,B188),0)</f>
        <v>0</v>
      </c>
      <c r="K188" s="435">
        <f>IFERROR(IF(INDEX(HwyTransitModelGroup,A178,1)=Hwy,MAX(5,ROUND(C188/E188,1)),MAX(5,ROUND(G188/I188,1))),55)</f>
        <v>69.400000000000006</v>
      </c>
      <c r="L188" s="436">
        <f>IFERROR(IF(INDEX(HwyTransitModelGroup,A178,1)=Hwy,MAX(5,ROUND(D188/F188,1)),MAX(5,ROUND(H188/J188,1))),55)</f>
        <v>69.5</v>
      </c>
      <c r="M188" s="405">
        <f>MIN(MAX(TREND(M184:M185,B184:B185,B188),0),1)</f>
        <v>0.24</v>
      </c>
      <c r="N188" s="406">
        <f>MIN(MAX(TREND(N184:N185,B184:B185,B188),0),1)</f>
        <v>0.24</v>
      </c>
      <c r="O188" s="401">
        <f>MAX(TREND(O184:O185,B184:B185,B188),0)</f>
        <v>0</v>
      </c>
      <c r="P188" s="402">
        <f>MAX(TREND(P184:P185,B184:B185,B188),0)</f>
        <v>0</v>
      </c>
      <c r="Q188" s="729">
        <f>IF(INDEX(HwyTransitModelGroup,A178,1)=Hwy,C188*(1-M188)*0.00000110231131*(VLOOKUP(K188,EmAuto1,2)*VLOOKUP(ProjLoc,EmCost,2)+VLOOKUP(K188,EmAuto1,3)*VLOOKUP(ProjLoc,EmCost,3)*(1+CO2Uprater)^($B188-YearCurrent)+VLOOKUP(K188,EmAuto1,4)*VLOOKUP(ProjLoc,EmCost,4)+VLOOKUP(K188,EmAuto1,5)*VLOOKUP(ProjLoc,EmCost,5)+VLOOKUP(K188,EmAuto1,6)*VLOOKUP(ProjLoc,EmCost,6)+VLOOKUP(K188,EmAuto1,7)*VLOOKUP(ProjLoc,EmCost,7))+C188*M188*0.00000110231131*(VLOOKUP(K188,EmTruck1,2)*VLOOKUP(ProjLoc,EmCost,2)+VLOOKUP(K188,EmTruck1,3)*VLOOKUP(ProjLoc,EmCost,3)*(1+CO2Uprater)^($B188-YearCurrent)+VLOOKUP(K188,EmTruck1,4)*VLOOKUP(ProjLoc,EmCost,4)+VLOOKUP(K188,EmTruck1,5)*VLOOKUP(ProjLoc,EmCost,5)+VLOOKUP(K188,EmTruck1,6)*VLOOKUP(ProjLoc,EmCost,6)+VLOOKUP(K188,EmTruck1,7)*VLOOKUP(ProjLoc,EmCost,7)),0)</f>
        <v>743240.31349455682</v>
      </c>
      <c r="R188" s="802">
        <f>IF(INDEX(HwyTransitModelGroup,A178,1)=Hwy,D188*(1-N188)*0.00000110231131*(VLOOKUP(L188,EmAuto1,2)*VLOOKUP(ProjLoc,EmCost,2)+VLOOKUP(L188,EmAuto1,3)*VLOOKUP(ProjLoc,EmCost,3)*(1+CO2Uprater)^($B188-YearCurrent)+VLOOKUP(L188,EmAuto1,4)*VLOOKUP(ProjLoc,EmCost,4)+VLOOKUP(L188,EmAuto1,5)*VLOOKUP(ProjLoc,EmCost,5)+VLOOKUP(L188,EmAuto1,6)*VLOOKUP(ProjLoc,EmCost,6)+VLOOKUP(L188,EmAuto1,7)*VLOOKUP(ProjLoc,EmCost,7))+D188*N188*0.00000110231131*(VLOOKUP(L188,EmTruck1,2)*VLOOKUP(ProjLoc,EmCost,2)+VLOOKUP(L188,EmTruck1,3)*VLOOKUP(ProjLoc,EmCost,3)*(1+CO2Uprater)^($B188-YearCurrent)+VLOOKUP(L188,EmTruck1,4)*VLOOKUP(ProjLoc,EmCost,4)+VLOOKUP(L188,EmTruck1,5)*VLOOKUP(ProjLoc,EmCost,5)+VLOOKUP(L188,EmTruck1,6)*VLOOKUP(ProjLoc,EmCost,6)+VLOOKUP(L188,EmTruck1,7)*VLOOKUP(ProjLoc,EmCost,7)),0)</f>
        <v>662148.40321922279</v>
      </c>
      <c r="S188" s="729">
        <f>IF(INDEX(HwyTransitModelGroup,A178,1)=Hwy,O188*(1-M188)*0.00000110231131*(VLOOKUP(0,EmAuto1,2)*VLOOKUP(ProjLoc,EmCost,2)+VLOOKUP(0,EmAuto1,3)*VLOOKUP(ProjLoc,EmCost,3)*(1+CO2Uprater)^($B188-YearCurrent)+VLOOKUP(0,EmAuto1,4)*VLOOKUP(ProjLoc,EmCost,4)+VLOOKUP(0,EmAuto1,5)*VLOOKUP(ProjLoc,EmCost,5)+VLOOKUP(0,EmAuto1,6)*VLOOKUP(ProjLoc,EmCost,6)+VLOOKUP(0,EmAuto1,7)*VLOOKUP(ProjLoc,EmCost,7))+O188*M188*0.00000110231131*(VLOOKUP(0,EmTruck1,2)*VLOOKUP(ProjLoc,EmCost,2)+VLOOKUP(0,EmTruck1,3)*VLOOKUP(ProjLoc,EmCost,3)*(1+CO2Uprater)^($B188-YearCurrent)+VLOOKUP(0,EmTruck1,4)*VLOOKUP(ProjLoc,EmCost,4)+VLOOKUP(0,EmTruck1,5)*VLOOKUP(ProjLoc,EmCost,5)+VLOOKUP(0,EmTruck1,6)*VLOOKUP(ProjLoc,EmCost,6)+VLOOKUP(0,EmTruck1,7)*VLOOKUP(ProjLoc,EmCost,7)),0)</f>
        <v>0</v>
      </c>
      <c r="T188" s="802">
        <f>IF(INDEX(HwyTransitModelGroup,A178,1)=Hwy,P188*(1-N188)*0.00000110231131*(VLOOKUP(0,EmAuto1,2)*VLOOKUP(ProjLoc,EmCost,2)+VLOOKUP(0,EmAuto1,3)*VLOOKUP(ProjLoc,EmCost,3)*(1+CO2Uprater)^($B188-YearCurrent)+VLOOKUP(0,EmAuto1,4)*VLOOKUP(ProjLoc,EmCost,4)+VLOOKUP(0,EmAuto1,5)*VLOOKUP(ProjLoc,EmCost,5)+VLOOKUP(0,EmAuto1,6)*VLOOKUP(ProjLoc,EmCost,6)+VLOOKUP(0,EmAuto1,7)*VLOOKUP(ProjLoc,EmCost,7))+P188*N188*0.00000110231131*(VLOOKUP(0,EmTruck1,2)*VLOOKUP(ProjLoc,EmCost,2)+VLOOKUP(0,EmTruck1,3)*VLOOKUP(ProjLoc,EmCost,3)*(1+CO2Uprater)^($B188-YearCurrent)+VLOOKUP(0,EmTruck1,4)*VLOOKUP(ProjLoc,EmCost,4)+VLOOKUP(0,EmTruck1,5)*VLOOKUP(ProjLoc,EmCost,5)+VLOOKUP(0,EmTruck1,6)*VLOOKUP(ProjLoc,EmCost,6)+VLOOKUP(0,EmTruck1,7)*VLOOKUP(ProjLoc,EmCost,7)),0)</f>
        <v>0</v>
      </c>
      <c r="U188" s="729">
        <f>IF(INDEX(HwyTransitModelGroup,A178,1)=PARAMETERS!$J$9,C188*0.00000110231131*(VLOOKUP(K188,EmBus1,2)*VLOOKUP(ProjLoc,EmCost,2)+VLOOKUP(K188,EmBus1,3)*VLOOKUP(ProjLoc,EmCost,3)*(1+CO2Uprater)^($B188-YearCurrent)+VLOOKUP(K188,EmBus1,4)*VLOOKUP(ProjLoc,EmCost,4)+VLOOKUP(K188,EmBus1,5)*VLOOKUP(ProjLoc,EmCost,5)+VLOOKUP(K188,EmBus1,6)*VLOOKUP(ProjLoc,EmCost,6)+VLOOKUP(K188,EmBus1,7)*VLOOKUP(ProjLoc,EmCost,7)),0)</f>
        <v>0</v>
      </c>
      <c r="V188" s="802">
        <f>IF(INDEX(HwyTransitModelGroup,A178,1)=PARAMETERS!$J$9,D188*0.00000110231131*(VLOOKUP(L188,EmBus1,2)*VLOOKUP(ProjLoc,EmCost,2)+VLOOKUP(L188,EmBus1,3)*VLOOKUP(ProjLoc,EmCost,3)*(1+CO2Uprater)^($B188-YearCurrent)+VLOOKUP(L188,EmBus1,4)*VLOOKUP(ProjLoc,EmCost,4)+VLOOKUP(L188,EmBus1,5)*VLOOKUP(ProjLoc,EmCost,5)+VLOOKUP(L188,EmBus1,6)*VLOOKUP(ProjLoc,EmCost,6)+VLOOKUP(L188,EmBus1,7)*VLOOKUP(ProjLoc,EmCost,7)),0)</f>
        <v>0</v>
      </c>
      <c r="W188" s="808">
        <f>IF(INDEX(HwyTransitModelGroup,A178,1)=PARAMETERS!$J$10,C188*0.00000110231131*(PARAMETERS!$CQ$28*VLOOKUP(ProjLoc,EmCost,2)+PARAMETERS!$CR$28*VLOOKUP(ProjLoc,EmCost,3)*(1+CO2Uprater)^($B188-YearCurrent)+PARAMETERS!$CS$28*VLOOKUP(ProjLoc,EmCost,4)+PARAMETERS!$CT$28*VLOOKUP(ProjLoc,EmCost,5)+PARAMETERS!$CU$28*VLOOKUP(ProjLoc,EmCost,6)+PARAMETERS!$CV$28*VLOOKUP(ProjLoc,EmCost,7)),0)</f>
        <v>0</v>
      </c>
      <c r="X188" s="844">
        <f>IF(INDEX(HwyTransitModelGroup,A178,1)=PARAMETERS!$J$10,D188*0.00000110231131*(PARAMETERS!$CQ$28*VLOOKUP(ProjLoc,EmCost,2)+PARAMETERS!$CR$28*VLOOKUP(ProjLoc,EmCost,3)*(1+CO2Uprater)^($B188-YearCurrent)+PARAMETERS!$CS$28*VLOOKUP(ProjLoc,EmCost,4)+PARAMETERS!$CT$28*VLOOKUP(ProjLoc,EmCost,5)+PARAMETERS!$CU$28*VLOOKUP(ProjLoc,EmCost,6)+PARAMETERS!$CV$28*VLOOKUP(ProjLoc,EmCost,7)),0)</f>
        <v>0</v>
      </c>
      <c r="Y188" s="808">
        <f>IF(INDEX(HwyTransitModelGroup,A178,1)=PARAMETERS!$J$11,C188*0.00000110231131*(PARAMETERS!$CQ$36*VLOOKUP(ProjLoc,EmCost,2)+PARAMETERS!$CR$36*VLOOKUP(ProjLoc,EmCost,3)*(1+CO2Uprater)^($B188-YearCurrent)+PARAMETERS!$CS$36*VLOOKUP(ProjLoc,EmCost,4)+PARAMETERS!$CT$36*VLOOKUP(ProjLoc,EmCost,5)+PARAMETERS!$CU$36*VLOOKUP(ProjLoc,EmCost,6)+PARAMETERS!$CV$36*VLOOKUP(ProjLoc,EmCost,7)),0)</f>
        <v>0</v>
      </c>
      <c r="Z188" s="844">
        <f>IF(INDEX(HwyTransitModelGroup,A178,1)=PARAMETERS!$J$11,D188*0.00000110231131*(PARAMETERS!$CQ$36*VLOOKUP(ProjLoc,EmCost,2)+PARAMETERS!$CR$36*VLOOKUP(ProjLoc,EmCost,3)*(1+CO2Uprater)^($B188-YearCurrent)+PARAMETERS!$CS$36*VLOOKUP(ProjLoc,EmCost,4)+PARAMETERS!$CT$36*VLOOKUP(ProjLoc,EmCost,5)+PARAMETERS!$CU$36*VLOOKUP(ProjLoc,EmCost,6)+PARAMETERS!$CV$36*VLOOKUP(ProjLoc,EmCost,7)),0)</f>
        <v>0</v>
      </c>
      <c r="AA188" s="369">
        <f t="shared" si="80"/>
        <v>81091.910275334027</v>
      </c>
      <c r="AB188" s="370">
        <f t="shared" si="81"/>
        <v>66651.639194194227</v>
      </c>
      <c r="AC188" s="371"/>
      <c r="AD188" s="401">
        <f>IF(INDEX(HwyTransitModelGroup,A178,1)=Hwy,0.00000110231131*(C188*(1-M188)*VLOOKUP(K188,EmAuto1,2)-D188*(1-N188)*VLOOKUP(L188,EmAuto1,2)+(O188*(1-M188)-P188*(1-N188))*VLOOKUP(0,EmAuto1,2))+0.00000110231131*(C188*M188*VLOOKUP(K188,EmTruck1,2)-D188*N188*VLOOKUP(L188,EmTruck1,2)+(O188*M188-P188*N188)*VLOOKUP(0,EmTruck1,2)),0)</f>
        <v>1.3649183259008839</v>
      </c>
      <c r="AE188" s="863">
        <f>IF(INDEX(HwyTransitModelGroup,A178,1)=Hwy,0.00000110231131*(C188*(1-M188)*VLOOKUP(K188,EmAuto1,3)-D188*(1-N188)*VLOOKUP(L188,EmAuto1,3)+(O188*(1-M188)-P188*(1-N188))*VLOOKUP(0,EmAuto1,3))+0.00000110231131*(C188*M188*VLOOKUP(K188,EmTruck1,3)-D188*N188*VLOOKUP(L188,EmTruck1,3)+(O188*M188-P188*N188)*VLOOKUP(0,EmTruck1,3)),0)</f>
        <v>1237.793498602447</v>
      </c>
      <c r="AF188" s="861">
        <f>IF(INDEX(HwyTransitModelGroup,A178,1)=Hwy,0.00000110231131*(C188*(1-M188)*VLOOKUP(K188,EmAuto1,4)-D188*(1-N188)*VLOOKUP(L188,EmAuto1,4)+(O188*(1-M188)-P188*(1-N188))*VLOOKUP(0,EmAuto1,4))+0.00000110231131*(C188*M188*VLOOKUP(K188,EmTruck1,4)-D188*N188*VLOOKUP(L188,EmTruck1,4)+(O188*M188-P188*N188)*VLOOKUP(0,EmTruck1,4)),0)</f>
        <v>0.83771492389598945</v>
      </c>
      <c r="AG188" s="863">
        <f>IF(INDEX(HwyTransitModelGroup,A178,1)=Hwy,0.00000110231131*(C188*(1-M188)*VLOOKUP(K188,EmAuto1,5)-D188*(1-N188)*VLOOKUP(L188,EmAuto1,5)+(O188*(1-M188)-P188*(1-N188))*VLOOKUP(0,EmAuto1,5))+0.00000110231131*(C188*M188*VLOOKUP(K188,EmTruck1,5)-D188*N188*VLOOKUP(L188,EmTruck1,5)+(O188*M188-P188*N188)*VLOOKUP(0,EmTruck1,5)),0)</f>
        <v>1.6992048732073231E-2</v>
      </c>
      <c r="AH188" s="861">
        <f>IF(INDEX(HwyTransitModelGroup,A178,1)=Hwy,0.00000110231131*(C188*(1-M188)*VLOOKUP(K188,EmAuto1,6)-D188*(1-N188)*VLOOKUP(L188,EmAuto1,6)+(O188*(1-M188)-P188*(1-N188))*VLOOKUP(0,EmAuto1,6))+0.00000110231131*(C188*M188*VLOOKUP(K188,EmTruck1,6)-D188*N188*VLOOKUP(L188,EmTruck1,6)+(O188*M188-P188*N188)*VLOOKUP(0,EmTruck1,6)),0)</f>
        <v>1.1974030267408023E-2</v>
      </c>
      <c r="AI188" s="863">
        <f>IF(INDEX(HwyTransitModelGroup,A178,1)=Hwy,0.00000110231131*(C188*(1-M188)*VLOOKUP(K188,EmAuto1,7)-D188*(1-N188)*VLOOKUP(L188,EmAuto1,7)+(O188*(1-M188)-P188*(1-N188))*VLOOKUP(0,EmAuto1,7))+0.00000110231131*(C188*M188*VLOOKUP(K188,EmTruck1,7)-D188*N188*VLOOKUP(L188,EmTruck1,7)+(O188*M188-P188*N188)*VLOOKUP(0,EmTruck1,7)),0)</f>
        <v>4.1286179505831702E-2</v>
      </c>
      <c r="AJ188" s="861">
        <f>IF(INDEX(HwyTransitModelGroup,A178,1)=Hwy,0.00000110231131*(C188*(1-M188)*VLOOKUP(K188,EmAuto1,8)-D188*(1-N188)*VLOOKUP(L188,EmAuto1,8)+(O188*(1-M188)-P188*(1-N188))*VLOOKUP(0,EmAuto1,8))+0.00000110231131*(C188*M188*VLOOKUP(K188,EmTruck1,8)-D188*N188*VLOOKUP(L188,EmTruck1,8)+(O188*M188-P188*N188)*VLOOKUP(0,EmTruck1,8)),0)</f>
        <v>1.6204738938479207E-2</v>
      </c>
      <c r="AK188" s="401">
        <f>IF(INDEX(HwyTransitModelGroup,A178,1)=PARAMETERS!$J$9,0.00000110231131*(C188*VLOOKUP(K188,EmBus1,2)-D188*VLOOKUP(L188,EmBus1,2)+(O188-P188)*VLOOKUP(0,EmBus1,2)),0)</f>
        <v>0</v>
      </c>
      <c r="AL188" s="863">
        <f>IF(INDEX(HwyTransitModelGroup,A178,1)=PARAMETERS!$J$9,0.00000110231131*(C188*VLOOKUP(K188,EmBus1,3)-D188*VLOOKUP(L188,EmBus1,3)+(O188-P188)*VLOOKUP(0,EmBus1,3)),0)</f>
        <v>0</v>
      </c>
      <c r="AM188" s="861">
        <f>IF(INDEX(HwyTransitModelGroup,A178,1)=PARAMETERS!$J$9,0.00000110231131*(C188*VLOOKUP(K188,EmBus1,4)-D188*VLOOKUP(L188,EmBus1,4)+(O188-P188)*VLOOKUP(0,EmBus1,4)),0)</f>
        <v>0</v>
      </c>
      <c r="AN188" s="863">
        <f>IF(INDEX(HwyTransitModelGroup,A178,1)=PARAMETERS!$J$9,0.00000110231131*(C188*VLOOKUP(K188,EmBus1,5)-D188*VLOOKUP(L188,EmBus1,5)+(O188-P188)*VLOOKUP(0,EmBus1,5)),0)</f>
        <v>0</v>
      </c>
      <c r="AO188" s="861">
        <f>IF(INDEX(HwyTransitModelGroup,A178,1)=PARAMETERS!$J$9,0.00000110231131*(C188*VLOOKUP(K188,EmBus1,6)-D188*VLOOKUP(L188,EmBus1,6)+(O188-P188)*VLOOKUP(0,EmBus1,6)),0)</f>
        <v>0</v>
      </c>
      <c r="AP188" s="863">
        <f>IF(INDEX(HwyTransitModelGroup,A178,1)=PARAMETERS!$J$9,0.00000110231131*(C188*VLOOKUP(K188,EmBus1,7)-D188*VLOOKUP(L188,EmBus1,7)+(O188-P188)*VLOOKUP(0,EmBus1,7)),0)</f>
        <v>0</v>
      </c>
      <c r="AQ188" s="861">
        <f>IF(INDEX(HwyTransitModelGroup,A178,1)=PARAMETERS!$J$9,0.00000110231131*(C188*VLOOKUP(K188,EmBus1,8)-D188*VLOOKUP(L188,EmBus1,8)+(O188-P188)*VLOOKUP(0,EmBus1,8)),0)</f>
        <v>0</v>
      </c>
      <c r="AR188" s="401">
        <f>IF(INDEX(HwyTransitModelGroup,A178,1)=PARAMETERS!$J$10,0.00000110231131*((C188-D188)*PARAMETERS!$CQ$28),0)</f>
        <v>0</v>
      </c>
      <c r="AS188" s="863">
        <f>IF(INDEX(HwyTransitModelGroup,A178,1)=PARAMETERS!$J$10,0.00000110231131*((C188-D188)*PARAMETERS!$CR$28),0)</f>
        <v>0</v>
      </c>
      <c r="AT188" s="861">
        <f>IF(INDEX(HwyTransitModelGroup,A178,1)=PARAMETERS!$J$10,0.00000110231131*((C188-D188)*PARAMETERS!$CS$28),0)</f>
        <v>0</v>
      </c>
      <c r="AU188" s="863">
        <f>IF(INDEX(HwyTransitModelGroup,A178,1)=PARAMETERS!$J$10,0.00000110231131*((C188-D188)*PARAMETERS!$CT$28),0)</f>
        <v>0</v>
      </c>
      <c r="AV188" s="861">
        <f>IF(INDEX(HwyTransitModelGroup,A178,1)=PARAMETERS!$J$10,0.00000110231131*((C188-D188)*PARAMETERS!$CU$28),0)</f>
        <v>0</v>
      </c>
      <c r="AW188" s="863">
        <f>IF(INDEX(HwyTransitModelGroup,A178,1)=PARAMETERS!$J$10,0.00000110231131*((C188-D188)*PARAMETERS!$CV$28),0)</f>
        <v>0</v>
      </c>
      <c r="AX188" s="861">
        <f>IF(INDEX(HwyTransitModelGroup,A178,1)=PARAMETERS!$J$10,0.00000110231131*((C188-D188)*PARAMETERS!$CW$28),0)</f>
        <v>0</v>
      </c>
      <c r="AY188" s="401">
        <f>IF(INDEX(HwyTransitModelGroup,A178,1)=PARAMETERS!$J$11,0.00000110231131*((C188-D188)*PARAMETERS!$CQ$36),0)</f>
        <v>0</v>
      </c>
      <c r="AZ188" s="863">
        <f>IF(INDEX(HwyTransitModelGroup,A178,1)=PARAMETERS!$J$11,0.00000110231131*((C188-D188)*PARAMETERS!$CR$36),0)</f>
        <v>0</v>
      </c>
      <c r="BA188" s="861">
        <f>IF(INDEX(HwyTransitModelGroup,A178,1)=PARAMETERS!$J$11,0.00000110231131*((C188-D188)*PARAMETERS!$CS$36),0)</f>
        <v>0</v>
      </c>
      <c r="BB188" s="863">
        <f>IF(INDEX(HwyTransitModelGroup,A178,1)=PARAMETERS!$J$11,0.00000110231131*((C188-D188)*PARAMETERS!$CT$36),0)</f>
        <v>0</v>
      </c>
      <c r="BC188" s="861">
        <f>IF(INDEX(HwyTransitModelGroup,A178,1)=PARAMETERS!$J$11,0.00000110231131*((C188-D188)*PARAMETERS!$CU$36),0)</f>
        <v>0</v>
      </c>
      <c r="BD188" s="863">
        <f>IF(INDEX(HwyTransitModelGroup,A178,1)=PARAMETERS!$J$11,0.00000110231131*((C188-D188)*PARAMETERS!$CV$36),0)</f>
        <v>0</v>
      </c>
      <c r="BE188" s="865">
        <f>IF(INDEX(HwyTransitModelGroup,A178,1)=PARAMETERS!$J$11,0.00000110231131*((C188-D188)*PARAMETERS!$CW$36),0)</f>
        <v>0</v>
      </c>
      <c r="BF188" s="729">
        <f t="shared" si="82"/>
        <v>89.749069645642507</v>
      </c>
      <c r="BG188" s="867">
        <f t="shared" si="83"/>
        <v>53916.736480035303</v>
      </c>
      <c r="BH188" s="867">
        <f t="shared" si="84"/>
        <v>10396.96311567311</v>
      </c>
      <c r="BI188" s="867">
        <f t="shared" si="85"/>
        <v>1629.8585102795423</v>
      </c>
      <c r="BJ188" s="867">
        <f t="shared" si="86"/>
        <v>580.66502318243522</v>
      </c>
      <c r="BK188" s="869">
        <f t="shared" si="87"/>
        <v>37.666995378116788</v>
      </c>
      <c r="BL188" s="374"/>
    </row>
    <row r="189" spans="1:72" x14ac:dyDescent="0.25">
      <c r="B189" s="375">
        <f t="shared" ref="B189:B206" si="88">B188+1</f>
        <v>2028</v>
      </c>
      <c r="C189" s="401">
        <f>MAX(TREND(C184:C185,B184:B185,B189),0)</f>
        <v>18223245.5</v>
      </c>
      <c r="D189" s="402">
        <f>MAX(TREND(D184:D185,B184:B185,B189),0)</f>
        <v>16202715</v>
      </c>
      <c r="E189" s="401">
        <f>MAX(TREND(E184:E185,B184:B185,B189),0)</f>
        <v>262544.5</v>
      </c>
      <c r="F189" s="402">
        <f>MAX(TREND(F184:F185,B184:B185,B189),0)</f>
        <v>233052.5</v>
      </c>
      <c r="G189" s="401">
        <f>MAX(TREND(G184:G185,B184:B185,B189),0)</f>
        <v>0</v>
      </c>
      <c r="H189" s="402">
        <f>MAX(TREND(H184:H185,B184:B185,B189),0)</f>
        <v>0</v>
      </c>
      <c r="I189" s="401">
        <f>MAX(TREND(I184:I185,B184:B185,B189),0)</f>
        <v>0</v>
      </c>
      <c r="J189" s="402">
        <f>MAX(TREND(J184:J185,B184:B185,B189),0)</f>
        <v>0</v>
      </c>
      <c r="K189" s="435">
        <f>IFERROR(IF(INDEX(HwyTransitModelGroup,A178,1)=Hwy,MAX(5,ROUND(C189/E189,1)),MAX(5,ROUND(G189/I189,1))),55)</f>
        <v>69.400000000000006</v>
      </c>
      <c r="L189" s="436">
        <f>IFERROR(IF(INDEX(HwyTransitModelGroup,A178,1)=Hwy,MAX(5,ROUND(D189/F189,1)),MAX(5,ROUND(H189/J189,1))),55)</f>
        <v>69.5</v>
      </c>
      <c r="M189" s="405">
        <f>MIN(MAX(TREND(M184:M185,B184:B185,B189),0),1)</f>
        <v>0.24</v>
      </c>
      <c r="N189" s="406">
        <f>MIN(MAX(TREND(N184:N185,B184:B185,B189),0),1)</f>
        <v>0.24</v>
      </c>
      <c r="O189" s="401">
        <f>MAX(TREND(O184:O185,B184:B185,B189),0)</f>
        <v>0</v>
      </c>
      <c r="P189" s="402">
        <f>MAX(TREND(P184:P185,B184:B185,B189),0)</f>
        <v>0</v>
      </c>
      <c r="Q189" s="729">
        <f>IF(INDEX(HwyTransitModelGroup,A178,1)=Hwy,C189*(1-M189)*0.00000110231131*(VLOOKUP(K189,EmAuto1,2)*VLOOKUP(ProjLoc,EmCost,2)+VLOOKUP(K189,EmAuto1,3)*VLOOKUP(ProjLoc,EmCost,3)*(1+CO2Uprater)^($B189-YearCurrent)+VLOOKUP(K189,EmAuto1,4)*VLOOKUP(ProjLoc,EmCost,4)+VLOOKUP(K189,EmAuto1,5)*VLOOKUP(ProjLoc,EmCost,5)+VLOOKUP(K189,EmAuto1,6)*VLOOKUP(ProjLoc,EmCost,6)+VLOOKUP(K189,EmAuto1,7)*VLOOKUP(ProjLoc,EmCost,7))+C189*M189*0.00000110231131*(VLOOKUP(K189,EmTruck1,2)*VLOOKUP(ProjLoc,EmCost,2)+VLOOKUP(K189,EmTruck1,3)*VLOOKUP(ProjLoc,EmCost,3)*(1+CO2Uprater)^($B189-YearCurrent)+VLOOKUP(K189,EmTruck1,4)*VLOOKUP(ProjLoc,EmCost,4)+VLOOKUP(K189,EmTruck1,5)*VLOOKUP(ProjLoc,EmCost,5)+VLOOKUP(K189,EmTruck1,6)*VLOOKUP(ProjLoc,EmCost,6)+VLOOKUP(K189,EmTruck1,7)*VLOOKUP(ProjLoc,EmCost,7)),0)</f>
        <v>765302.83844776754</v>
      </c>
      <c r="R189" s="802">
        <f>IF(INDEX(HwyTransitModelGroup,A178,1)=Hwy,D189*(1-N189)*0.00000110231131*(VLOOKUP(L189,EmAuto1,2)*VLOOKUP(ProjLoc,EmCost,2)+VLOOKUP(L189,EmAuto1,3)*VLOOKUP(ProjLoc,EmCost,3)*(1+CO2Uprater)^($B189-YearCurrent)+VLOOKUP(L189,EmAuto1,4)*VLOOKUP(ProjLoc,EmCost,4)+VLOOKUP(L189,EmAuto1,5)*VLOOKUP(ProjLoc,EmCost,5)+VLOOKUP(L189,EmAuto1,6)*VLOOKUP(ProjLoc,EmCost,6)+VLOOKUP(L189,EmAuto1,7)*VLOOKUP(ProjLoc,EmCost,7))+D189*N189*0.00000110231131*(VLOOKUP(L189,EmTruck1,2)*VLOOKUP(ProjLoc,EmCost,2)+VLOOKUP(L189,EmTruck1,3)*VLOOKUP(ProjLoc,EmCost,3)*(1+CO2Uprater)^($B189-YearCurrent)+VLOOKUP(L189,EmTruck1,4)*VLOOKUP(ProjLoc,EmCost,4)+VLOOKUP(L189,EmTruck1,5)*VLOOKUP(ProjLoc,EmCost,5)+VLOOKUP(L189,EmTruck1,6)*VLOOKUP(ProjLoc,EmCost,6)+VLOOKUP(L189,EmTruck1,7)*VLOOKUP(ProjLoc,EmCost,7)),0)</f>
        <v>680448.70383051247</v>
      </c>
      <c r="S189" s="729">
        <f>IF(INDEX(HwyTransitModelGroup,A178,1)=Hwy,O189*(1-M189)*0.00000110231131*(VLOOKUP(0,EmAuto1,2)*VLOOKUP(ProjLoc,EmCost,2)+VLOOKUP(0,EmAuto1,3)*VLOOKUP(ProjLoc,EmCost,3)*(1+CO2Uprater)^($B189-YearCurrent)+VLOOKUP(0,EmAuto1,4)*VLOOKUP(ProjLoc,EmCost,4)+VLOOKUP(0,EmAuto1,5)*VLOOKUP(ProjLoc,EmCost,5)+VLOOKUP(0,EmAuto1,6)*VLOOKUP(ProjLoc,EmCost,6)+VLOOKUP(0,EmAuto1,7)*VLOOKUP(ProjLoc,EmCost,7))+O189*M189*0.00000110231131*(VLOOKUP(0,EmTruck1,2)*VLOOKUP(ProjLoc,EmCost,2)+VLOOKUP(0,EmTruck1,3)*VLOOKUP(ProjLoc,EmCost,3)*(1+CO2Uprater)^($B189-YearCurrent)+VLOOKUP(0,EmTruck1,4)*VLOOKUP(ProjLoc,EmCost,4)+VLOOKUP(0,EmTruck1,5)*VLOOKUP(ProjLoc,EmCost,5)+VLOOKUP(0,EmTruck1,6)*VLOOKUP(ProjLoc,EmCost,6)+VLOOKUP(0,EmTruck1,7)*VLOOKUP(ProjLoc,EmCost,7)),0)</f>
        <v>0</v>
      </c>
      <c r="T189" s="802">
        <f>IF(INDEX(HwyTransitModelGroup,A178,1)=Hwy,P189*(1-N189)*0.00000110231131*(VLOOKUP(0,EmAuto1,2)*VLOOKUP(ProjLoc,EmCost,2)+VLOOKUP(0,EmAuto1,3)*VLOOKUP(ProjLoc,EmCost,3)*(1+CO2Uprater)^($B189-YearCurrent)+VLOOKUP(0,EmAuto1,4)*VLOOKUP(ProjLoc,EmCost,4)+VLOOKUP(0,EmAuto1,5)*VLOOKUP(ProjLoc,EmCost,5)+VLOOKUP(0,EmAuto1,6)*VLOOKUP(ProjLoc,EmCost,6)+VLOOKUP(0,EmAuto1,7)*VLOOKUP(ProjLoc,EmCost,7))+P189*N189*0.00000110231131*(VLOOKUP(0,EmTruck1,2)*VLOOKUP(ProjLoc,EmCost,2)+VLOOKUP(0,EmTruck1,3)*VLOOKUP(ProjLoc,EmCost,3)*(1+CO2Uprater)^($B189-YearCurrent)+VLOOKUP(0,EmTruck1,4)*VLOOKUP(ProjLoc,EmCost,4)+VLOOKUP(0,EmTruck1,5)*VLOOKUP(ProjLoc,EmCost,5)+VLOOKUP(0,EmTruck1,6)*VLOOKUP(ProjLoc,EmCost,6)+VLOOKUP(0,EmTruck1,7)*VLOOKUP(ProjLoc,EmCost,7)),0)</f>
        <v>0</v>
      </c>
      <c r="U189" s="729">
        <f>IF(INDEX(HwyTransitModelGroup,A178,1)=PARAMETERS!$J$9,C189*0.00000110231131*(VLOOKUP(K189,EmBus1,2)*VLOOKUP(ProjLoc,EmCost,2)+VLOOKUP(K189,EmBus1,3)*VLOOKUP(ProjLoc,EmCost,3)*(1+CO2Uprater)^($B189-YearCurrent)+VLOOKUP(K189,EmBus1,4)*VLOOKUP(ProjLoc,EmCost,4)+VLOOKUP(K189,EmBus1,5)*VLOOKUP(ProjLoc,EmCost,5)+VLOOKUP(K189,EmBus1,6)*VLOOKUP(ProjLoc,EmCost,6)+VLOOKUP(K189,EmBus1,7)*VLOOKUP(ProjLoc,EmCost,7)),0)</f>
        <v>0</v>
      </c>
      <c r="V189" s="802">
        <f>IF(INDEX(HwyTransitModelGroup,A178,1)=PARAMETERS!$J$9,D189*0.00000110231131*(VLOOKUP(L189,EmBus1,2)*VLOOKUP(ProjLoc,EmCost,2)+VLOOKUP(L189,EmBus1,3)*VLOOKUP(ProjLoc,EmCost,3)*(1+CO2Uprater)^($B189-YearCurrent)+VLOOKUP(L189,EmBus1,4)*VLOOKUP(ProjLoc,EmCost,4)+VLOOKUP(L189,EmBus1,5)*VLOOKUP(ProjLoc,EmCost,5)+VLOOKUP(L189,EmBus1,6)*VLOOKUP(ProjLoc,EmCost,6)+VLOOKUP(L189,EmBus1,7)*VLOOKUP(ProjLoc,EmCost,7)),0)</f>
        <v>0</v>
      </c>
      <c r="W189" s="808">
        <f>IF(INDEX(HwyTransitModelGroup,A178,1)=PARAMETERS!$J$10,C189*0.00000110231131*(PARAMETERS!$CQ$28*VLOOKUP(ProjLoc,EmCost,2)+PARAMETERS!$CR$28*VLOOKUP(ProjLoc,EmCost,3)*(1+CO2Uprater)^($B189-YearCurrent)+PARAMETERS!$CS$28*VLOOKUP(ProjLoc,EmCost,4)+PARAMETERS!$CT$28*VLOOKUP(ProjLoc,EmCost,5)+PARAMETERS!$CU$28*VLOOKUP(ProjLoc,EmCost,6)+PARAMETERS!$CV$28*VLOOKUP(ProjLoc,EmCost,7)),0)</f>
        <v>0</v>
      </c>
      <c r="X189" s="844">
        <f>IF(INDEX(HwyTransitModelGroup,A178,1)=PARAMETERS!$J$10,D189*0.00000110231131*(PARAMETERS!$CQ$28*VLOOKUP(ProjLoc,EmCost,2)+PARAMETERS!$CR$28*VLOOKUP(ProjLoc,EmCost,3)*(1+CO2Uprater)^($B189-YearCurrent)+PARAMETERS!$CS$28*VLOOKUP(ProjLoc,EmCost,4)+PARAMETERS!$CT$28*VLOOKUP(ProjLoc,EmCost,5)+PARAMETERS!$CU$28*VLOOKUP(ProjLoc,EmCost,6)+PARAMETERS!$CV$28*VLOOKUP(ProjLoc,EmCost,7)),0)</f>
        <v>0</v>
      </c>
      <c r="Y189" s="808">
        <f>IF(INDEX(HwyTransitModelGroup,A178,1)=PARAMETERS!$J$11,C189*0.00000110231131*(PARAMETERS!$CQ$36*VLOOKUP(ProjLoc,EmCost,2)+PARAMETERS!$CR$36*VLOOKUP(ProjLoc,EmCost,3)*(1+CO2Uprater)^($B189-YearCurrent)+PARAMETERS!$CS$36*VLOOKUP(ProjLoc,EmCost,4)+PARAMETERS!$CT$36*VLOOKUP(ProjLoc,EmCost,5)+PARAMETERS!$CU$36*VLOOKUP(ProjLoc,EmCost,6)+PARAMETERS!$CV$36*VLOOKUP(ProjLoc,EmCost,7)),0)</f>
        <v>0</v>
      </c>
      <c r="Z189" s="844">
        <f>IF(INDEX(HwyTransitModelGroup,A178,1)=PARAMETERS!$J$11,D189*0.00000110231131*(PARAMETERS!$CQ$36*VLOOKUP(ProjLoc,EmCost,2)+PARAMETERS!$CR$36*VLOOKUP(ProjLoc,EmCost,3)*(1+CO2Uprater)^($B189-YearCurrent)+PARAMETERS!$CS$36*VLOOKUP(ProjLoc,EmCost,4)+PARAMETERS!$CT$36*VLOOKUP(ProjLoc,EmCost,5)+PARAMETERS!$CU$36*VLOOKUP(ProjLoc,EmCost,6)+PARAMETERS!$CV$36*VLOOKUP(ProjLoc,EmCost,7)),0)</f>
        <v>0</v>
      </c>
      <c r="AA189" s="369">
        <f t="shared" si="80"/>
        <v>84854.134617255069</v>
      </c>
      <c r="AB189" s="370">
        <f t="shared" si="81"/>
        <v>67061.45515627788</v>
      </c>
      <c r="AC189" s="371"/>
      <c r="AD189" s="401">
        <f>IF(INDEX(HwyTransitModelGroup,A178,1)=Hwy,0.00000110231131*(C189*(1-M189)*VLOOKUP(K189,EmAuto1,2)-D189*(1-N189)*VLOOKUP(L189,EmAuto1,2)+(O189*(1-M189)-P189*(1-N189))*VLOOKUP(0,EmAuto1,2))+0.00000110231131*(C189*M189*VLOOKUP(K189,EmTruck1,2)-D189*N189*VLOOKUP(L189,EmTruck1,2)+(O189*M189-P189*N189)*VLOOKUP(0,EmTruck1,2)),0)</f>
        <v>1.4055039438766941</v>
      </c>
      <c r="AE189" s="863">
        <f>IF(INDEX(HwyTransitModelGroup,A178,1)=Hwy,0.00000110231131*(C189*(1-M189)*VLOOKUP(K189,EmAuto1,3)-D189*(1-N189)*VLOOKUP(L189,EmAuto1,3)+(O189*(1-M189)-P189*(1-N189))*VLOOKUP(0,EmAuto1,3))+0.00000110231131*(C189*M189*VLOOKUP(K189,EmTruck1,3)-D189*N189*VLOOKUP(L189,EmTruck1,3)+(O189*M189-P189*N189)*VLOOKUP(0,EmTruck1,3)),0)</f>
        <v>1274.5990811152778</v>
      </c>
      <c r="AF189" s="861">
        <f>IF(INDEX(HwyTransitModelGroup,A178,1)=Hwy,0.00000110231131*(C189*(1-M189)*VLOOKUP(K189,EmAuto1,4)-D189*(1-N189)*VLOOKUP(L189,EmAuto1,4)+(O189*(1-M189)-P189*(1-N189))*VLOOKUP(0,EmAuto1,4))+0.00000110231131*(C189*M189*VLOOKUP(K189,EmTruck1,4)-D189*N189*VLOOKUP(L189,EmTruck1,4)+(O189*M189-P189*N189)*VLOOKUP(0,EmTruck1,4)),0)</f>
        <v>0.86262423695062729</v>
      </c>
      <c r="AG189" s="863">
        <f>IF(INDEX(HwyTransitModelGroup,A178,1)=Hwy,0.00000110231131*(C189*(1-M189)*VLOOKUP(K189,EmAuto1,5)-D189*(1-N189)*VLOOKUP(L189,EmAuto1,5)+(O189*(1-M189)-P189*(1-N189))*VLOOKUP(0,EmAuto1,5))+0.00000110231131*(C189*M189*VLOOKUP(K189,EmTruck1,5)-D189*N189*VLOOKUP(L189,EmTruck1,5)+(O189*M189-P189*N189)*VLOOKUP(0,EmTruck1,5)),0)</f>
        <v>1.7497304457181253E-2</v>
      </c>
      <c r="AH189" s="861">
        <f>IF(INDEX(HwyTransitModelGroup,A178,1)=Hwy,0.00000110231131*(C189*(1-M189)*VLOOKUP(K189,EmAuto1,6)-D189*(1-N189)*VLOOKUP(L189,EmAuto1,6)+(O189*(1-M189)-P189*(1-N189))*VLOOKUP(0,EmAuto1,6))+0.00000110231131*(C189*M189*VLOOKUP(K189,EmTruck1,6)-D189*N189*VLOOKUP(L189,EmTruck1,6)+(O189*M189-P189*N189)*VLOOKUP(0,EmTruck1,6)),0)</f>
        <v>1.2330076053329357E-2</v>
      </c>
      <c r="AI189" s="863">
        <f>IF(INDEX(HwyTransitModelGroup,A178,1)=Hwy,0.00000110231131*(C189*(1-M189)*VLOOKUP(K189,EmAuto1,7)-D189*(1-N189)*VLOOKUP(L189,EmAuto1,7)+(O189*(1-M189)-P189*(1-N189))*VLOOKUP(0,EmAuto1,7))+0.00000110231131*(C189*M189*VLOOKUP(K189,EmTruck1,7)-D189*N189*VLOOKUP(L189,EmTruck1,7)+(O189*M189-P189*N189)*VLOOKUP(0,EmTruck1,7)),0)</f>
        <v>4.2513817143415955E-2</v>
      </c>
      <c r="AJ189" s="861">
        <f>IF(INDEX(HwyTransitModelGroup,A178,1)=Hwy,0.00000110231131*(C189*(1-M189)*VLOOKUP(K189,EmAuto1,8)-D189*(1-N189)*VLOOKUP(L189,EmAuto1,8)+(O189*(1-M189)-P189*(1-N189))*VLOOKUP(0,EmAuto1,8))+0.00000110231131*(C189*M189*VLOOKUP(K189,EmTruck1,8)-D189*N189*VLOOKUP(L189,EmTruck1,8)+(O189*M189-P189*N189)*VLOOKUP(0,EmTruck1,8)),0)</f>
        <v>1.6686584138645873E-2</v>
      </c>
      <c r="AK189" s="401">
        <f>IF(INDEX(HwyTransitModelGroup,A178,1)=PARAMETERS!$J$9,0.00000110231131*(C189*VLOOKUP(K189,EmBus1,2)-D189*VLOOKUP(L189,EmBus1,2)+(O189-P189)*VLOOKUP(0,EmBus1,2)),0)</f>
        <v>0</v>
      </c>
      <c r="AL189" s="863">
        <f>IF(INDEX(HwyTransitModelGroup,A178,1)=PARAMETERS!$J$9,0.00000110231131*(C189*VLOOKUP(K189,EmBus1,3)-D189*VLOOKUP(L189,EmBus1,3)+(O189-P189)*VLOOKUP(0,EmBus1,3)),0)</f>
        <v>0</v>
      </c>
      <c r="AM189" s="861">
        <f>IF(INDEX(HwyTransitModelGroup,A178,1)=PARAMETERS!$J$9,0.00000110231131*(C189*VLOOKUP(K189,EmBus1,4)-D189*VLOOKUP(L189,EmBus1,4)+(O189-P189)*VLOOKUP(0,EmBus1,4)),0)</f>
        <v>0</v>
      </c>
      <c r="AN189" s="863">
        <f>IF(INDEX(HwyTransitModelGroup,A178,1)=PARAMETERS!$J$9,0.00000110231131*(C189*VLOOKUP(K189,EmBus1,5)-D189*VLOOKUP(L189,EmBus1,5)+(O189-P189)*VLOOKUP(0,EmBus1,5)),0)</f>
        <v>0</v>
      </c>
      <c r="AO189" s="861">
        <f>IF(INDEX(HwyTransitModelGroup,A178,1)=PARAMETERS!$J$9,0.00000110231131*(C189*VLOOKUP(K189,EmBus1,6)-D189*VLOOKUP(L189,EmBus1,6)+(O189-P189)*VLOOKUP(0,EmBus1,6)),0)</f>
        <v>0</v>
      </c>
      <c r="AP189" s="863">
        <f>IF(INDEX(HwyTransitModelGroup,A178,1)=PARAMETERS!$J$9,0.00000110231131*(C189*VLOOKUP(K189,EmBus1,7)-D189*VLOOKUP(L189,EmBus1,7)+(O189-P189)*VLOOKUP(0,EmBus1,7)),0)</f>
        <v>0</v>
      </c>
      <c r="AQ189" s="861">
        <f>IF(INDEX(HwyTransitModelGroup,A178,1)=PARAMETERS!$J$9,0.00000110231131*(C189*VLOOKUP(K189,EmBus1,8)-D189*VLOOKUP(L189,EmBus1,8)+(O189-P189)*VLOOKUP(0,EmBus1,8)),0)</f>
        <v>0</v>
      </c>
      <c r="AR189" s="401">
        <f>IF(INDEX(HwyTransitModelGroup,A178,1)=PARAMETERS!$J$10,0.00000110231131*((C189-D189)*PARAMETERS!$CQ$28),0)</f>
        <v>0</v>
      </c>
      <c r="AS189" s="863">
        <f>IF(INDEX(HwyTransitModelGroup,A178,1)=PARAMETERS!$J$10,0.00000110231131*((C189-D189)*PARAMETERS!$CR$28),0)</f>
        <v>0</v>
      </c>
      <c r="AT189" s="861">
        <f>IF(INDEX(HwyTransitModelGroup,A178,1)=PARAMETERS!$J$10,0.00000110231131*((C189-D189)*PARAMETERS!$CS$28),0)</f>
        <v>0</v>
      </c>
      <c r="AU189" s="863">
        <f>IF(INDEX(HwyTransitModelGroup,A178,1)=PARAMETERS!$J$10,0.00000110231131*((C189-D189)*PARAMETERS!$CT$28),0)</f>
        <v>0</v>
      </c>
      <c r="AV189" s="861">
        <f>IF(INDEX(HwyTransitModelGroup,A178,1)=PARAMETERS!$J$10,0.00000110231131*((C189-D189)*PARAMETERS!$CU$28),0)</f>
        <v>0</v>
      </c>
      <c r="AW189" s="863">
        <f>IF(INDEX(HwyTransitModelGroup,A178,1)=PARAMETERS!$J$10,0.00000110231131*((C189-D189)*PARAMETERS!$CV$28),0)</f>
        <v>0</v>
      </c>
      <c r="AX189" s="861">
        <f>IF(INDEX(HwyTransitModelGroup,A178,1)=PARAMETERS!$J$10,0.00000110231131*((C189-D189)*PARAMETERS!$CW$28),0)</f>
        <v>0</v>
      </c>
      <c r="AY189" s="401">
        <f>IF(INDEX(HwyTransitModelGroup,A178,1)=PARAMETERS!$J$11,0.00000110231131*((C189-D189)*PARAMETERS!$CQ$36),0)</f>
        <v>0</v>
      </c>
      <c r="AZ189" s="863">
        <f>IF(INDEX(HwyTransitModelGroup,A178,1)=PARAMETERS!$J$11,0.00000110231131*((C189-D189)*PARAMETERS!$CR$36),0)</f>
        <v>0</v>
      </c>
      <c r="BA189" s="861">
        <f>IF(INDEX(HwyTransitModelGroup,A178,1)=PARAMETERS!$J$11,0.00000110231131*((C189-D189)*PARAMETERS!$CS$36),0)</f>
        <v>0</v>
      </c>
      <c r="BB189" s="863">
        <f>IF(INDEX(HwyTransitModelGroup,A178,1)=PARAMETERS!$J$11,0.00000110231131*((C189-D189)*PARAMETERS!$CT$36),0)</f>
        <v>0</v>
      </c>
      <c r="BC189" s="861">
        <f>IF(INDEX(HwyTransitModelGroup,A178,1)=PARAMETERS!$J$11,0.00000110231131*((C189-D189)*PARAMETERS!$CU$36),0)</f>
        <v>0</v>
      </c>
      <c r="BD189" s="863">
        <f>IF(INDEX(HwyTransitModelGroup,A178,1)=PARAMETERS!$J$11,0.00000110231131*((C189-D189)*PARAMETERS!$CV$36),0)</f>
        <v>0</v>
      </c>
      <c r="BE189" s="865">
        <f>IF(INDEX(HwyTransitModelGroup,A178,1)=PARAMETERS!$J$11,0.00000110231131*((C189-D189)*PARAMETERS!$CW$36),0)</f>
        <v>0</v>
      </c>
      <c r="BF189" s="729">
        <f t="shared" si="82"/>
        <v>88.863214625340703</v>
      </c>
      <c r="BG189" s="867">
        <f t="shared" si="83"/>
        <v>54452.250430375963</v>
      </c>
      <c r="BH189" s="867">
        <f t="shared" si="84"/>
        <v>10294.341417105354</v>
      </c>
      <c r="BI189" s="867">
        <f t="shared" si="85"/>
        <v>1613.7712310529905</v>
      </c>
      <c r="BJ189" s="867">
        <f t="shared" si="86"/>
        <v>574.93365428991353</v>
      </c>
      <c r="BK189" s="869">
        <f t="shared" si="87"/>
        <v>37.295208828271377</v>
      </c>
      <c r="BL189" s="374"/>
    </row>
    <row r="190" spans="1:72" x14ac:dyDescent="0.25">
      <c r="B190" s="375">
        <f t="shared" si="88"/>
        <v>2029</v>
      </c>
      <c r="C190" s="401">
        <f>MAX(TREND(C184:C185,B184:B185,B190),0)</f>
        <v>18462265.75</v>
      </c>
      <c r="D190" s="402">
        <f>MAX(TREND(D184:D185,B184:B185,B190),0)</f>
        <v>16383390</v>
      </c>
      <c r="E190" s="401">
        <f>MAX(TREND(E184:E185,B184:B185,B190),0)</f>
        <v>266066.75</v>
      </c>
      <c r="F190" s="402">
        <f>MAX(TREND(F184:F185,B184:B185,B190),0)</f>
        <v>235698.75</v>
      </c>
      <c r="G190" s="401">
        <f>MAX(TREND(G184:G185,B184:B185,B190),0)</f>
        <v>0</v>
      </c>
      <c r="H190" s="402">
        <f>MAX(TREND(H184:H185,B184:B185,B190),0)</f>
        <v>0</v>
      </c>
      <c r="I190" s="401">
        <f>MAX(TREND(I184:I185,B184:B185,B190),0)</f>
        <v>0</v>
      </c>
      <c r="J190" s="402">
        <f>MAX(TREND(J184:J185,B184:B185,B190),0)</f>
        <v>0</v>
      </c>
      <c r="K190" s="435">
        <f>IFERROR(IF(INDEX(HwyTransitModelGroup,A178,1)=Hwy,MAX(5,ROUND(C190/E190,1)),MAX(5,ROUND(G190/I190,1))),55)</f>
        <v>69.400000000000006</v>
      </c>
      <c r="L190" s="436">
        <f>IFERROR(IF(INDEX(HwyTransitModelGroup,A178,1)=Hwy,MAX(5,ROUND(D190/F190,1)),MAX(5,ROUND(H190/J190,1))),55)</f>
        <v>69.5</v>
      </c>
      <c r="M190" s="405">
        <f>MIN(MAX(TREND(M184:M185,B184:B185,B190),0),1)</f>
        <v>0.24</v>
      </c>
      <c r="N190" s="406">
        <f>MIN(MAX(TREND(N184:N185,B184:B185,B190),0),1)</f>
        <v>0.24</v>
      </c>
      <c r="O190" s="401">
        <f>MAX(TREND(O184:O185,B184:B185,B190),0)</f>
        <v>0</v>
      </c>
      <c r="P190" s="402">
        <f>MAX(TREND(P184:P185,B184:B185,B190),0)</f>
        <v>0</v>
      </c>
      <c r="Q190" s="729">
        <f>IF(INDEX(HwyTransitModelGroup,A178,1)=Hwy,C190*(1-M190)*0.00000110231131*(VLOOKUP(K190,EmAuto1,2)*VLOOKUP(ProjLoc,EmCost,2)+VLOOKUP(K190,EmAuto1,3)*VLOOKUP(ProjLoc,EmCost,3)*(1+CO2Uprater)^($B190-YearCurrent)+VLOOKUP(K190,EmAuto1,4)*VLOOKUP(ProjLoc,EmCost,4)+VLOOKUP(K190,EmAuto1,5)*VLOOKUP(ProjLoc,EmCost,5)+VLOOKUP(K190,EmAuto1,6)*VLOOKUP(ProjLoc,EmCost,6)+VLOOKUP(K190,EmAuto1,7)*VLOOKUP(ProjLoc,EmCost,7))+C190*M190*0.00000110231131*(VLOOKUP(K190,EmTruck1,2)*VLOOKUP(ProjLoc,EmCost,2)+VLOOKUP(K190,EmTruck1,3)*VLOOKUP(ProjLoc,EmCost,3)*(1+CO2Uprater)^($B190-YearCurrent)+VLOOKUP(K190,EmTruck1,4)*VLOOKUP(ProjLoc,EmCost,4)+VLOOKUP(K190,EmTruck1,5)*VLOOKUP(ProjLoc,EmCost,5)+VLOOKUP(K190,EmTruck1,6)*VLOOKUP(ProjLoc,EmCost,6)+VLOOKUP(K190,EmTruck1,7)*VLOOKUP(ProjLoc,EmCost,7)),0)</f>
        <v>787931.87684159062</v>
      </c>
      <c r="R190" s="802">
        <f>IF(INDEX(HwyTransitModelGroup,A178,1)=Hwy,D190*(1-N190)*0.00000110231131*(VLOOKUP(L190,EmAuto1,2)*VLOOKUP(ProjLoc,EmCost,2)+VLOOKUP(L190,EmAuto1,3)*VLOOKUP(ProjLoc,EmCost,3)*(1+CO2Uprater)^($B190-YearCurrent)+VLOOKUP(L190,EmAuto1,4)*VLOOKUP(ProjLoc,EmCost,4)+VLOOKUP(L190,EmAuto1,5)*VLOOKUP(ProjLoc,EmCost,5)+VLOOKUP(L190,EmAuto1,6)*VLOOKUP(ProjLoc,EmCost,6)+VLOOKUP(L190,EmAuto1,7)*VLOOKUP(ProjLoc,EmCost,7))+D190*N190*0.00000110231131*(VLOOKUP(L190,EmTruck1,2)*VLOOKUP(ProjLoc,EmCost,2)+VLOOKUP(L190,EmTruck1,3)*VLOOKUP(ProjLoc,EmCost,3)*(1+CO2Uprater)^($B190-YearCurrent)+VLOOKUP(L190,EmTruck1,4)*VLOOKUP(ProjLoc,EmCost,4)+VLOOKUP(L190,EmTruck1,5)*VLOOKUP(ProjLoc,EmCost,5)+VLOOKUP(L190,EmTruck1,6)*VLOOKUP(ProjLoc,EmCost,6)+VLOOKUP(L190,EmTruck1,7)*VLOOKUP(ProjLoc,EmCost,7)),0)</f>
        <v>699209.69649826142</v>
      </c>
      <c r="S190" s="729">
        <f>IF(INDEX(HwyTransitModelGroup,A178,1)=Hwy,O190*(1-M190)*0.00000110231131*(VLOOKUP(0,EmAuto1,2)*VLOOKUP(ProjLoc,EmCost,2)+VLOOKUP(0,EmAuto1,3)*VLOOKUP(ProjLoc,EmCost,3)*(1+CO2Uprater)^($B190-YearCurrent)+VLOOKUP(0,EmAuto1,4)*VLOOKUP(ProjLoc,EmCost,4)+VLOOKUP(0,EmAuto1,5)*VLOOKUP(ProjLoc,EmCost,5)+VLOOKUP(0,EmAuto1,6)*VLOOKUP(ProjLoc,EmCost,6)+VLOOKUP(0,EmAuto1,7)*VLOOKUP(ProjLoc,EmCost,7))+O190*M190*0.00000110231131*(VLOOKUP(0,EmTruck1,2)*VLOOKUP(ProjLoc,EmCost,2)+VLOOKUP(0,EmTruck1,3)*VLOOKUP(ProjLoc,EmCost,3)*(1+CO2Uprater)^($B190-YearCurrent)+VLOOKUP(0,EmTruck1,4)*VLOOKUP(ProjLoc,EmCost,4)+VLOOKUP(0,EmTruck1,5)*VLOOKUP(ProjLoc,EmCost,5)+VLOOKUP(0,EmTruck1,6)*VLOOKUP(ProjLoc,EmCost,6)+VLOOKUP(0,EmTruck1,7)*VLOOKUP(ProjLoc,EmCost,7)),0)</f>
        <v>0</v>
      </c>
      <c r="T190" s="802">
        <f>IF(INDEX(HwyTransitModelGroup,A178,1)=Hwy,P190*(1-N190)*0.00000110231131*(VLOOKUP(0,EmAuto1,2)*VLOOKUP(ProjLoc,EmCost,2)+VLOOKUP(0,EmAuto1,3)*VLOOKUP(ProjLoc,EmCost,3)*(1+CO2Uprater)^($B190-YearCurrent)+VLOOKUP(0,EmAuto1,4)*VLOOKUP(ProjLoc,EmCost,4)+VLOOKUP(0,EmAuto1,5)*VLOOKUP(ProjLoc,EmCost,5)+VLOOKUP(0,EmAuto1,6)*VLOOKUP(ProjLoc,EmCost,6)+VLOOKUP(0,EmAuto1,7)*VLOOKUP(ProjLoc,EmCost,7))+P190*N190*0.00000110231131*(VLOOKUP(0,EmTruck1,2)*VLOOKUP(ProjLoc,EmCost,2)+VLOOKUP(0,EmTruck1,3)*VLOOKUP(ProjLoc,EmCost,3)*(1+CO2Uprater)^($B190-YearCurrent)+VLOOKUP(0,EmTruck1,4)*VLOOKUP(ProjLoc,EmCost,4)+VLOOKUP(0,EmTruck1,5)*VLOOKUP(ProjLoc,EmCost,5)+VLOOKUP(0,EmTruck1,6)*VLOOKUP(ProjLoc,EmCost,6)+VLOOKUP(0,EmTruck1,7)*VLOOKUP(ProjLoc,EmCost,7)),0)</f>
        <v>0</v>
      </c>
      <c r="U190" s="729">
        <f>IF(INDEX(HwyTransitModelGroup,A178,1)=PARAMETERS!$J$9,C190*0.00000110231131*(VLOOKUP(K190,EmBus1,2)*VLOOKUP(ProjLoc,EmCost,2)+VLOOKUP(K190,EmBus1,3)*VLOOKUP(ProjLoc,EmCost,3)*(1+CO2Uprater)^($B190-YearCurrent)+VLOOKUP(K190,EmBus1,4)*VLOOKUP(ProjLoc,EmCost,4)+VLOOKUP(K190,EmBus1,5)*VLOOKUP(ProjLoc,EmCost,5)+VLOOKUP(K190,EmBus1,6)*VLOOKUP(ProjLoc,EmCost,6)+VLOOKUP(K190,EmBus1,7)*VLOOKUP(ProjLoc,EmCost,7)),0)</f>
        <v>0</v>
      </c>
      <c r="V190" s="802">
        <f>IF(INDEX(HwyTransitModelGroup,A178,1)=PARAMETERS!$J$9,D190*0.00000110231131*(VLOOKUP(L190,EmBus1,2)*VLOOKUP(ProjLoc,EmCost,2)+VLOOKUP(L190,EmBus1,3)*VLOOKUP(ProjLoc,EmCost,3)*(1+CO2Uprater)^($B190-YearCurrent)+VLOOKUP(L190,EmBus1,4)*VLOOKUP(ProjLoc,EmCost,4)+VLOOKUP(L190,EmBus1,5)*VLOOKUP(ProjLoc,EmCost,5)+VLOOKUP(L190,EmBus1,6)*VLOOKUP(ProjLoc,EmCost,6)+VLOOKUP(L190,EmBus1,7)*VLOOKUP(ProjLoc,EmCost,7)),0)</f>
        <v>0</v>
      </c>
      <c r="W190" s="808">
        <f>IF(INDEX(HwyTransitModelGroup,A178,1)=PARAMETERS!$J$10,C190*0.00000110231131*(PARAMETERS!$CQ$28*VLOOKUP(ProjLoc,EmCost,2)+PARAMETERS!$CR$28*VLOOKUP(ProjLoc,EmCost,3)*(1+CO2Uprater)^($B190-YearCurrent)+PARAMETERS!$CS$28*VLOOKUP(ProjLoc,EmCost,4)+PARAMETERS!$CT$28*VLOOKUP(ProjLoc,EmCost,5)+PARAMETERS!$CU$28*VLOOKUP(ProjLoc,EmCost,6)+PARAMETERS!$CV$28*VLOOKUP(ProjLoc,EmCost,7)),0)</f>
        <v>0</v>
      </c>
      <c r="X190" s="844">
        <f>IF(INDEX(HwyTransitModelGroup,A178,1)=PARAMETERS!$J$10,D190*0.00000110231131*(PARAMETERS!$CQ$28*VLOOKUP(ProjLoc,EmCost,2)+PARAMETERS!$CR$28*VLOOKUP(ProjLoc,EmCost,3)*(1+CO2Uprater)^($B190-YearCurrent)+PARAMETERS!$CS$28*VLOOKUP(ProjLoc,EmCost,4)+PARAMETERS!$CT$28*VLOOKUP(ProjLoc,EmCost,5)+PARAMETERS!$CU$28*VLOOKUP(ProjLoc,EmCost,6)+PARAMETERS!$CV$28*VLOOKUP(ProjLoc,EmCost,7)),0)</f>
        <v>0</v>
      </c>
      <c r="Y190" s="808">
        <f>IF(INDEX(HwyTransitModelGroup,A178,1)=PARAMETERS!$J$11,C190*0.00000110231131*(PARAMETERS!$CQ$36*VLOOKUP(ProjLoc,EmCost,2)+PARAMETERS!$CR$36*VLOOKUP(ProjLoc,EmCost,3)*(1+CO2Uprater)^($B190-YearCurrent)+PARAMETERS!$CS$36*VLOOKUP(ProjLoc,EmCost,4)+PARAMETERS!$CT$36*VLOOKUP(ProjLoc,EmCost,5)+PARAMETERS!$CU$36*VLOOKUP(ProjLoc,EmCost,6)+PARAMETERS!$CV$36*VLOOKUP(ProjLoc,EmCost,7)),0)</f>
        <v>0</v>
      </c>
      <c r="Z190" s="844">
        <f>IF(INDEX(HwyTransitModelGroup,A178,1)=PARAMETERS!$J$11,D190*0.00000110231131*(PARAMETERS!$CQ$36*VLOOKUP(ProjLoc,EmCost,2)+PARAMETERS!$CR$36*VLOOKUP(ProjLoc,EmCost,3)*(1+CO2Uprater)^($B190-YearCurrent)+PARAMETERS!$CS$36*VLOOKUP(ProjLoc,EmCost,4)+PARAMETERS!$CT$36*VLOOKUP(ProjLoc,EmCost,5)+PARAMETERS!$CU$36*VLOOKUP(ProjLoc,EmCost,6)+PARAMETERS!$CV$36*VLOOKUP(ProjLoc,EmCost,7)),0)</f>
        <v>0</v>
      </c>
      <c r="AA190" s="369">
        <f t="shared" si="80"/>
        <v>88722.180343329208</v>
      </c>
      <c r="AB190" s="370">
        <f t="shared" si="81"/>
        <v>67421.565269021812</v>
      </c>
      <c r="AC190" s="371"/>
      <c r="AD190" s="401">
        <f>IF(INDEX(HwyTransitModelGroup,A178,1)=Hwy,0.00000110231131*(C190*(1-M190)*VLOOKUP(K190,EmAuto1,2)-D190*(1-N190)*VLOOKUP(L190,EmAuto1,2)+(O190*(1-M190)-P190*(1-N190))*VLOOKUP(0,EmAuto1,2))+0.00000110231131*(C190*M190*VLOOKUP(K190,EmTruck1,2)-D190*N190*VLOOKUP(L190,EmTruck1,2)+(O190*M190-P190*N190)*VLOOKUP(0,EmTruck1,2)),0)</f>
        <v>1.4460895618525043</v>
      </c>
      <c r="AE190" s="863">
        <f>IF(INDEX(HwyTransitModelGroup,A178,1)=Hwy,0.00000110231131*(C190*(1-M190)*VLOOKUP(K190,EmAuto1,3)-D190*(1-N190)*VLOOKUP(L190,EmAuto1,3)+(O190*(1-M190)-P190*(1-N190))*VLOOKUP(0,EmAuto1,3))+0.00000110231131*(C190*M190*VLOOKUP(K190,EmTruck1,3)-D190*N190*VLOOKUP(L190,EmTruck1,3)+(O190*M190-P190*N190)*VLOOKUP(0,EmTruck1,3)),0)</f>
        <v>1311.4046636281091</v>
      </c>
      <c r="AF190" s="861">
        <f>IF(INDEX(HwyTransitModelGroup,A178,1)=Hwy,0.00000110231131*(C190*(1-M190)*VLOOKUP(K190,EmAuto1,4)-D190*(1-N190)*VLOOKUP(L190,EmAuto1,4)+(O190*(1-M190)-P190*(1-N190))*VLOOKUP(0,EmAuto1,4))+0.00000110231131*(C190*M190*VLOOKUP(K190,EmTruck1,4)-D190*N190*VLOOKUP(L190,EmTruck1,4)+(O190*M190-P190*N190)*VLOOKUP(0,EmTruck1,4)),0)</f>
        <v>0.88753355000526624</v>
      </c>
      <c r="AG190" s="863">
        <f>IF(INDEX(HwyTransitModelGroup,A178,1)=Hwy,0.00000110231131*(C190*(1-M190)*VLOOKUP(K190,EmAuto1,5)-D190*(1-N190)*VLOOKUP(L190,EmAuto1,5)+(O190*(1-M190)-P190*(1-N190))*VLOOKUP(0,EmAuto1,5))+0.00000110231131*(C190*M190*VLOOKUP(K190,EmTruck1,5)-D190*N190*VLOOKUP(L190,EmTruck1,5)+(O190*M190-P190*N190)*VLOOKUP(0,EmTruck1,5)),0)</f>
        <v>1.8002560182289278E-2</v>
      </c>
      <c r="AH190" s="861">
        <f>IF(INDEX(HwyTransitModelGroup,A178,1)=Hwy,0.00000110231131*(C190*(1-M190)*VLOOKUP(K190,EmAuto1,6)-D190*(1-N190)*VLOOKUP(L190,EmAuto1,6)+(O190*(1-M190)-P190*(1-N190))*VLOOKUP(0,EmAuto1,6))+0.00000110231131*(C190*M190*VLOOKUP(K190,EmTruck1,6)-D190*N190*VLOOKUP(L190,EmTruck1,6)+(O190*M190-P190*N190)*VLOOKUP(0,EmTruck1,6)),0)</f>
        <v>1.2686121839250698E-2</v>
      </c>
      <c r="AI190" s="863">
        <f>IF(INDEX(HwyTransitModelGroup,A178,1)=Hwy,0.00000110231131*(C190*(1-M190)*VLOOKUP(K190,EmAuto1,7)-D190*(1-N190)*VLOOKUP(L190,EmAuto1,7)+(O190*(1-M190)-P190*(1-N190))*VLOOKUP(0,EmAuto1,7))+0.00000110231131*(C190*M190*VLOOKUP(K190,EmTruck1,7)-D190*N190*VLOOKUP(L190,EmTruck1,7)+(O190*M190-P190*N190)*VLOOKUP(0,EmTruck1,7)),0)</f>
        <v>4.3741454781000194E-2</v>
      </c>
      <c r="AJ190" s="861">
        <f>IF(INDEX(HwyTransitModelGroup,A178,1)=Hwy,0.00000110231131*(C190*(1-M190)*VLOOKUP(K190,EmAuto1,8)-D190*(1-N190)*VLOOKUP(L190,EmAuto1,8)+(O190*(1-M190)-P190*(1-N190))*VLOOKUP(0,EmAuto1,8))+0.00000110231131*(C190*M190*VLOOKUP(K190,EmTruck1,8)-D190*N190*VLOOKUP(L190,EmTruck1,8)+(O190*M190-P190*N190)*VLOOKUP(0,EmTruck1,8)),0)</f>
        <v>1.7168429338812539E-2</v>
      </c>
      <c r="AK190" s="401">
        <f>IF(INDEX(HwyTransitModelGroup,A178,1)=PARAMETERS!$J$9,0.00000110231131*(C190*VLOOKUP(K190,EmBus1,2)-D190*VLOOKUP(L190,EmBus1,2)+(O190-P190)*VLOOKUP(0,EmBus1,2)),0)</f>
        <v>0</v>
      </c>
      <c r="AL190" s="863">
        <f>IF(INDEX(HwyTransitModelGroup,A178,1)=PARAMETERS!$J$9,0.00000110231131*(C190*VLOOKUP(K190,EmBus1,3)-D190*VLOOKUP(L190,EmBus1,3)+(O190-P190)*VLOOKUP(0,EmBus1,3)),0)</f>
        <v>0</v>
      </c>
      <c r="AM190" s="861">
        <f>IF(INDEX(HwyTransitModelGroup,A178,1)=PARAMETERS!$J$9,0.00000110231131*(C190*VLOOKUP(K190,EmBus1,4)-D190*VLOOKUP(L190,EmBus1,4)+(O190-P190)*VLOOKUP(0,EmBus1,4)),0)</f>
        <v>0</v>
      </c>
      <c r="AN190" s="863">
        <f>IF(INDEX(HwyTransitModelGroup,A178,1)=PARAMETERS!$J$9,0.00000110231131*(C190*VLOOKUP(K190,EmBus1,5)-D190*VLOOKUP(L190,EmBus1,5)+(O190-P190)*VLOOKUP(0,EmBus1,5)),0)</f>
        <v>0</v>
      </c>
      <c r="AO190" s="861">
        <f>IF(INDEX(HwyTransitModelGroup,A178,1)=PARAMETERS!$J$9,0.00000110231131*(C190*VLOOKUP(K190,EmBus1,6)-D190*VLOOKUP(L190,EmBus1,6)+(O190-P190)*VLOOKUP(0,EmBus1,6)),0)</f>
        <v>0</v>
      </c>
      <c r="AP190" s="863">
        <f>IF(INDEX(HwyTransitModelGroup,A178,1)=PARAMETERS!$J$9,0.00000110231131*(C190*VLOOKUP(K190,EmBus1,7)-D190*VLOOKUP(L190,EmBus1,7)+(O190-P190)*VLOOKUP(0,EmBus1,7)),0)</f>
        <v>0</v>
      </c>
      <c r="AQ190" s="861">
        <f>IF(INDEX(HwyTransitModelGroup,A178,1)=PARAMETERS!$J$9,0.00000110231131*(C190*VLOOKUP(K190,EmBus1,8)-D190*VLOOKUP(L190,EmBus1,8)+(O190-P190)*VLOOKUP(0,EmBus1,8)),0)</f>
        <v>0</v>
      </c>
      <c r="AR190" s="401">
        <f>IF(INDEX(HwyTransitModelGroup,A178,1)=PARAMETERS!$J$10,0.00000110231131*((C190-D190)*PARAMETERS!$CQ$28),0)</f>
        <v>0</v>
      </c>
      <c r="AS190" s="863">
        <f>IF(INDEX(HwyTransitModelGroup,A178,1)=PARAMETERS!$J$10,0.00000110231131*((C190-D190)*PARAMETERS!$CR$28),0)</f>
        <v>0</v>
      </c>
      <c r="AT190" s="861">
        <f>IF(INDEX(HwyTransitModelGroup,A178,1)=PARAMETERS!$J$10,0.00000110231131*((C190-D190)*PARAMETERS!$CS$28),0)</f>
        <v>0</v>
      </c>
      <c r="AU190" s="863">
        <f>IF(INDEX(HwyTransitModelGroup,A178,1)=PARAMETERS!$J$10,0.00000110231131*((C190-D190)*PARAMETERS!$CT$28),0)</f>
        <v>0</v>
      </c>
      <c r="AV190" s="861">
        <f>IF(INDEX(HwyTransitModelGroup,A178,1)=PARAMETERS!$J$10,0.00000110231131*((C190-D190)*PARAMETERS!$CU$28),0)</f>
        <v>0</v>
      </c>
      <c r="AW190" s="863">
        <f>IF(INDEX(HwyTransitModelGroup,A178,1)=PARAMETERS!$J$10,0.00000110231131*((C190-D190)*PARAMETERS!$CV$28),0)</f>
        <v>0</v>
      </c>
      <c r="AX190" s="861">
        <f>IF(INDEX(HwyTransitModelGroup,A178,1)=PARAMETERS!$J$10,0.00000110231131*((C190-D190)*PARAMETERS!$CW$28),0)</f>
        <v>0</v>
      </c>
      <c r="AY190" s="401">
        <f>IF(INDEX(HwyTransitModelGroup,A178,1)=PARAMETERS!$J$11,0.00000110231131*((C190-D190)*PARAMETERS!$CQ$36),0)</f>
        <v>0</v>
      </c>
      <c r="AZ190" s="863">
        <f>IF(INDEX(HwyTransitModelGroup,A178,1)=PARAMETERS!$J$11,0.00000110231131*((C190-D190)*PARAMETERS!$CR$36),0)</f>
        <v>0</v>
      </c>
      <c r="BA190" s="861">
        <f>IF(INDEX(HwyTransitModelGroup,A178,1)=PARAMETERS!$J$11,0.00000110231131*((C190-D190)*PARAMETERS!$CS$36),0)</f>
        <v>0</v>
      </c>
      <c r="BB190" s="863">
        <f>IF(INDEX(HwyTransitModelGroup,A178,1)=PARAMETERS!$J$11,0.00000110231131*((C190-D190)*PARAMETERS!$CT$36),0)</f>
        <v>0</v>
      </c>
      <c r="BC190" s="861">
        <f>IF(INDEX(HwyTransitModelGroup,A178,1)=PARAMETERS!$J$11,0.00000110231131*((C190-D190)*PARAMETERS!$CU$36),0)</f>
        <v>0</v>
      </c>
      <c r="BD190" s="863">
        <f>IF(INDEX(HwyTransitModelGroup,A178,1)=PARAMETERS!$J$11,0.00000110231131*((C190-D190)*PARAMETERS!$CV$36),0)</f>
        <v>0</v>
      </c>
      <c r="BE190" s="865">
        <f>IF(INDEX(HwyTransitModelGroup,A178,1)=PARAMETERS!$J$11,0.00000110231131*((C190-D190)*PARAMETERS!$CW$36),0)</f>
        <v>0</v>
      </c>
      <c r="BF190" s="729">
        <f t="shared" si="82"/>
        <v>87.912737402982785</v>
      </c>
      <c r="BG190" s="867">
        <f t="shared" si="83"/>
        <v>54947.22806883962</v>
      </c>
      <c r="BH190" s="867">
        <f t="shared" si="84"/>
        <v>10184.233572398336</v>
      </c>
      <c r="BI190" s="867">
        <f t="shared" si="85"/>
        <v>1596.5104015446361</v>
      </c>
      <c r="BJ190" s="867">
        <f t="shared" si="86"/>
        <v>568.78418799980136</v>
      </c>
      <c r="BK190" s="869">
        <f t="shared" si="87"/>
        <v>36.896300836434605</v>
      </c>
      <c r="BL190" s="374"/>
      <c r="BN190" s="322"/>
      <c r="BO190" s="52">
        <v>1</v>
      </c>
      <c r="BP190" s="52">
        <v>2</v>
      </c>
      <c r="BQ190" s="52">
        <v>3</v>
      </c>
      <c r="BR190" s="52">
        <v>4</v>
      </c>
      <c r="BS190" s="52">
        <v>5</v>
      </c>
      <c r="BT190" s="52">
        <v>6</v>
      </c>
    </row>
    <row r="191" spans="1:72" x14ac:dyDescent="0.25">
      <c r="B191" s="375">
        <f t="shared" si="88"/>
        <v>2030</v>
      </c>
      <c r="C191" s="401">
        <f>MAX(TREND(C184:C185,B184:B185,B191),0)</f>
        <v>18701286</v>
      </c>
      <c r="D191" s="402">
        <f>MAX(TREND(D184:D185,B184:B185,B191),0)</f>
        <v>16564065</v>
      </c>
      <c r="E191" s="401">
        <f>MAX(TREND(E184:E185,B184:B185,B191),0)</f>
        <v>269589</v>
      </c>
      <c r="F191" s="402">
        <f>MAX(TREND(F184:F185,B184:B185,B191),0)</f>
        <v>238345</v>
      </c>
      <c r="G191" s="401">
        <f>MAX(TREND(G184:G185,B184:B185,B191),0)</f>
        <v>0</v>
      </c>
      <c r="H191" s="402">
        <f>MAX(TREND(H184:H185,B184:B185,B191),0)</f>
        <v>0</v>
      </c>
      <c r="I191" s="401">
        <f>MAX(TREND(I184:I185,B184:B185,B191),0)</f>
        <v>0</v>
      </c>
      <c r="J191" s="402">
        <f>MAX(TREND(J184:J185,B184:B185,B191),0)</f>
        <v>0</v>
      </c>
      <c r="K191" s="435">
        <f>IFERROR(IF(INDEX(HwyTransitModelGroup,A178,1)=Hwy,MAX(5,ROUND(C191/E191,1)),MAX(5,ROUND(G191/I191,1))),55)</f>
        <v>69.400000000000006</v>
      </c>
      <c r="L191" s="436">
        <f>IFERROR(IF(INDEX(HwyTransitModelGroup,A178,1)=Hwy,MAX(5,ROUND(D191/F191,1)),MAX(5,ROUND(H191/J191,1))),55)</f>
        <v>69.5</v>
      </c>
      <c r="M191" s="405">
        <f>MIN(MAX(TREND(M184:M185,B184:B185,B191),0),1)</f>
        <v>0.24</v>
      </c>
      <c r="N191" s="406">
        <f>MIN(MAX(TREND(N184:N185,B184:B185,B191),0),1)</f>
        <v>0.24</v>
      </c>
      <c r="O191" s="401">
        <f>MAX(TREND(O184:O185,B184:B185,B191),0)</f>
        <v>0</v>
      </c>
      <c r="P191" s="402">
        <f>MAX(TREND(P184:P185,B184:B185,B191),0)</f>
        <v>0</v>
      </c>
      <c r="Q191" s="729">
        <f>IF(INDEX(HwyTransitModelGroup,A178,1)=Hwy,C191*(1-M191)*0.00000110231131*(VLOOKUP(K191,EmAuto1,2)*VLOOKUP(ProjLoc,EmCost,2)+VLOOKUP(K191,EmAuto1,3)*VLOOKUP(ProjLoc,EmCost,3)*(1+CO2Uprater)^($B191-YearCurrent)+VLOOKUP(K191,EmAuto1,4)*VLOOKUP(ProjLoc,EmCost,4)+VLOOKUP(K191,EmAuto1,5)*VLOOKUP(ProjLoc,EmCost,5)+VLOOKUP(K191,EmAuto1,6)*VLOOKUP(ProjLoc,EmCost,6)+VLOOKUP(K191,EmAuto1,7)*VLOOKUP(ProjLoc,EmCost,7))+C191*M191*0.00000110231131*(VLOOKUP(K191,EmTruck1,2)*VLOOKUP(ProjLoc,EmCost,2)+VLOOKUP(K191,EmTruck1,3)*VLOOKUP(ProjLoc,EmCost,3)*(1+CO2Uprater)^($B191-YearCurrent)+VLOOKUP(K191,EmTruck1,4)*VLOOKUP(ProjLoc,EmCost,4)+VLOOKUP(K191,EmTruck1,5)*VLOOKUP(ProjLoc,EmCost,5)+VLOOKUP(K191,EmTruck1,6)*VLOOKUP(ProjLoc,EmCost,6)+VLOOKUP(K191,EmTruck1,7)*VLOOKUP(ProjLoc,EmCost,7)),0)</f>
        <v>811142.01915161754</v>
      </c>
      <c r="R191" s="802">
        <f>IF(INDEX(HwyTransitModelGroup,A178,1)=Hwy,D191*(1-N191)*0.00000110231131*(VLOOKUP(L191,EmAuto1,2)*VLOOKUP(ProjLoc,EmCost,2)+VLOOKUP(L191,EmAuto1,3)*VLOOKUP(ProjLoc,EmCost,3)*(1+CO2Uprater)^($B191-YearCurrent)+VLOOKUP(L191,EmAuto1,4)*VLOOKUP(ProjLoc,EmCost,4)+VLOOKUP(L191,EmAuto1,5)*VLOOKUP(ProjLoc,EmCost,5)+VLOOKUP(L191,EmAuto1,6)*VLOOKUP(ProjLoc,EmCost,6)+VLOOKUP(L191,EmAuto1,7)*VLOOKUP(ProjLoc,EmCost,7))+D191*N191*0.00000110231131*(VLOOKUP(L191,EmTruck1,2)*VLOOKUP(ProjLoc,EmCost,2)+VLOOKUP(L191,EmTruck1,3)*VLOOKUP(ProjLoc,EmCost,3)*(1+CO2Uprater)^($B191-YearCurrent)+VLOOKUP(L191,EmTruck1,4)*VLOOKUP(ProjLoc,EmCost,4)+VLOOKUP(L191,EmTruck1,5)*VLOOKUP(ProjLoc,EmCost,5)+VLOOKUP(L191,EmTruck1,6)*VLOOKUP(ProjLoc,EmCost,6)+VLOOKUP(L191,EmTruck1,7)*VLOOKUP(ProjLoc,EmCost,7)),0)</f>
        <v>718443.05944835232</v>
      </c>
      <c r="S191" s="729">
        <f>IF(INDEX(HwyTransitModelGroup,A178,1)=Hwy,O191*(1-M191)*0.00000110231131*(VLOOKUP(0,EmAuto1,2)*VLOOKUP(ProjLoc,EmCost,2)+VLOOKUP(0,EmAuto1,3)*VLOOKUP(ProjLoc,EmCost,3)*(1+CO2Uprater)^($B191-YearCurrent)+VLOOKUP(0,EmAuto1,4)*VLOOKUP(ProjLoc,EmCost,4)+VLOOKUP(0,EmAuto1,5)*VLOOKUP(ProjLoc,EmCost,5)+VLOOKUP(0,EmAuto1,6)*VLOOKUP(ProjLoc,EmCost,6)+VLOOKUP(0,EmAuto1,7)*VLOOKUP(ProjLoc,EmCost,7))+O191*M191*0.00000110231131*(VLOOKUP(0,EmTruck1,2)*VLOOKUP(ProjLoc,EmCost,2)+VLOOKUP(0,EmTruck1,3)*VLOOKUP(ProjLoc,EmCost,3)*(1+CO2Uprater)^($B191-YearCurrent)+VLOOKUP(0,EmTruck1,4)*VLOOKUP(ProjLoc,EmCost,4)+VLOOKUP(0,EmTruck1,5)*VLOOKUP(ProjLoc,EmCost,5)+VLOOKUP(0,EmTruck1,6)*VLOOKUP(ProjLoc,EmCost,6)+VLOOKUP(0,EmTruck1,7)*VLOOKUP(ProjLoc,EmCost,7)),0)</f>
        <v>0</v>
      </c>
      <c r="T191" s="802">
        <f>IF(INDEX(HwyTransitModelGroup,A178,1)=Hwy,P191*(1-N191)*0.00000110231131*(VLOOKUP(0,EmAuto1,2)*VLOOKUP(ProjLoc,EmCost,2)+VLOOKUP(0,EmAuto1,3)*VLOOKUP(ProjLoc,EmCost,3)*(1+CO2Uprater)^($B191-YearCurrent)+VLOOKUP(0,EmAuto1,4)*VLOOKUP(ProjLoc,EmCost,4)+VLOOKUP(0,EmAuto1,5)*VLOOKUP(ProjLoc,EmCost,5)+VLOOKUP(0,EmAuto1,6)*VLOOKUP(ProjLoc,EmCost,6)+VLOOKUP(0,EmAuto1,7)*VLOOKUP(ProjLoc,EmCost,7))+P191*N191*0.00000110231131*(VLOOKUP(0,EmTruck1,2)*VLOOKUP(ProjLoc,EmCost,2)+VLOOKUP(0,EmTruck1,3)*VLOOKUP(ProjLoc,EmCost,3)*(1+CO2Uprater)^($B191-YearCurrent)+VLOOKUP(0,EmTruck1,4)*VLOOKUP(ProjLoc,EmCost,4)+VLOOKUP(0,EmTruck1,5)*VLOOKUP(ProjLoc,EmCost,5)+VLOOKUP(0,EmTruck1,6)*VLOOKUP(ProjLoc,EmCost,6)+VLOOKUP(0,EmTruck1,7)*VLOOKUP(ProjLoc,EmCost,7)),0)</f>
        <v>0</v>
      </c>
      <c r="U191" s="729">
        <f>IF(INDEX(HwyTransitModelGroup,A178,1)=PARAMETERS!$J$9,C191*0.00000110231131*(VLOOKUP(K191,EmBus1,2)*VLOOKUP(ProjLoc,EmCost,2)+VLOOKUP(K191,EmBus1,3)*VLOOKUP(ProjLoc,EmCost,3)*(1+CO2Uprater)^($B191-YearCurrent)+VLOOKUP(K191,EmBus1,4)*VLOOKUP(ProjLoc,EmCost,4)+VLOOKUP(K191,EmBus1,5)*VLOOKUP(ProjLoc,EmCost,5)+VLOOKUP(K191,EmBus1,6)*VLOOKUP(ProjLoc,EmCost,6)+VLOOKUP(K191,EmBus1,7)*VLOOKUP(ProjLoc,EmCost,7)),0)</f>
        <v>0</v>
      </c>
      <c r="V191" s="802">
        <f>IF(INDEX(HwyTransitModelGroup,A178,1)=PARAMETERS!$J$9,D191*0.00000110231131*(VLOOKUP(L191,EmBus1,2)*VLOOKUP(ProjLoc,EmCost,2)+VLOOKUP(L191,EmBus1,3)*VLOOKUP(ProjLoc,EmCost,3)*(1+CO2Uprater)^($B191-YearCurrent)+VLOOKUP(L191,EmBus1,4)*VLOOKUP(ProjLoc,EmCost,4)+VLOOKUP(L191,EmBus1,5)*VLOOKUP(ProjLoc,EmCost,5)+VLOOKUP(L191,EmBus1,6)*VLOOKUP(ProjLoc,EmCost,6)+VLOOKUP(L191,EmBus1,7)*VLOOKUP(ProjLoc,EmCost,7)),0)</f>
        <v>0</v>
      </c>
      <c r="W191" s="808">
        <f>IF(INDEX(HwyTransitModelGroup,A178,1)=PARAMETERS!$J$10,C191*0.00000110231131*(PARAMETERS!$CQ$28*VLOOKUP(ProjLoc,EmCost,2)+PARAMETERS!$CR$28*VLOOKUP(ProjLoc,EmCost,3)*(1+CO2Uprater)^($B191-YearCurrent)+PARAMETERS!$CS$28*VLOOKUP(ProjLoc,EmCost,4)+PARAMETERS!$CT$28*VLOOKUP(ProjLoc,EmCost,5)+PARAMETERS!$CU$28*VLOOKUP(ProjLoc,EmCost,6)+PARAMETERS!$CV$28*VLOOKUP(ProjLoc,EmCost,7)),0)</f>
        <v>0</v>
      </c>
      <c r="X191" s="844">
        <f>IF(INDEX(HwyTransitModelGroup,A178,1)=PARAMETERS!$J$10,D191*0.00000110231131*(PARAMETERS!$CQ$28*VLOOKUP(ProjLoc,EmCost,2)+PARAMETERS!$CR$28*VLOOKUP(ProjLoc,EmCost,3)*(1+CO2Uprater)^($B191-YearCurrent)+PARAMETERS!$CS$28*VLOOKUP(ProjLoc,EmCost,4)+PARAMETERS!$CT$28*VLOOKUP(ProjLoc,EmCost,5)+PARAMETERS!$CU$28*VLOOKUP(ProjLoc,EmCost,6)+PARAMETERS!$CV$28*VLOOKUP(ProjLoc,EmCost,7)),0)</f>
        <v>0</v>
      </c>
      <c r="Y191" s="808">
        <f>IF(INDEX(HwyTransitModelGroup,A178,1)=PARAMETERS!$J$11,C191*0.00000110231131*(PARAMETERS!$CQ$36*VLOOKUP(ProjLoc,EmCost,2)+PARAMETERS!$CR$36*VLOOKUP(ProjLoc,EmCost,3)*(1+CO2Uprater)^($B191-YearCurrent)+PARAMETERS!$CS$36*VLOOKUP(ProjLoc,EmCost,4)+PARAMETERS!$CT$36*VLOOKUP(ProjLoc,EmCost,5)+PARAMETERS!$CU$36*VLOOKUP(ProjLoc,EmCost,6)+PARAMETERS!$CV$36*VLOOKUP(ProjLoc,EmCost,7)),0)</f>
        <v>0</v>
      </c>
      <c r="Z191" s="844">
        <f>IF(INDEX(HwyTransitModelGroup,A178,1)=PARAMETERS!$J$11,D191*0.00000110231131*(PARAMETERS!$CQ$36*VLOOKUP(ProjLoc,EmCost,2)+PARAMETERS!$CR$36*VLOOKUP(ProjLoc,EmCost,3)*(1+CO2Uprater)^($B191-YearCurrent)+PARAMETERS!$CS$36*VLOOKUP(ProjLoc,EmCost,4)+PARAMETERS!$CT$36*VLOOKUP(ProjLoc,EmCost,5)+PARAMETERS!$CU$36*VLOOKUP(ProjLoc,EmCost,6)+PARAMETERS!$CV$36*VLOOKUP(ProjLoc,EmCost,7)),0)</f>
        <v>0</v>
      </c>
      <c r="AA191" s="369">
        <f t="shared" si="80"/>
        <v>92698.959703265224</v>
      </c>
      <c r="AB191" s="370">
        <f t="shared" si="81"/>
        <v>67734.221869049506</v>
      </c>
      <c r="AC191" s="371"/>
      <c r="AD191" s="401">
        <f>IF(INDEX(HwyTransitModelGroup,A178,1)=Hwy,0.00000110231131*(C191*(1-M191)*VLOOKUP(K191,EmAuto1,2)-D191*(1-N191)*VLOOKUP(L191,EmAuto1,2)+(O191*(1-M191)-P191*(1-N191))*VLOOKUP(0,EmAuto1,2))+0.00000110231131*(C191*M191*VLOOKUP(K191,EmTruck1,2)-D191*N191*VLOOKUP(L191,EmTruck1,2)+(O191*M191-P191*N191)*VLOOKUP(0,EmTruck1,2)),0)</f>
        <v>1.4866751798283124</v>
      </c>
      <c r="AE191" s="863">
        <f>IF(INDEX(HwyTransitModelGroup,A178,1)=Hwy,0.00000110231131*(C191*(1-M191)*VLOOKUP(K191,EmAuto1,3)-D191*(1-N191)*VLOOKUP(L191,EmAuto1,3)+(O191*(1-M191)-P191*(1-N191))*VLOOKUP(0,EmAuto1,3))+0.00000110231131*(C191*M191*VLOOKUP(K191,EmTruck1,3)-D191*N191*VLOOKUP(L191,EmTruck1,3)+(O191*M191-P191*N191)*VLOOKUP(0,EmTruck1,3)),0)</f>
        <v>1348.2102461409388</v>
      </c>
      <c r="AF191" s="861">
        <f>IF(INDEX(HwyTransitModelGroup,A178,1)=Hwy,0.00000110231131*(C191*(1-M191)*VLOOKUP(K191,EmAuto1,4)-D191*(1-N191)*VLOOKUP(L191,EmAuto1,4)+(O191*(1-M191)-P191*(1-N191))*VLOOKUP(0,EmAuto1,4))+0.00000110231131*(C191*M191*VLOOKUP(K191,EmTruck1,4)-D191*N191*VLOOKUP(L191,EmTruck1,4)+(O191*M191-P191*N191)*VLOOKUP(0,EmTruck1,4)),0)</f>
        <v>0.91244286305990197</v>
      </c>
      <c r="AG191" s="863">
        <f>IF(INDEX(HwyTransitModelGroup,A178,1)=Hwy,0.00000110231131*(C191*(1-M191)*VLOOKUP(K191,EmAuto1,5)-D191*(1-N191)*VLOOKUP(L191,EmAuto1,5)+(O191*(1-M191)-P191*(1-N191))*VLOOKUP(0,EmAuto1,5))+0.00000110231131*(C191*M191*VLOOKUP(K191,EmTruck1,5)-D191*N191*VLOOKUP(L191,EmTruck1,5)+(O191*M191-P191*N191)*VLOOKUP(0,EmTruck1,5)),0)</f>
        <v>1.8507815907397269E-2</v>
      </c>
      <c r="AH191" s="861">
        <f>IF(INDEX(HwyTransitModelGroup,A178,1)=Hwy,0.00000110231131*(C191*(1-M191)*VLOOKUP(K191,EmAuto1,6)-D191*(1-N191)*VLOOKUP(L191,EmAuto1,6)+(O191*(1-M191)-P191*(1-N191))*VLOOKUP(0,EmAuto1,6))+0.00000110231131*(C191*M191*VLOOKUP(K191,EmTruck1,6)-D191*N191*VLOOKUP(L191,EmTruck1,6)+(O191*M191-P191*N191)*VLOOKUP(0,EmTruck1,6)),0)</f>
        <v>1.3042167625172E-2</v>
      </c>
      <c r="AI191" s="863">
        <f>IF(INDEX(HwyTransitModelGroup,A178,1)=Hwy,0.00000110231131*(C191*(1-M191)*VLOOKUP(K191,EmAuto1,7)-D191*(1-N191)*VLOOKUP(L191,EmAuto1,7)+(O191*(1-M191)-P191*(1-N191))*VLOOKUP(0,EmAuto1,7))+0.00000110231131*(C191*M191*VLOOKUP(K191,EmTruck1,7)-D191*N191*VLOOKUP(L191,EmTruck1,7)+(O191*M191-P191*N191)*VLOOKUP(0,EmTruck1,7)),0)</f>
        <v>4.4969092418584385E-2</v>
      </c>
      <c r="AJ191" s="861">
        <f>IF(INDEX(HwyTransitModelGroup,A178,1)=Hwy,0.00000110231131*(C191*(1-M191)*VLOOKUP(K191,EmAuto1,8)-D191*(1-N191)*VLOOKUP(L191,EmAuto1,8)+(O191*(1-M191)-P191*(1-N191))*VLOOKUP(0,EmAuto1,8))+0.00000110231131*(C191*M191*VLOOKUP(K191,EmTruck1,8)-D191*N191*VLOOKUP(L191,EmTruck1,8)+(O191*M191-P191*N191)*VLOOKUP(0,EmTruck1,8)),0)</f>
        <v>1.7650274538979164E-2</v>
      </c>
      <c r="AK191" s="401">
        <f>IF(INDEX(HwyTransitModelGroup,A178,1)=PARAMETERS!$J$9,0.00000110231131*(C191*VLOOKUP(K191,EmBus1,2)-D191*VLOOKUP(L191,EmBus1,2)+(O191-P191)*VLOOKUP(0,EmBus1,2)),0)</f>
        <v>0</v>
      </c>
      <c r="AL191" s="863">
        <f>IF(INDEX(HwyTransitModelGroup,A178,1)=PARAMETERS!$J$9,0.00000110231131*(C191*VLOOKUP(K191,EmBus1,3)-D191*VLOOKUP(L191,EmBus1,3)+(O191-P191)*VLOOKUP(0,EmBus1,3)),0)</f>
        <v>0</v>
      </c>
      <c r="AM191" s="861">
        <f>IF(INDEX(HwyTransitModelGroup,A178,1)=PARAMETERS!$J$9,0.00000110231131*(C191*VLOOKUP(K191,EmBus1,4)-D191*VLOOKUP(L191,EmBus1,4)+(O191-P191)*VLOOKUP(0,EmBus1,4)),0)</f>
        <v>0</v>
      </c>
      <c r="AN191" s="863">
        <f>IF(INDEX(HwyTransitModelGroup,A178,1)=PARAMETERS!$J$9,0.00000110231131*(C191*VLOOKUP(K191,EmBus1,5)-D191*VLOOKUP(L191,EmBus1,5)+(O191-P191)*VLOOKUP(0,EmBus1,5)),0)</f>
        <v>0</v>
      </c>
      <c r="AO191" s="861">
        <f>IF(INDEX(HwyTransitModelGroup,A178,1)=PARAMETERS!$J$9,0.00000110231131*(C191*VLOOKUP(K191,EmBus1,6)-D191*VLOOKUP(L191,EmBus1,6)+(O191-P191)*VLOOKUP(0,EmBus1,6)),0)</f>
        <v>0</v>
      </c>
      <c r="AP191" s="863">
        <f>IF(INDEX(HwyTransitModelGroup,A178,1)=PARAMETERS!$J$9,0.00000110231131*(C191*VLOOKUP(K191,EmBus1,7)-D191*VLOOKUP(L191,EmBus1,7)+(O191-P191)*VLOOKUP(0,EmBus1,7)),0)</f>
        <v>0</v>
      </c>
      <c r="AQ191" s="861">
        <f>IF(INDEX(HwyTransitModelGroup,A178,1)=PARAMETERS!$J$9,0.00000110231131*(C191*VLOOKUP(K191,EmBus1,8)-D191*VLOOKUP(L191,EmBus1,8)+(O191-P191)*VLOOKUP(0,EmBus1,8)),0)</f>
        <v>0</v>
      </c>
      <c r="AR191" s="401">
        <f>IF(INDEX(HwyTransitModelGroup,A178,1)=PARAMETERS!$J$10,0.00000110231131*((C191-D191)*PARAMETERS!$CQ$28),0)</f>
        <v>0</v>
      </c>
      <c r="AS191" s="863">
        <f>IF(INDEX(HwyTransitModelGroup,A178,1)=PARAMETERS!$J$10,0.00000110231131*((C191-D191)*PARAMETERS!$CR$28),0)</f>
        <v>0</v>
      </c>
      <c r="AT191" s="861">
        <f>IF(INDEX(HwyTransitModelGroup,A178,1)=PARAMETERS!$J$10,0.00000110231131*((C191-D191)*PARAMETERS!$CS$28),0)</f>
        <v>0</v>
      </c>
      <c r="AU191" s="863">
        <f>IF(INDEX(HwyTransitModelGroup,A178,1)=PARAMETERS!$J$10,0.00000110231131*((C191-D191)*PARAMETERS!$CT$28),0)</f>
        <v>0</v>
      </c>
      <c r="AV191" s="861">
        <f>IF(INDEX(HwyTransitModelGroup,A178,1)=PARAMETERS!$J$10,0.00000110231131*((C191-D191)*PARAMETERS!$CU$28),0)</f>
        <v>0</v>
      </c>
      <c r="AW191" s="863">
        <f>IF(INDEX(HwyTransitModelGroup,A178,1)=PARAMETERS!$J$10,0.00000110231131*((C191-D191)*PARAMETERS!$CV$28),0)</f>
        <v>0</v>
      </c>
      <c r="AX191" s="861">
        <f>IF(INDEX(HwyTransitModelGroup,A178,1)=PARAMETERS!$J$10,0.00000110231131*((C191-D191)*PARAMETERS!$CW$28),0)</f>
        <v>0</v>
      </c>
      <c r="AY191" s="401">
        <f>IF(INDEX(HwyTransitModelGroup,A178,1)=PARAMETERS!$J$11,0.00000110231131*((C191-D191)*PARAMETERS!$CQ$36),0)</f>
        <v>0</v>
      </c>
      <c r="AZ191" s="863">
        <f>IF(INDEX(HwyTransitModelGroup,A178,1)=PARAMETERS!$J$11,0.00000110231131*((C191-D191)*PARAMETERS!$CR$36),0)</f>
        <v>0</v>
      </c>
      <c r="BA191" s="861">
        <f>IF(INDEX(HwyTransitModelGroup,A178,1)=PARAMETERS!$J$11,0.00000110231131*((C191-D191)*PARAMETERS!$CS$36),0)</f>
        <v>0</v>
      </c>
      <c r="BB191" s="863">
        <f>IF(INDEX(HwyTransitModelGroup,A178,1)=PARAMETERS!$J$11,0.00000110231131*((C191-D191)*PARAMETERS!$CT$36),0)</f>
        <v>0</v>
      </c>
      <c r="BC191" s="861">
        <f>IF(INDEX(HwyTransitModelGroup,A178,1)=PARAMETERS!$J$11,0.00000110231131*((C191-D191)*PARAMETERS!$CU$36),0)</f>
        <v>0</v>
      </c>
      <c r="BD191" s="863">
        <f>IF(INDEX(HwyTransitModelGroup,A178,1)=PARAMETERS!$J$11,0.00000110231131*((C191-D191)*PARAMETERS!$CV$36),0)</f>
        <v>0</v>
      </c>
      <c r="BE191" s="865">
        <f>IF(INDEX(HwyTransitModelGroup,A178,1)=PARAMETERS!$J$11,0.00000110231131*((C191-D191)*PARAMETERS!$CW$36),0)</f>
        <v>0</v>
      </c>
      <c r="BF191" s="729">
        <f t="shared" si="82"/>
        <v>86.903919353608856</v>
      </c>
      <c r="BG191" s="867">
        <f t="shared" si="83"/>
        <v>55403.030439244554</v>
      </c>
      <c r="BH191" s="867">
        <f t="shared" si="84"/>
        <v>10067.367246193735</v>
      </c>
      <c r="BI191" s="867">
        <f t="shared" si="85"/>
        <v>1578.1900926034107</v>
      </c>
      <c r="BJ191" s="867">
        <f t="shared" si="86"/>
        <v>562.25726400672272</v>
      </c>
      <c r="BK191" s="869">
        <f t="shared" si="87"/>
        <v>36.472907647478323</v>
      </c>
      <c r="BL191" s="374"/>
      <c r="BN191" s="335"/>
      <c r="BO191" s="1777" t="str">
        <f t="shared" ref="BO191:BT191" si="89">IF(ISBLANK(INDEX(ModelGroup,BO190,1)),"Not Used",INDEX(ModelGroup,BO190,1))</f>
        <v>SB Off-ramp to Ave 280</v>
      </c>
      <c r="BP191" s="1777" t="str">
        <f t="shared" si="89"/>
        <v>SB On-ramp from Ave 280</v>
      </c>
      <c r="BQ191" s="1777" t="str">
        <f t="shared" si="89"/>
        <v>NB Off-ramp to Ave 280</v>
      </c>
      <c r="BR191" s="1777" t="str">
        <f t="shared" si="89"/>
        <v>NB On-ramp from Ave 280</v>
      </c>
      <c r="BS191" s="1777" t="str">
        <f t="shared" si="89"/>
        <v>NB Mainline</v>
      </c>
      <c r="BT191" s="1777" t="str">
        <f t="shared" si="89"/>
        <v>SB Mainline</v>
      </c>
    </row>
    <row r="192" spans="1:72" x14ac:dyDescent="0.25">
      <c r="B192" s="375">
        <f t="shared" si="88"/>
        <v>2031</v>
      </c>
      <c r="C192" s="401">
        <f>MAX(TREND(C184:C185,B184:B185,B192),0)</f>
        <v>18940306.25</v>
      </c>
      <c r="D192" s="402">
        <f>MAX(TREND(D184:D185,B184:B185,B192),0)</f>
        <v>16744740</v>
      </c>
      <c r="E192" s="401">
        <f>MAX(TREND(E184:E185,B184:B185,B192),0)</f>
        <v>273111.25</v>
      </c>
      <c r="F192" s="402">
        <f>MAX(TREND(F184:F185,B184:B185,B192),0)</f>
        <v>240991.25</v>
      </c>
      <c r="G192" s="401">
        <f>MAX(TREND(G184:G185,B184:B185,B192),0)</f>
        <v>0</v>
      </c>
      <c r="H192" s="402">
        <f>MAX(TREND(H184:H185,B184:B185,B192),0)</f>
        <v>0</v>
      </c>
      <c r="I192" s="401">
        <f>MAX(TREND(I184:I185,B184:B185,B192),0)</f>
        <v>0</v>
      </c>
      <c r="J192" s="402">
        <f>MAX(TREND(J184:J185,B184:B185,B192),0)</f>
        <v>0</v>
      </c>
      <c r="K192" s="435">
        <f>IFERROR(IF(INDEX(HwyTransitModelGroup,A178,1)=Hwy,MAX(5,ROUND(C192/E192,1)),MAX(5,ROUND(G192/I192,1))),55)</f>
        <v>69.400000000000006</v>
      </c>
      <c r="L192" s="436">
        <f>IFERROR(IF(INDEX(HwyTransitModelGroup,A178,1)=Hwy,MAX(5,ROUND(D192/F192,1)),MAX(5,ROUND(H192/J192,1))),55)</f>
        <v>69.5</v>
      </c>
      <c r="M192" s="405">
        <f>MIN(MAX(TREND(M184:M185,B184:B185,B192),0),1)</f>
        <v>0.24</v>
      </c>
      <c r="N192" s="406">
        <f>MIN(MAX(TREND(N184:N185,B184:B185,B192),0),1)</f>
        <v>0.24</v>
      </c>
      <c r="O192" s="401">
        <f>MAX(TREND(O184:O185,B184:B185,B192),0)</f>
        <v>0</v>
      </c>
      <c r="P192" s="402">
        <f>MAX(TREND(P184:P185,B184:B185,B192),0)</f>
        <v>0</v>
      </c>
      <c r="Q192" s="729">
        <f>IF(INDEX(HwyTransitModelGroup,A178,1)=Hwy,C192*(1-M192)*0.00000110231131*(VLOOKUP(K192,EmAuto1,2)*VLOOKUP(ProjLoc,EmCost,2)+VLOOKUP(K192,EmAuto1,3)*VLOOKUP(ProjLoc,EmCost,3)*(1+CO2Uprater)^($B192-YearCurrent)+VLOOKUP(K192,EmAuto1,4)*VLOOKUP(ProjLoc,EmCost,4)+VLOOKUP(K192,EmAuto1,5)*VLOOKUP(ProjLoc,EmCost,5)+VLOOKUP(K192,EmAuto1,6)*VLOOKUP(ProjLoc,EmCost,6)+VLOOKUP(K192,EmAuto1,7)*VLOOKUP(ProjLoc,EmCost,7))+C192*M192*0.00000110231131*(VLOOKUP(K192,EmTruck1,2)*VLOOKUP(ProjLoc,EmCost,2)+VLOOKUP(K192,EmTruck1,3)*VLOOKUP(ProjLoc,EmCost,3)*(1+CO2Uprater)^($B192-YearCurrent)+VLOOKUP(K192,EmTruck1,4)*VLOOKUP(ProjLoc,EmCost,4)+VLOOKUP(K192,EmTruck1,5)*VLOOKUP(ProjLoc,EmCost,5)+VLOOKUP(K192,EmTruck1,6)*VLOOKUP(ProjLoc,EmCost,6)+VLOOKUP(K192,EmTruck1,7)*VLOOKUP(ProjLoc,EmCost,7)),0)</f>
        <v>834948.21286708675</v>
      </c>
      <c r="R192" s="802">
        <f>IF(INDEX(HwyTransitModelGroup,A178,1)=Hwy,D192*(1-N192)*0.00000110231131*(VLOOKUP(L192,EmAuto1,2)*VLOOKUP(ProjLoc,EmCost,2)+VLOOKUP(L192,EmAuto1,3)*VLOOKUP(ProjLoc,EmCost,3)*(1+CO2Uprater)^($B192-YearCurrent)+VLOOKUP(L192,EmAuto1,4)*VLOOKUP(ProjLoc,EmCost,4)+VLOOKUP(L192,EmAuto1,5)*VLOOKUP(ProjLoc,EmCost,5)+VLOOKUP(L192,EmAuto1,6)*VLOOKUP(ProjLoc,EmCost,6)+VLOOKUP(L192,EmAuto1,7)*VLOOKUP(ProjLoc,EmCost,7))+D192*N192*0.00000110231131*(VLOOKUP(L192,EmTruck1,2)*VLOOKUP(ProjLoc,EmCost,2)+VLOOKUP(L192,EmTruck1,3)*VLOOKUP(ProjLoc,EmCost,3)*(1+CO2Uprater)^($B192-YearCurrent)+VLOOKUP(L192,EmTruck1,4)*VLOOKUP(ProjLoc,EmCost,4)+VLOOKUP(L192,EmTruck1,5)*VLOOKUP(ProjLoc,EmCost,5)+VLOOKUP(L192,EmTruck1,6)*VLOOKUP(ProjLoc,EmCost,6)+VLOOKUP(L192,EmTruck1,7)*VLOOKUP(ProjLoc,EmCost,7)),0)</f>
        <v>738160.75375887984</v>
      </c>
      <c r="S192" s="729">
        <f>IF(INDEX(HwyTransitModelGroup,A178,1)=Hwy,O192*(1-M192)*0.00000110231131*(VLOOKUP(0,EmAuto1,2)*VLOOKUP(ProjLoc,EmCost,2)+VLOOKUP(0,EmAuto1,3)*VLOOKUP(ProjLoc,EmCost,3)*(1+CO2Uprater)^($B192-YearCurrent)+VLOOKUP(0,EmAuto1,4)*VLOOKUP(ProjLoc,EmCost,4)+VLOOKUP(0,EmAuto1,5)*VLOOKUP(ProjLoc,EmCost,5)+VLOOKUP(0,EmAuto1,6)*VLOOKUP(ProjLoc,EmCost,6)+VLOOKUP(0,EmAuto1,7)*VLOOKUP(ProjLoc,EmCost,7))+O192*M192*0.00000110231131*(VLOOKUP(0,EmTruck1,2)*VLOOKUP(ProjLoc,EmCost,2)+VLOOKUP(0,EmTruck1,3)*VLOOKUP(ProjLoc,EmCost,3)*(1+CO2Uprater)^($B192-YearCurrent)+VLOOKUP(0,EmTruck1,4)*VLOOKUP(ProjLoc,EmCost,4)+VLOOKUP(0,EmTruck1,5)*VLOOKUP(ProjLoc,EmCost,5)+VLOOKUP(0,EmTruck1,6)*VLOOKUP(ProjLoc,EmCost,6)+VLOOKUP(0,EmTruck1,7)*VLOOKUP(ProjLoc,EmCost,7)),0)</f>
        <v>0</v>
      </c>
      <c r="T192" s="802">
        <f>IF(INDEX(HwyTransitModelGroup,A178,1)=Hwy,P192*(1-N192)*0.00000110231131*(VLOOKUP(0,EmAuto1,2)*VLOOKUP(ProjLoc,EmCost,2)+VLOOKUP(0,EmAuto1,3)*VLOOKUP(ProjLoc,EmCost,3)*(1+CO2Uprater)^($B192-YearCurrent)+VLOOKUP(0,EmAuto1,4)*VLOOKUP(ProjLoc,EmCost,4)+VLOOKUP(0,EmAuto1,5)*VLOOKUP(ProjLoc,EmCost,5)+VLOOKUP(0,EmAuto1,6)*VLOOKUP(ProjLoc,EmCost,6)+VLOOKUP(0,EmAuto1,7)*VLOOKUP(ProjLoc,EmCost,7))+P192*N192*0.00000110231131*(VLOOKUP(0,EmTruck1,2)*VLOOKUP(ProjLoc,EmCost,2)+VLOOKUP(0,EmTruck1,3)*VLOOKUP(ProjLoc,EmCost,3)*(1+CO2Uprater)^($B192-YearCurrent)+VLOOKUP(0,EmTruck1,4)*VLOOKUP(ProjLoc,EmCost,4)+VLOOKUP(0,EmTruck1,5)*VLOOKUP(ProjLoc,EmCost,5)+VLOOKUP(0,EmTruck1,6)*VLOOKUP(ProjLoc,EmCost,6)+VLOOKUP(0,EmTruck1,7)*VLOOKUP(ProjLoc,EmCost,7)),0)</f>
        <v>0</v>
      </c>
      <c r="U192" s="729">
        <f>IF(INDEX(HwyTransitModelGroup,A178,1)=PARAMETERS!$J$9,C192*0.00000110231131*(VLOOKUP(K192,EmBus1,2)*VLOOKUP(ProjLoc,EmCost,2)+VLOOKUP(K192,EmBus1,3)*VLOOKUP(ProjLoc,EmCost,3)*(1+CO2Uprater)^($B192-YearCurrent)+VLOOKUP(K192,EmBus1,4)*VLOOKUP(ProjLoc,EmCost,4)+VLOOKUP(K192,EmBus1,5)*VLOOKUP(ProjLoc,EmCost,5)+VLOOKUP(K192,EmBus1,6)*VLOOKUP(ProjLoc,EmCost,6)+VLOOKUP(K192,EmBus1,7)*VLOOKUP(ProjLoc,EmCost,7)),0)</f>
        <v>0</v>
      </c>
      <c r="V192" s="802">
        <f>IF(INDEX(HwyTransitModelGroup,A178,1)=PARAMETERS!$J$9,D192*0.00000110231131*(VLOOKUP(L192,EmBus1,2)*VLOOKUP(ProjLoc,EmCost,2)+VLOOKUP(L192,EmBus1,3)*VLOOKUP(ProjLoc,EmCost,3)*(1+CO2Uprater)^($B192-YearCurrent)+VLOOKUP(L192,EmBus1,4)*VLOOKUP(ProjLoc,EmCost,4)+VLOOKUP(L192,EmBus1,5)*VLOOKUP(ProjLoc,EmCost,5)+VLOOKUP(L192,EmBus1,6)*VLOOKUP(ProjLoc,EmCost,6)+VLOOKUP(L192,EmBus1,7)*VLOOKUP(ProjLoc,EmCost,7)),0)</f>
        <v>0</v>
      </c>
      <c r="W192" s="808">
        <f>IF(INDEX(HwyTransitModelGroup,A178,1)=PARAMETERS!$J$10,C192*0.00000110231131*(PARAMETERS!$CQ$28*VLOOKUP(ProjLoc,EmCost,2)+PARAMETERS!$CR$28*VLOOKUP(ProjLoc,EmCost,3)*(1+CO2Uprater)^($B192-YearCurrent)+PARAMETERS!$CS$28*VLOOKUP(ProjLoc,EmCost,4)+PARAMETERS!$CT$28*VLOOKUP(ProjLoc,EmCost,5)+PARAMETERS!$CU$28*VLOOKUP(ProjLoc,EmCost,6)+PARAMETERS!$CV$28*VLOOKUP(ProjLoc,EmCost,7)),0)</f>
        <v>0</v>
      </c>
      <c r="X192" s="844">
        <f>IF(INDEX(HwyTransitModelGroup,A178,1)=PARAMETERS!$J$10,D192*0.00000110231131*(PARAMETERS!$CQ$28*VLOOKUP(ProjLoc,EmCost,2)+PARAMETERS!$CR$28*VLOOKUP(ProjLoc,EmCost,3)*(1+CO2Uprater)^($B192-YearCurrent)+PARAMETERS!$CS$28*VLOOKUP(ProjLoc,EmCost,4)+PARAMETERS!$CT$28*VLOOKUP(ProjLoc,EmCost,5)+PARAMETERS!$CU$28*VLOOKUP(ProjLoc,EmCost,6)+PARAMETERS!$CV$28*VLOOKUP(ProjLoc,EmCost,7)),0)</f>
        <v>0</v>
      </c>
      <c r="Y192" s="808">
        <f>IF(INDEX(HwyTransitModelGroup,A178,1)=PARAMETERS!$J$11,C192*0.00000110231131*(PARAMETERS!$CQ$36*VLOOKUP(ProjLoc,EmCost,2)+PARAMETERS!$CR$36*VLOOKUP(ProjLoc,EmCost,3)*(1+CO2Uprater)^($B192-YearCurrent)+PARAMETERS!$CS$36*VLOOKUP(ProjLoc,EmCost,4)+PARAMETERS!$CT$36*VLOOKUP(ProjLoc,EmCost,5)+PARAMETERS!$CU$36*VLOOKUP(ProjLoc,EmCost,6)+PARAMETERS!$CV$36*VLOOKUP(ProjLoc,EmCost,7)),0)</f>
        <v>0</v>
      </c>
      <c r="Z192" s="844">
        <f>IF(INDEX(HwyTransitModelGroup,A178,1)=PARAMETERS!$J$11,D192*0.00000110231131*(PARAMETERS!$CQ$36*VLOOKUP(ProjLoc,EmCost,2)+PARAMETERS!$CR$36*VLOOKUP(ProjLoc,EmCost,3)*(1+CO2Uprater)^($B192-YearCurrent)+PARAMETERS!$CS$36*VLOOKUP(ProjLoc,EmCost,4)+PARAMETERS!$CT$36*VLOOKUP(ProjLoc,EmCost,5)+PARAMETERS!$CU$36*VLOOKUP(ProjLoc,EmCost,6)+PARAMETERS!$CV$36*VLOOKUP(ProjLoc,EmCost,7)),0)</f>
        <v>0</v>
      </c>
      <c r="AA192" s="369">
        <f t="shared" si="80"/>
        <v>96787.459108206909</v>
      </c>
      <c r="AB192" s="370">
        <f t="shared" si="81"/>
        <v>68001.584939804641</v>
      </c>
      <c r="AC192" s="371"/>
      <c r="AD192" s="401">
        <f>IF(INDEX(HwyTransitModelGroup,A178,1)=Hwy,0.00000110231131*(C192*(1-M192)*VLOOKUP(K192,EmAuto1,2)-D192*(1-N192)*VLOOKUP(L192,EmAuto1,2)+(O192*(1-M192)-P192*(1-N192))*VLOOKUP(0,EmAuto1,2))+0.00000110231131*(C192*M192*VLOOKUP(K192,EmTruck1,2)-D192*N192*VLOOKUP(L192,EmTruck1,2)+(O192*M192-P192*N192)*VLOOKUP(0,EmTruck1,2)),0)</f>
        <v>1.5272607978041224</v>
      </c>
      <c r="AE192" s="863">
        <f>IF(INDEX(HwyTransitModelGroup,A178,1)=Hwy,0.00000110231131*(C192*(1-M192)*VLOOKUP(K192,EmAuto1,3)-D192*(1-N192)*VLOOKUP(L192,EmAuto1,3)+(O192*(1-M192)-P192*(1-N192))*VLOOKUP(0,EmAuto1,3))+0.00000110231131*(C192*M192*VLOOKUP(K192,EmTruck1,3)-D192*N192*VLOOKUP(L192,EmTruck1,3)+(O192*M192-P192*N192)*VLOOKUP(0,EmTruck1,3)),0)</f>
        <v>1385.0158286537712</v>
      </c>
      <c r="AF192" s="861">
        <f>IF(INDEX(HwyTransitModelGroup,A178,1)=Hwy,0.00000110231131*(C192*(1-M192)*VLOOKUP(K192,EmAuto1,4)-D192*(1-N192)*VLOOKUP(L192,EmAuto1,4)+(O192*(1-M192)-P192*(1-N192))*VLOOKUP(0,EmAuto1,4))+0.00000110231131*(C192*M192*VLOOKUP(K192,EmTruck1,4)-D192*N192*VLOOKUP(L192,EmTruck1,4)+(O192*M192-P192*N192)*VLOOKUP(0,EmTruck1,4)),0)</f>
        <v>0.93735217611453969</v>
      </c>
      <c r="AG192" s="863">
        <f>IF(INDEX(HwyTransitModelGroup,A178,1)=Hwy,0.00000110231131*(C192*(1-M192)*VLOOKUP(K192,EmAuto1,5)-D192*(1-N192)*VLOOKUP(L192,EmAuto1,5)+(O192*(1-M192)-P192*(1-N192))*VLOOKUP(0,EmAuto1,5))+0.00000110231131*(C192*M192*VLOOKUP(K192,EmTruck1,5)-D192*N192*VLOOKUP(L192,EmTruck1,5)+(O192*M192-P192*N192)*VLOOKUP(0,EmTruck1,5)),0)</f>
        <v>1.9013071632505298E-2</v>
      </c>
      <c r="AH192" s="861">
        <f>IF(INDEX(HwyTransitModelGroup,A178,1)=Hwy,0.00000110231131*(C192*(1-M192)*VLOOKUP(K192,EmAuto1,6)-D192*(1-N192)*VLOOKUP(L192,EmAuto1,6)+(O192*(1-M192)-P192*(1-N192))*VLOOKUP(0,EmAuto1,6))+0.00000110231131*(C192*M192*VLOOKUP(K192,EmTruck1,6)-D192*N192*VLOOKUP(L192,EmTruck1,6)+(O192*M192-P192*N192)*VLOOKUP(0,EmTruck1,6)),0)</f>
        <v>1.3398213411093341E-2</v>
      </c>
      <c r="AI192" s="863">
        <f>IF(INDEX(HwyTransitModelGroup,A178,1)=Hwy,0.00000110231131*(C192*(1-M192)*VLOOKUP(K192,EmAuto1,7)-D192*(1-N192)*VLOOKUP(L192,EmAuto1,7)+(O192*(1-M192)-P192*(1-N192))*VLOOKUP(0,EmAuto1,7))+0.00000110231131*(C192*M192*VLOOKUP(K192,EmTruck1,7)-D192*N192*VLOOKUP(L192,EmTruck1,7)+(O192*M192-P192*N192)*VLOOKUP(0,EmTruck1,7)),0)</f>
        <v>4.6196730056168638E-2</v>
      </c>
      <c r="AJ192" s="861">
        <f>IF(INDEX(HwyTransitModelGroup,A178,1)=Hwy,0.00000110231131*(C192*(1-M192)*VLOOKUP(K192,EmAuto1,8)-D192*(1-N192)*VLOOKUP(L192,EmAuto1,8)+(O192*(1-M192)-P192*(1-N192))*VLOOKUP(0,EmAuto1,8))+0.00000110231131*(C192*M192*VLOOKUP(K192,EmTruck1,8)-D192*N192*VLOOKUP(L192,EmTruck1,8)+(O192*M192-P192*N192)*VLOOKUP(0,EmTruck1,8)),0)</f>
        <v>1.813211973914583E-2</v>
      </c>
      <c r="AK192" s="401">
        <f>IF(INDEX(HwyTransitModelGroup,A178,1)=PARAMETERS!$J$9,0.00000110231131*(C192*VLOOKUP(K192,EmBus1,2)-D192*VLOOKUP(L192,EmBus1,2)+(O192-P192)*VLOOKUP(0,EmBus1,2)),0)</f>
        <v>0</v>
      </c>
      <c r="AL192" s="863">
        <f>IF(INDEX(HwyTransitModelGroup,A178,1)=PARAMETERS!$J$9,0.00000110231131*(C192*VLOOKUP(K192,EmBus1,3)-D192*VLOOKUP(L192,EmBus1,3)+(O192-P192)*VLOOKUP(0,EmBus1,3)),0)</f>
        <v>0</v>
      </c>
      <c r="AM192" s="861">
        <f>IF(INDEX(HwyTransitModelGroup,A178,1)=PARAMETERS!$J$9,0.00000110231131*(C192*VLOOKUP(K192,EmBus1,4)-D192*VLOOKUP(L192,EmBus1,4)+(O192-P192)*VLOOKUP(0,EmBus1,4)),0)</f>
        <v>0</v>
      </c>
      <c r="AN192" s="863">
        <f>IF(INDEX(HwyTransitModelGroup,A178,1)=PARAMETERS!$J$9,0.00000110231131*(C192*VLOOKUP(K192,EmBus1,5)-D192*VLOOKUP(L192,EmBus1,5)+(O192-P192)*VLOOKUP(0,EmBus1,5)),0)</f>
        <v>0</v>
      </c>
      <c r="AO192" s="861">
        <f>IF(INDEX(HwyTransitModelGroup,A178,1)=PARAMETERS!$J$9,0.00000110231131*(C192*VLOOKUP(K192,EmBus1,6)-D192*VLOOKUP(L192,EmBus1,6)+(O192-P192)*VLOOKUP(0,EmBus1,6)),0)</f>
        <v>0</v>
      </c>
      <c r="AP192" s="863">
        <f>IF(INDEX(HwyTransitModelGroup,A178,1)=PARAMETERS!$J$9,0.00000110231131*(C192*VLOOKUP(K192,EmBus1,7)-D192*VLOOKUP(L192,EmBus1,7)+(O192-P192)*VLOOKUP(0,EmBus1,7)),0)</f>
        <v>0</v>
      </c>
      <c r="AQ192" s="861">
        <f>IF(INDEX(HwyTransitModelGroup,A178,1)=PARAMETERS!$J$9,0.00000110231131*(C192*VLOOKUP(K192,EmBus1,8)-D192*VLOOKUP(L192,EmBus1,8)+(O192-P192)*VLOOKUP(0,EmBus1,8)),0)</f>
        <v>0</v>
      </c>
      <c r="AR192" s="401">
        <f>IF(INDEX(HwyTransitModelGroup,A178,1)=PARAMETERS!$J$10,0.00000110231131*((C192-D192)*PARAMETERS!$CQ$28),0)</f>
        <v>0</v>
      </c>
      <c r="AS192" s="863">
        <f>IF(INDEX(HwyTransitModelGroup,A178,1)=PARAMETERS!$J$10,0.00000110231131*((C192-D192)*PARAMETERS!$CR$28),0)</f>
        <v>0</v>
      </c>
      <c r="AT192" s="861">
        <f>IF(INDEX(HwyTransitModelGroup,A178,1)=PARAMETERS!$J$10,0.00000110231131*((C192-D192)*PARAMETERS!$CS$28),0)</f>
        <v>0</v>
      </c>
      <c r="AU192" s="863">
        <f>IF(INDEX(HwyTransitModelGroup,A178,1)=PARAMETERS!$J$10,0.00000110231131*((C192-D192)*PARAMETERS!$CT$28),0)</f>
        <v>0</v>
      </c>
      <c r="AV192" s="861">
        <f>IF(INDEX(HwyTransitModelGroup,A178,1)=PARAMETERS!$J$10,0.00000110231131*((C192-D192)*PARAMETERS!$CU$28),0)</f>
        <v>0</v>
      </c>
      <c r="AW192" s="863">
        <f>IF(INDEX(HwyTransitModelGroup,A178,1)=PARAMETERS!$J$10,0.00000110231131*((C192-D192)*PARAMETERS!$CV$28),0)</f>
        <v>0</v>
      </c>
      <c r="AX192" s="861">
        <f>IF(INDEX(HwyTransitModelGroup,A178,1)=PARAMETERS!$J$10,0.00000110231131*((C192-D192)*PARAMETERS!$CW$28),0)</f>
        <v>0</v>
      </c>
      <c r="AY192" s="401">
        <f>IF(INDEX(HwyTransitModelGroup,A178,1)=PARAMETERS!$J$11,0.00000110231131*((C192-D192)*PARAMETERS!$CQ$36),0)</f>
        <v>0</v>
      </c>
      <c r="AZ192" s="863">
        <f>IF(INDEX(HwyTransitModelGroup,A178,1)=PARAMETERS!$J$11,0.00000110231131*((C192-D192)*PARAMETERS!$CR$36),0)</f>
        <v>0</v>
      </c>
      <c r="BA192" s="861">
        <f>IF(INDEX(HwyTransitModelGroup,A178,1)=PARAMETERS!$J$11,0.00000110231131*((C192-D192)*PARAMETERS!$CS$36),0)</f>
        <v>0</v>
      </c>
      <c r="BB192" s="863">
        <f>IF(INDEX(HwyTransitModelGroup,A178,1)=PARAMETERS!$J$11,0.00000110231131*((C192-D192)*PARAMETERS!$CT$36),0)</f>
        <v>0</v>
      </c>
      <c r="BC192" s="861">
        <f>IF(INDEX(HwyTransitModelGroup,A178,1)=PARAMETERS!$J$11,0.00000110231131*((C192-D192)*PARAMETERS!$CU$36),0)</f>
        <v>0</v>
      </c>
      <c r="BD192" s="863">
        <f>IF(INDEX(HwyTransitModelGroup,A178,1)=PARAMETERS!$J$11,0.00000110231131*((C192-D192)*PARAMETERS!$CV$36),0)</f>
        <v>0</v>
      </c>
      <c r="BE192" s="865">
        <f>IF(INDEX(HwyTransitModelGroup,A178,1)=PARAMETERS!$J$11,0.00000110231131*((C192-D192)*PARAMETERS!$CW$36),0)</f>
        <v>0</v>
      </c>
      <c r="BF192" s="729">
        <f t="shared" si="82"/>
        <v>85.842654264537487</v>
      </c>
      <c r="BG192" s="867">
        <f t="shared" si="83"/>
        <v>55820.981228809738</v>
      </c>
      <c r="BH192" s="867">
        <f t="shared" si="84"/>
        <v>9944.4252031108153</v>
      </c>
      <c r="BI192" s="867">
        <f t="shared" si="85"/>
        <v>1558.9173364186959</v>
      </c>
      <c r="BJ192" s="867">
        <f t="shared" si="86"/>
        <v>555.39101436222609</v>
      </c>
      <c r="BK192" s="869">
        <f t="shared" si="87"/>
        <v>36.027502838683766</v>
      </c>
      <c r="BL192" s="374"/>
      <c r="BN192" s="77" t="s">
        <v>34</v>
      </c>
      <c r="BO192" s="1778"/>
      <c r="BP192" s="1778"/>
      <c r="BQ192" s="1778"/>
      <c r="BR192" s="1778"/>
      <c r="BS192" s="1778"/>
      <c r="BT192" s="1778"/>
    </row>
    <row r="193" spans="2:72" x14ac:dyDescent="0.25">
      <c r="B193" s="375">
        <f t="shared" si="88"/>
        <v>2032</v>
      </c>
      <c r="C193" s="401">
        <f>MAX(TREND(C184:C185,B184:B185,B193),0)</f>
        <v>19179326.5</v>
      </c>
      <c r="D193" s="402">
        <f>MAX(TREND(D184:D185,B184:B185,B193),0)</f>
        <v>16925415</v>
      </c>
      <c r="E193" s="401">
        <f>MAX(TREND(E184:E185,B184:B185,B193),0)</f>
        <v>276633.5</v>
      </c>
      <c r="F193" s="402">
        <f>MAX(TREND(F184:F185,B184:B185,B193),0)</f>
        <v>243637.5</v>
      </c>
      <c r="G193" s="401">
        <f>MAX(TREND(G184:G185,B184:B185,B193),0)</f>
        <v>0</v>
      </c>
      <c r="H193" s="402">
        <f>MAX(TREND(H184:H185,B184:B185,B193),0)</f>
        <v>0</v>
      </c>
      <c r="I193" s="401">
        <f>MAX(TREND(I184:I185,B184:B185,B193),0)</f>
        <v>0</v>
      </c>
      <c r="J193" s="402">
        <f>MAX(TREND(J184:J185,B184:B185,B193),0)</f>
        <v>0</v>
      </c>
      <c r="K193" s="435">
        <f>IFERROR(IF(INDEX(HwyTransitModelGroup,A178,1)=Hwy,MAX(5,ROUND(C193/E193,1)),MAX(5,ROUND(G193/I193,1))),55)</f>
        <v>69.3</v>
      </c>
      <c r="L193" s="436">
        <f>IFERROR(IF(INDEX(HwyTransitModelGroup,A178,1)=Hwy,MAX(5,ROUND(D193/F193,1)),MAX(5,ROUND(H193/J193,1))),55)</f>
        <v>69.5</v>
      </c>
      <c r="M193" s="405">
        <f>MIN(MAX(TREND(M184:M185,B184:B185,B193),0),1)</f>
        <v>0.24</v>
      </c>
      <c r="N193" s="406">
        <f>MIN(MAX(TREND(N184:N185,B184:B185,B193),0),1)</f>
        <v>0.24</v>
      </c>
      <c r="O193" s="401">
        <f>MAX(TREND(O184:O185,B184:B185,B193),0)</f>
        <v>0</v>
      </c>
      <c r="P193" s="402">
        <f>MAX(TREND(P184:P185,B184:B185,B193),0)</f>
        <v>0</v>
      </c>
      <c r="Q193" s="729">
        <f>IF(INDEX(HwyTransitModelGroup,A178,1)=Hwy,C193*(1-M193)*0.00000110231131*(VLOOKUP(K193,EmAuto1,2)*VLOOKUP(ProjLoc,EmCost,2)+VLOOKUP(K193,EmAuto1,3)*VLOOKUP(ProjLoc,EmCost,3)*(1+CO2Uprater)^($B193-YearCurrent)+VLOOKUP(K193,EmAuto1,4)*VLOOKUP(ProjLoc,EmCost,4)+VLOOKUP(K193,EmAuto1,5)*VLOOKUP(ProjLoc,EmCost,5)+VLOOKUP(K193,EmAuto1,6)*VLOOKUP(ProjLoc,EmCost,6)+VLOOKUP(K193,EmAuto1,7)*VLOOKUP(ProjLoc,EmCost,7))+C193*M193*0.00000110231131*(VLOOKUP(K193,EmTruck1,2)*VLOOKUP(ProjLoc,EmCost,2)+VLOOKUP(K193,EmTruck1,3)*VLOOKUP(ProjLoc,EmCost,3)*(1+CO2Uprater)^($B193-YearCurrent)+VLOOKUP(K193,EmTruck1,4)*VLOOKUP(ProjLoc,EmCost,4)+VLOOKUP(K193,EmTruck1,5)*VLOOKUP(ProjLoc,EmCost,5)+VLOOKUP(K193,EmTruck1,6)*VLOOKUP(ProjLoc,EmCost,6)+VLOOKUP(K193,EmTruck1,7)*VLOOKUP(ProjLoc,EmCost,7)),0)</f>
        <v>859365.77093523997</v>
      </c>
      <c r="R193" s="802">
        <f>IF(INDEX(HwyTransitModelGroup,A178,1)=Hwy,D193*(1-N193)*0.00000110231131*(VLOOKUP(L193,EmAuto1,2)*VLOOKUP(ProjLoc,EmCost,2)+VLOOKUP(L193,EmAuto1,3)*VLOOKUP(ProjLoc,EmCost,3)*(1+CO2Uprater)^($B193-YearCurrent)+VLOOKUP(L193,EmAuto1,4)*VLOOKUP(ProjLoc,EmCost,4)+VLOOKUP(L193,EmAuto1,5)*VLOOKUP(ProjLoc,EmCost,5)+VLOOKUP(L193,EmAuto1,6)*VLOOKUP(ProjLoc,EmCost,6)+VLOOKUP(L193,EmAuto1,7)*VLOOKUP(ProjLoc,EmCost,7))+D193*N193*0.00000110231131*(VLOOKUP(L193,EmTruck1,2)*VLOOKUP(ProjLoc,EmCost,2)+VLOOKUP(L193,EmTruck1,3)*VLOOKUP(ProjLoc,EmCost,3)*(1+CO2Uprater)^($B193-YearCurrent)+VLOOKUP(L193,EmTruck1,4)*VLOOKUP(ProjLoc,EmCost,4)+VLOOKUP(L193,EmTruck1,5)*VLOOKUP(ProjLoc,EmCost,5)+VLOOKUP(L193,EmTruck1,6)*VLOOKUP(ProjLoc,EmCost,6)+VLOOKUP(L193,EmTruck1,7)*VLOOKUP(ProjLoc,EmCost,7)),0)</f>
        <v>758375.03000295023</v>
      </c>
      <c r="S193" s="729">
        <f>IF(INDEX(HwyTransitModelGroup,A178,1)=Hwy,O193*(1-M193)*0.00000110231131*(VLOOKUP(0,EmAuto1,2)*VLOOKUP(ProjLoc,EmCost,2)+VLOOKUP(0,EmAuto1,3)*VLOOKUP(ProjLoc,EmCost,3)*(1+CO2Uprater)^($B193-YearCurrent)+VLOOKUP(0,EmAuto1,4)*VLOOKUP(ProjLoc,EmCost,4)+VLOOKUP(0,EmAuto1,5)*VLOOKUP(ProjLoc,EmCost,5)+VLOOKUP(0,EmAuto1,6)*VLOOKUP(ProjLoc,EmCost,6)+VLOOKUP(0,EmAuto1,7)*VLOOKUP(ProjLoc,EmCost,7))+O193*M193*0.00000110231131*(VLOOKUP(0,EmTruck1,2)*VLOOKUP(ProjLoc,EmCost,2)+VLOOKUP(0,EmTruck1,3)*VLOOKUP(ProjLoc,EmCost,3)*(1+CO2Uprater)^($B193-YearCurrent)+VLOOKUP(0,EmTruck1,4)*VLOOKUP(ProjLoc,EmCost,4)+VLOOKUP(0,EmTruck1,5)*VLOOKUP(ProjLoc,EmCost,5)+VLOOKUP(0,EmTruck1,6)*VLOOKUP(ProjLoc,EmCost,6)+VLOOKUP(0,EmTruck1,7)*VLOOKUP(ProjLoc,EmCost,7)),0)</f>
        <v>0</v>
      </c>
      <c r="T193" s="802">
        <f>IF(INDEX(HwyTransitModelGroup,A178,1)=Hwy,P193*(1-N193)*0.00000110231131*(VLOOKUP(0,EmAuto1,2)*VLOOKUP(ProjLoc,EmCost,2)+VLOOKUP(0,EmAuto1,3)*VLOOKUP(ProjLoc,EmCost,3)*(1+CO2Uprater)^($B193-YearCurrent)+VLOOKUP(0,EmAuto1,4)*VLOOKUP(ProjLoc,EmCost,4)+VLOOKUP(0,EmAuto1,5)*VLOOKUP(ProjLoc,EmCost,5)+VLOOKUP(0,EmAuto1,6)*VLOOKUP(ProjLoc,EmCost,6)+VLOOKUP(0,EmAuto1,7)*VLOOKUP(ProjLoc,EmCost,7))+P193*N193*0.00000110231131*(VLOOKUP(0,EmTruck1,2)*VLOOKUP(ProjLoc,EmCost,2)+VLOOKUP(0,EmTruck1,3)*VLOOKUP(ProjLoc,EmCost,3)*(1+CO2Uprater)^($B193-YearCurrent)+VLOOKUP(0,EmTruck1,4)*VLOOKUP(ProjLoc,EmCost,4)+VLOOKUP(0,EmTruck1,5)*VLOOKUP(ProjLoc,EmCost,5)+VLOOKUP(0,EmTruck1,6)*VLOOKUP(ProjLoc,EmCost,6)+VLOOKUP(0,EmTruck1,7)*VLOOKUP(ProjLoc,EmCost,7)),0)</f>
        <v>0</v>
      </c>
      <c r="U193" s="729">
        <f>IF(INDEX(HwyTransitModelGroup,A178,1)=PARAMETERS!$J$9,C193*0.00000110231131*(VLOOKUP(K193,EmBus1,2)*VLOOKUP(ProjLoc,EmCost,2)+VLOOKUP(K193,EmBus1,3)*VLOOKUP(ProjLoc,EmCost,3)*(1+CO2Uprater)^($B193-YearCurrent)+VLOOKUP(K193,EmBus1,4)*VLOOKUP(ProjLoc,EmCost,4)+VLOOKUP(K193,EmBus1,5)*VLOOKUP(ProjLoc,EmCost,5)+VLOOKUP(K193,EmBus1,6)*VLOOKUP(ProjLoc,EmCost,6)+VLOOKUP(K193,EmBus1,7)*VLOOKUP(ProjLoc,EmCost,7)),0)</f>
        <v>0</v>
      </c>
      <c r="V193" s="802">
        <f>IF(INDEX(HwyTransitModelGroup,A178,1)=PARAMETERS!$J$9,D193*0.00000110231131*(VLOOKUP(L193,EmBus1,2)*VLOOKUP(ProjLoc,EmCost,2)+VLOOKUP(L193,EmBus1,3)*VLOOKUP(ProjLoc,EmCost,3)*(1+CO2Uprater)^($B193-YearCurrent)+VLOOKUP(L193,EmBus1,4)*VLOOKUP(ProjLoc,EmCost,4)+VLOOKUP(L193,EmBus1,5)*VLOOKUP(ProjLoc,EmCost,5)+VLOOKUP(L193,EmBus1,6)*VLOOKUP(ProjLoc,EmCost,6)+VLOOKUP(L193,EmBus1,7)*VLOOKUP(ProjLoc,EmCost,7)),0)</f>
        <v>0</v>
      </c>
      <c r="W193" s="808">
        <f>IF(INDEX(HwyTransitModelGroup,A178,1)=PARAMETERS!$J$10,C193*0.00000110231131*(PARAMETERS!$CQ$28*VLOOKUP(ProjLoc,EmCost,2)+PARAMETERS!$CR$28*VLOOKUP(ProjLoc,EmCost,3)*(1+CO2Uprater)^($B193-YearCurrent)+PARAMETERS!$CS$28*VLOOKUP(ProjLoc,EmCost,4)+PARAMETERS!$CT$28*VLOOKUP(ProjLoc,EmCost,5)+PARAMETERS!$CU$28*VLOOKUP(ProjLoc,EmCost,6)+PARAMETERS!$CV$28*VLOOKUP(ProjLoc,EmCost,7)),0)</f>
        <v>0</v>
      </c>
      <c r="X193" s="844">
        <f>IF(INDEX(HwyTransitModelGroup,A178,1)=PARAMETERS!$J$10,D193*0.00000110231131*(PARAMETERS!$CQ$28*VLOOKUP(ProjLoc,EmCost,2)+PARAMETERS!$CR$28*VLOOKUP(ProjLoc,EmCost,3)*(1+CO2Uprater)^($B193-YearCurrent)+PARAMETERS!$CS$28*VLOOKUP(ProjLoc,EmCost,4)+PARAMETERS!$CT$28*VLOOKUP(ProjLoc,EmCost,5)+PARAMETERS!$CU$28*VLOOKUP(ProjLoc,EmCost,6)+PARAMETERS!$CV$28*VLOOKUP(ProjLoc,EmCost,7)),0)</f>
        <v>0</v>
      </c>
      <c r="Y193" s="808">
        <f>IF(INDEX(HwyTransitModelGroup,A178,1)=PARAMETERS!$J$11,C193*0.00000110231131*(PARAMETERS!$CQ$36*VLOOKUP(ProjLoc,EmCost,2)+PARAMETERS!$CR$36*VLOOKUP(ProjLoc,EmCost,3)*(1+CO2Uprater)^($B193-YearCurrent)+PARAMETERS!$CS$36*VLOOKUP(ProjLoc,EmCost,4)+PARAMETERS!$CT$36*VLOOKUP(ProjLoc,EmCost,5)+PARAMETERS!$CU$36*VLOOKUP(ProjLoc,EmCost,6)+PARAMETERS!$CV$36*VLOOKUP(ProjLoc,EmCost,7)),0)</f>
        <v>0</v>
      </c>
      <c r="Z193" s="844">
        <f>IF(INDEX(HwyTransitModelGroup,A178,1)=PARAMETERS!$J$11,D193*0.00000110231131*(PARAMETERS!$CQ$36*VLOOKUP(ProjLoc,EmCost,2)+PARAMETERS!$CR$36*VLOOKUP(ProjLoc,EmCost,3)*(1+CO2Uprater)^($B193-YearCurrent)+PARAMETERS!$CS$36*VLOOKUP(ProjLoc,EmCost,4)+PARAMETERS!$CT$36*VLOOKUP(ProjLoc,EmCost,5)+PARAMETERS!$CU$36*VLOOKUP(ProjLoc,EmCost,6)+PARAMETERS!$CV$36*VLOOKUP(ProjLoc,EmCost,7)),0)</f>
        <v>0</v>
      </c>
      <c r="AA193" s="369">
        <f t="shared" si="80"/>
        <v>100990.74093228974</v>
      </c>
      <c r="AB193" s="370">
        <f t="shared" si="81"/>
        <v>68225.725957023868</v>
      </c>
      <c r="AC193" s="371"/>
      <c r="AD193" s="401">
        <f>IF(INDEX(HwyTransitModelGroup,A178,1)=Hwy,0.00000110231131*(C193*(1-M193)*VLOOKUP(K193,EmAuto1,2)-D193*(1-N193)*VLOOKUP(L193,EmAuto1,2)+(O193*(1-M193)-P193*(1-N193))*VLOOKUP(0,EmAuto1,2))+0.00000110231131*(C193*M193*VLOOKUP(K193,EmTruck1,2)-D193*N193*VLOOKUP(L193,EmTruck1,2)+(O193*M193-P193*N193)*VLOOKUP(0,EmTruck1,2)),0)</f>
        <v>1.5678464157799323</v>
      </c>
      <c r="AE193" s="863">
        <f>IF(INDEX(HwyTransitModelGroup,A178,1)=Hwy,0.00000110231131*(C193*(1-M193)*VLOOKUP(K193,EmAuto1,3)-D193*(1-N193)*VLOOKUP(L193,EmAuto1,3)+(O193*(1-M193)-P193*(1-N193))*VLOOKUP(0,EmAuto1,3))+0.00000110231131*(C193*M193*VLOOKUP(K193,EmTruck1,3)-D193*N193*VLOOKUP(L193,EmTruck1,3)+(O193*M193-P193*N193)*VLOOKUP(0,EmTruck1,3)),0)</f>
        <v>1421.8214111666009</v>
      </c>
      <c r="AF193" s="861">
        <f>IF(INDEX(HwyTransitModelGroup,A178,1)=Hwy,0.00000110231131*(C193*(1-M193)*VLOOKUP(K193,EmAuto1,4)-D193*(1-N193)*VLOOKUP(L193,EmAuto1,4)+(O193*(1-M193)-P193*(1-N193))*VLOOKUP(0,EmAuto1,4))+0.00000110231131*(C193*M193*VLOOKUP(K193,EmTruck1,4)-D193*N193*VLOOKUP(L193,EmTruck1,4)+(O193*M193-P193*N193)*VLOOKUP(0,EmTruck1,4)),0)</f>
        <v>0.96226148916917764</v>
      </c>
      <c r="AG193" s="863">
        <f>IF(INDEX(HwyTransitModelGroup,A178,1)=Hwy,0.00000110231131*(C193*(1-M193)*VLOOKUP(K193,EmAuto1,5)-D193*(1-N193)*VLOOKUP(L193,EmAuto1,5)+(O193*(1-M193)-P193*(1-N193))*VLOOKUP(0,EmAuto1,5))+0.00000110231131*(C193*M193*VLOOKUP(K193,EmTruck1,5)-D193*N193*VLOOKUP(L193,EmTruck1,5)+(O193*M193-P193*N193)*VLOOKUP(0,EmTruck1,5)),0)</f>
        <v>1.9518327357613285E-2</v>
      </c>
      <c r="AH193" s="861">
        <f>IF(INDEX(HwyTransitModelGroup,A178,1)=Hwy,0.00000110231131*(C193*(1-M193)*VLOOKUP(K193,EmAuto1,6)-D193*(1-N193)*VLOOKUP(L193,EmAuto1,6)+(O193*(1-M193)-P193*(1-N193))*VLOOKUP(0,EmAuto1,6))+0.00000110231131*(C193*M193*VLOOKUP(K193,EmTruck1,6)-D193*N193*VLOOKUP(L193,EmTruck1,6)+(O193*M193-P193*N193)*VLOOKUP(0,EmTruck1,6)),0)</f>
        <v>1.3754259197014666E-2</v>
      </c>
      <c r="AI193" s="863">
        <f>IF(INDEX(HwyTransitModelGroup,A178,1)=Hwy,0.00000110231131*(C193*(1-M193)*VLOOKUP(K193,EmAuto1,7)-D193*(1-N193)*VLOOKUP(L193,EmAuto1,7)+(O193*(1-M193)-P193*(1-N193))*VLOOKUP(0,EmAuto1,7))+0.00000110231131*(C193*M193*VLOOKUP(K193,EmTruck1,7)-D193*N193*VLOOKUP(L193,EmTruck1,7)+(O193*M193-P193*N193)*VLOOKUP(0,EmTruck1,7)),0)</f>
        <v>4.742436769375289E-2</v>
      </c>
      <c r="AJ193" s="861">
        <f>IF(INDEX(HwyTransitModelGroup,A178,1)=Hwy,0.00000110231131*(C193*(1-M193)*VLOOKUP(K193,EmAuto1,8)-D193*(1-N193)*VLOOKUP(L193,EmAuto1,8)+(O193*(1-M193)-P193*(1-N193))*VLOOKUP(0,EmAuto1,8))+0.00000110231131*(C193*M193*VLOOKUP(K193,EmTruck1,8)-D193*N193*VLOOKUP(L193,EmTruck1,8)+(O193*M193-P193*N193)*VLOOKUP(0,EmTruck1,8)),0)</f>
        <v>1.8613964939312465E-2</v>
      </c>
      <c r="AK193" s="401">
        <f>IF(INDEX(HwyTransitModelGroup,A178,1)=PARAMETERS!$J$9,0.00000110231131*(C193*VLOOKUP(K193,EmBus1,2)-D193*VLOOKUP(L193,EmBus1,2)+(O193-P193)*VLOOKUP(0,EmBus1,2)),0)</f>
        <v>0</v>
      </c>
      <c r="AL193" s="863">
        <f>IF(INDEX(HwyTransitModelGroup,A178,1)=PARAMETERS!$J$9,0.00000110231131*(C193*VLOOKUP(K193,EmBus1,3)-D193*VLOOKUP(L193,EmBus1,3)+(O193-P193)*VLOOKUP(0,EmBus1,3)),0)</f>
        <v>0</v>
      </c>
      <c r="AM193" s="861">
        <f>IF(INDEX(HwyTransitModelGroup,A178,1)=PARAMETERS!$J$9,0.00000110231131*(C193*VLOOKUP(K193,EmBus1,4)-D193*VLOOKUP(L193,EmBus1,4)+(O193-P193)*VLOOKUP(0,EmBus1,4)),0)</f>
        <v>0</v>
      </c>
      <c r="AN193" s="863">
        <f>IF(INDEX(HwyTransitModelGroup,A178,1)=PARAMETERS!$J$9,0.00000110231131*(C193*VLOOKUP(K193,EmBus1,5)-D193*VLOOKUP(L193,EmBus1,5)+(O193-P193)*VLOOKUP(0,EmBus1,5)),0)</f>
        <v>0</v>
      </c>
      <c r="AO193" s="861">
        <f>IF(INDEX(HwyTransitModelGroup,A178,1)=PARAMETERS!$J$9,0.00000110231131*(C193*VLOOKUP(K193,EmBus1,6)-D193*VLOOKUP(L193,EmBus1,6)+(O193-P193)*VLOOKUP(0,EmBus1,6)),0)</f>
        <v>0</v>
      </c>
      <c r="AP193" s="863">
        <f>IF(INDEX(HwyTransitModelGroup,A178,1)=PARAMETERS!$J$9,0.00000110231131*(C193*VLOOKUP(K193,EmBus1,7)-D193*VLOOKUP(L193,EmBus1,7)+(O193-P193)*VLOOKUP(0,EmBus1,7)),0)</f>
        <v>0</v>
      </c>
      <c r="AQ193" s="861">
        <f>IF(INDEX(HwyTransitModelGroup,A178,1)=PARAMETERS!$J$9,0.00000110231131*(C193*VLOOKUP(K193,EmBus1,8)-D193*VLOOKUP(L193,EmBus1,8)+(O193-P193)*VLOOKUP(0,EmBus1,8)),0)</f>
        <v>0</v>
      </c>
      <c r="AR193" s="401">
        <f>IF(INDEX(HwyTransitModelGroup,A178,1)=PARAMETERS!$J$10,0.00000110231131*((C193-D193)*PARAMETERS!$CQ$28),0)</f>
        <v>0</v>
      </c>
      <c r="AS193" s="863">
        <f>IF(INDEX(HwyTransitModelGroup,A178,1)=PARAMETERS!$J$10,0.00000110231131*((C193-D193)*PARAMETERS!$CR$28),0)</f>
        <v>0</v>
      </c>
      <c r="AT193" s="861">
        <f>IF(INDEX(HwyTransitModelGroup,A178,1)=PARAMETERS!$J$10,0.00000110231131*((C193-D193)*PARAMETERS!$CS$28),0)</f>
        <v>0</v>
      </c>
      <c r="AU193" s="863">
        <f>IF(INDEX(HwyTransitModelGroup,A178,1)=PARAMETERS!$J$10,0.00000110231131*((C193-D193)*PARAMETERS!$CT$28),0)</f>
        <v>0</v>
      </c>
      <c r="AV193" s="861">
        <f>IF(INDEX(HwyTransitModelGroup,A178,1)=PARAMETERS!$J$10,0.00000110231131*((C193-D193)*PARAMETERS!$CU$28),0)</f>
        <v>0</v>
      </c>
      <c r="AW193" s="863">
        <f>IF(INDEX(HwyTransitModelGroup,A178,1)=PARAMETERS!$J$10,0.00000110231131*((C193-D193)*PARAMETERS!$CV$28),0)</f>
        <v>0</v>
      </c>
      <c r="AX193" s="861">
        <f>IF(INDEX(HwyTransitModelGroup,A178,1)=PARAMETERS!$J$10,0.00000110231131*((C193-D193)*PARAMETERS!$CW$28),0)</f>
        <v>0</v>
      </c>
      <c r="AY193" s="401">
        <f>IF(INDEX(HwyTransitModelGroup,A178,1)=PARAMETERS!$J$11,0.00000110231131*((C193-D193)*PARAMETERS!$CQ$36),0)</f>
        <v>0</v>
      </c>
      <c r="AZ193" s="863">
        <f>IF(INDEX(HwyTransitModelGroup,A178,1)=PARAMETERS!$J$11,0.00000110231131*((C193-D193)*PARAMETERS!$CR$36),0)</f>
        <v>0</v>
      </c>
      <c r="BA193" s="861">
        <f>IF(INDEX(HwyTransitModelGroup,A178,1)=PARAMETERS!$J$11,0.00000110231131*((C193-D193)*PARAMETERS!$CS$36),0)</f>
        <v>0</v>
      </c>
      <c r="BB193" s="863">
        <f>IF(INDEX(HwyTransitModelGroup,A178,1)=PARAMETERS!$J$11,0.00000110231131*((C193-D193)*PARAMETERS!$CT$36),0)</f>
        <v>0</v>
      </c>
      <c r="BC193" s="861">
        <f>IF(INDEX(HwyTransitModelGroup,A178,1)=PARAMETERS!$J$11,0.00000110231131*((C193-D193)*PARAMETERS!$CU$36),0)</f>
        <v>0</v>
      </c>
      <c r="BD193" s="863">
        <f>IF(INDEX(HwyTransitModelGroup,A178,1)=PARAMETERS!$J$11,0.00000110231131*((C193-D193)*PARAMETERS!$CV$36),0)</f>
        <v>0</v>
      </c>
      <c r="BE193" s="865">
        <f>IF(INDEX(HwyTransitModelGroup,A178,1)=PARAMETERS!$J$11,0.00000110231131*((C193-D193)*PARAMETERS!$CW$36),0)</f>
        <v>0</v>
      </c>
      <c r="BF193" s="729">
        <f t="shared" si="82"/>
        <v>84.734468857830194</v>
      </c>
      <c r="BG193" s="867">
        <f t="shared" si="83"/>
        <v>56202.367701601899</v>
      </c>
      <c r="BH193" s="867">
        <f t="shared" si="84"/>
        <v>9816.0476851671247</v>
      </c>
      <c r="BI193" s="867">
        <f t="shared" si="85"/>
        <v>1538.7924992117912</v>
      </c>
      <c r="BJ193" s="867">
        <f t="shared" si="86"/>
        <v>548.22119625250275</v>
      </c>
      <c r="BK193" s="869">
        <f t="shared" si="87"/>
        <v>35.56240593286234</v>
      </c>
      <c r="BL193" s="374"/>
      <c r="BN193" s="355"/>
      <c r="BO193" s="1779"/>
      <c r="BP193" s="1779"/>
      <c r="BQ193" s="1779"/>
      <c r="BR193" s="1779"/>
      <c r="BS193" s="1779"/>
      <c r="BT193" s="1779"/>
    </row>
    <row r="194" spans="2:72" x14ac:dyDescent="0.25">
      <c r="B194" s="375">
        <f t="shared" si="88"/>
        <v>2033</v>
      </c>
      <c r="C194" s="401">
        <f>MAX(TREND(C184:C185,B184:B185,B194),0)</f>
        <v>19418346.75</v>
      </c>
      <c r="D194" s="402">
        <f>MAX(TREND(D184:D185,B184:B185,B194),0)</f>
        <v>17106090</v>
      </c>
      <c r="E194" s="401">
        <f>MAX(TREND(E184:E185,B184:B185,B194),0)</f>
        <v>280155.75</v>
      </c>
      <c r="F194" s="402">
        <f>MAX(TREND(F184:F185,B184:B185,B194),0)</f>
        <v>246283.75</v>
      </c>
      <c r="G194" s="401">
        <f>MAX(TREND(G184:G185,B184:B185,B194),0)</f>
        <v>0</v>
      </c>
      <c r="H194" s="402">
        <f>MAX(TREND(H184:H185,B184:B185,B194),0)</f>
        <v>0</v>
      </c>
      <c r="I194" s="401">
        <f>MAX(TREND(I184:I185,B184:B185,B194),0)</f>
        <v>0</v>
      </c>
      <c r="J194" s="402">
        <f>MAX(TREND(J184:J185,B184:B185,B194),0)</f>
        <v>0</v>
      </c>
      <c r="K194" s="435">
        <f>IFERROR(IF(INDEX(HwyTransitModelGroup,A178,1)=Hwy,MAX(5,ROUND(C194/E194,1)),MAX(5,ROUND(G194/I194,1))),55)</f>
        <v>69.3</v>
      </c>
      <c r="L194" s="436">
        <f>IFERROR(IF(INDEX(HwyTransitModelGroup,A178,1)=Hwy,MAX(5,ROUND(D194/F194,1)),MAX(5,ROUND(H194/J194,1))),55)</f>
        <v>69.5</v>
      </c>
      <c r="M194" s="405">
        <f>MIN(MAX(TREND(M184:M185,B184:B185,B194),0),1)</f>
        <v>0.24</v>
      </c>
      <c r="N194" s="406">
        <f>MIN(MAX(TREND(N184:N185,B184:B185,B194),0),1)</f>
        <v>0.24</v>
      </c>
      <c r="O194" s="401">
        <f>MAX(TREND(O184:O185,B184:B185,B194),0)</f>
        <v>0</v>
      </c>
      <c r="P194" s="402">
        <f>MAX(TREND(P184:P185,B184:B185,B194),0)</f>
        <v>0</v>
      </c>
      <c r="Q194" s="729">
        <f>IF(INDEX(HwyTransitModelGroup,A178,1)=Hwy,C194*(1-M194)*0.00000110231131*(VLOOKUP(K194,EmAuto20,2)*VLOOKUP(ProjLoc,EmCost,2)+VLOOKUP(K194,EmAuto20,3)*VLOOKUP(ProjLoc,EmCost,3)*(1+CO2Uprater)^($B194-YearCurrent)+VLOOKUP(K194,EmAuto20,4)*VLOOKUP(ProjLoc,EmCost,4)+VLOOKUP(K194,EmAuto20,5)*VLOOKUP(ProjLoc,EmCost,5)+VLOOKUP(K194,EmAuto20,6)*VLOOKUP(ProjLoc,EmCost,6)+VLOOKUP(K194,EmAuto20,7)*VLOOKUP(ProjLoc,EmCost,7))+C194*M194*0.00000110231131*(VLOOKUP(K194,EmTruck20,2)*VLOOKUP(ProjLoc,EmCost,2)+VLOOKUP(K194,EmTruck20,3)*VLOOKUP(ProjLoc,EmCost,3)*(1+CO2Uprater)^($B194-YearCurrent)+VLOOKUP(K194,EmTruck20,4)*VLOOKUP(ProjLoc,EmCost,4)+VLOOKUP(K194,EmTruck20,5)*VLOOKUP(ProjLoc,EmCost,5)+VLOOKUP(K194,EmTruck20,6)*VLOOKUP(ProjLoc,EmCost,6)+VLOOKUP(K194,EmTruck20,7)*VLOOKUP(ProjLoc,EmCost,7)),0)</f>
        <v>654595.03166173049</v>
      </c>
      <c r="R194" s="802">
        <f>IF(INDEX(HwyTransitModelGroup,A178,1)=Hwy,D194*(1-N194)*0.00000110231131*(VLOOKUP(L194,EmAuto20,2)*VLOOKUP(ProjLoc,EmCost,2)+VLOOKUP(L194,EmAuto20,3)*VLOOKUP(ProjLoc,EmCost,3)*(1+CO2Uprater)^($B194-YearCurrent)+VLOOKUP(L194,EmAuto20,4)*VLOOKUP(ProjLoc,EmCost,4)+VLOOKUP(L194,EmAuto20,5)*VLOOKUP(ProjLoc,EmCost,5)+VLOOKUP(L194,EmAuto20,6)*VLOOKUP(ProjLoc,EmCost,6)+VLOOKUP(L194,EmAuto20,7)*VLOOKUP(ProjLoc,EmCost,7))+D194*N194*0.00000110231131*(VLOOKUP(L194,EmTruck20,2)*VLOOKUP(ProjLoc,EmCost,2)+VLOOKUP(L194,EmTruck20,3)*VLOOKUP(ProjLoc,EmCost,3)*(1+CO2Uprater)^($B194-YearCurrent)+VLOOKUP(L194,EmTruck20,4)*VLOOKUP(ProjLoc,EmCost,4)+VLOOKUP(L194,EmTruck20,5)*VLOOKUP(ProjLoc,EmCost,5)+VLOOKUP(L194,EmTruck20,6)*VLOOKUP(ProjLoc,EmCost,6)+VLOOKUP(L194,EmTruck20,7)*VLOOKUP(ProjLoc,EmCost,7)),0)</f>
        <v>576648.55146117997</v>
      </c>
      <c r="S194" s="729">
        <f>IF(INDEX(HwyTransitModelGroup,A178,1)=Hwy,O194*(1-M194)*0.00000110231131*(VLOOKUP(0,EmAuto20,2)*VLOOKUP(ProjLoc,EmCost,2)+VLOOKUP(0,EmAuto20,3)*VLOOKUP(ProjLoc,EmCost,3)*(1+CO2Uprater)^($B194-YearCurrent)+VLOOKUP(0,EmAuto20,4)*VLOOKUP(ProjLoc,EmCost,4)+VLOOKUP(0,EmAuto20,5)*VLOOKUP(ProjLoc,EmCost,5)+VLOOKUP(0,EmAuto20,6)*VLOOKUP(ProjLoc,EmCost,6)+VLOOKUP(0,EmAuto20,7)*VLOOKUP(ProjLoc,EmCost,7))+O194*M194*0.00000110231131*(VLOOKUP(0,EmTruck20,2)*VLOOKUP(ProjLoc,EmCost,2)+VLOOKUP(0,EmTruck20,3)*VLOOKUP(ProjLoc,EmCost,3)*(1+CO2Uprater)^($B194-YearCurrent)+VLOOKUP(0,EmTruck20,4)*VLOOKUP(ProjLoc,EmCost,4)+VLOOKUP(0,EmTruck20,5)*VLOOKUP(ProjLoc,EmCost,5)+VLOOKUP(0,EmTruck20,6)*VLOOKUP(ProjLoc,EmCost,6)+VLOOKUP(0,EmTruck20,7)*VLOOKUP(ProjLoc,EmCost,7)),0)</f>
        <v>0</v>
      </c>
      <c r="T194" s="802">
        <f>IF(INDEX(HwyTransitModelGroup,A178,1)=Hwy,P194*(1-N194)*0.00000110231131*(VLOOKUP(0,EmAuto20,2)*VLOOKUP(ProjLoc,EmCost,2)+VLOOKUP(0,EmAuto20,3)*VLOOKUP(ProjLoc,EmCost,3)*(1+CO2Uprater)^($B194-YearCurrent)+VLOOKUP(0,EmAuto20,4)*VLOOKUP(ProjLoc,EmCost,4)+VLOOKUP(0,EmAuto20,5)*VLOOKUP(ProjLoc,EmCost,5)+VLOOKUP(0,EmAuto20,6)*VLOOKUP(ProjLoc,EmCost,6)+VLOOKUP(0,EmAuto20,7)*VLOOKUP(ProjLoc,EmCost,7))+P194*N194*0.00000110231131*(VLOOKUP(0,EmTruck20,2)*VLOOKUP(ProjLoc,EmCost,2)+VLOOKUP(0,EmTruck20,3)*VLOOKUP(ProjLoc,EmCost,3)*(1+CO2Uprater)^($B194-YearCurrent)+VLOOKUP(0,EmTruck20,4)*VLOOKUP(ProjLoc,EmCost,4)+VLOOKUP(0,EmTruck20,5)*VLOOKUP(ProjLoc,EmCost,5)+VLOOKUP(0,EmTruck20,6)*VLOOKUP(ProjLoc,EmCost,6)+VLOOKUP(0,EmTruck20,7)*VLOOKUP(ProjLoc,EmCost,7)),0)</f>
        <v>0</v>
      </c>
      <c r="U194" s="729">
        <f>IF(INDEX(HwyTransitModelGroup,A178,1)=PARAMETERS!$J$9,C194*0.00000110231131*(VLOOKUP(K194,EmBus20,2)*VLOOKUP(ProjLoc,EmCost,2)+VLOOKUP(K194,EmBus20,3)*VLOOKUP(ProjLoc,EmCost,3)*(1+CO2Uprater)^($B194-YearCurrent)+VLOOKUP(K194,EmBus20,4)*VLOOKUP(ProjLoc,EmCost,4)+VLOOKUP(K194,EmBus20,5)*VLOOKUP(ProjLoc,EmCost,5)+VLOOKUP(K194,EmBus20,6)*VLOOKUP(ProjLoc,EmCost,6)+VLOOKUP(K194,EmBus20,7)*VLOOKUP(ProjLoc,EmCost,7)),0)</f>
        <v>0</v>
      </c>
      <c r="V194" s="802">
        <f>IF(INDEX(HwyTransitModelGroup,A178,1)=PARAMETERS!$J$9,D194*0.00000110231131*(VLOOKUP(L194,EmBus20,2)*VLOOKUP(ProjLoc,EmCost,2)+VLOOKUP(L194,EmBus20,3)*VLOOKUP(ProjLoc,EmCost,3)*(1+CO2Uprater)^($B194-YearCurrent)+VLOOKUP(L194,EmBus20,4)*VLOOKUP(ProjLoc,EmCost,4)+VLOOKUP(L194,EmBus20,5)*VLOOKUP(ProjLoc,EmCost,5)+VLOOKUP(L194,EmBus20,6)*VLOOKUP(ProjLoc,EmCost,6)+VLOOKUP(L194,EmBus20,7)*VLOOKUP(ProjLoc,EmCost,7)),0)</f>
        <v>0</v>
      </c>
      <c r="W194" s="808">
        <f>IF(INDEX(HwyTransitModelGroup,A178,1)=PARAMETERS!$J$10,C194*0.00000110231131*(PARAMETERS!$CQ$29*VLOOKUP(ProjLoc,EmCost,2)+PARAMETERS!$CR$29*VLOOKUP(ProjLoc,EmCost,3)*(1+CO2Uprater)^($B194-YearCurrent)+PARAMETERS!$CS$29*VLOOKUP(ProjLoc,EmCost,4)+PARAMETERS!$CT$29*VLOOKUP(ProjLoc,EmCost,5)+PARAMETERS!$CU$29*VLOOKUP(ProjLoc,EmCost,6)+PARAMETERS!$CV$29*VLOOKUP(ProjLoc,EmCost,7)),0)</f>
        <v>0</v>
      </c>
      <c r="X194" s="844">
        <f>IF(INDEX(HwyTransitModelGroup,A178,1)=PARAMETERS!$J$10,D194*0.00000110231131*(PARAMETERS!$CQ$29*VLOOKUP(ProjLoc,EmCost,2)+PARAMETERS!$CR$29*VLOOKUP(ProjLoc,EmCost,3)*(1+CO2Uprater)^($B194-YearCurrent)+PARAMETERS!$CS$29*VLOOKUP(ProjLoc,EmCost,4)+PARAMETERS!$CT$29*VLOOKUP(ProjLoc,EmCost,5)+PARAMETERS!$CU$29*VLOOKUP(ProjLoc,EmCost,6)+PARAMETERS!$CV$29*VLOOKUP(ProjLoc,EmCost,7)),0)</f>
        <v>0</v>
      </c>
      <c r="Y194" s="808">
        <f>IF(INDEX(HwyTransitModelGroup,A178,1)=PARAMETERS!$J$11,C194*0.00000110231131*(PARAMETERS!$CQ$37*VLOOKUP(ProjLoc,EmCost,2)+PARAMETERS!$CR$37*VLOOKUP(ProjLoc,EmCost,3)*(1+CO2Uprater)^($B194-YearCurrent)+PARAMETERS!$CS$37*VLOOKUP(ProjLoc,EmCost,4)+PARAMETERS!$CT$37*VLOOKUP(ProjLoc,EmCost,5)+PARAMETERS!$CU$37*VLOOKUP(ProjLoc,EmCost,6)+PARAMETERS!$CV$37*VLOOKUP(ProjLoc,EmCost,7)),0)</f>
        <v>0</v>
      </c>
      <c r="Z194" s="844">
        <f>IF(INDEX(HwyTransitModelGroup,A178,1)=PARAMETERS!$J$11,D194*0.00000110231131*(PARAMETERS!$CQ$37*VLOOKUP(ProjLoc,EmCost,2)+PARAMETERS!$CR$37*VLOOKUP(ProjLoc,EmCost,3)*(1+CO2Uprater)^($B194-YearCurrent)+PARAMETERS!$CS$37*VLOOKUP(ProjLoc,EmCost,4)+PARAMETERS!$CT$37*VLOOKUP(ProjLoc,EmCost,5)+PARAMETERS!$CU$37*VLOOKUP(ProjLoc,EmCost,6)+PARAMETERS!$CV$37*VLOOKUP(ProjLoc,EmCost,7)),0)</f>
        <v>0</v>
      </c>
      <c r="AA194" s="369">
        <f t="shared" si="80"/>
        <v>77946.480200550519</v>
      </c>
      <c r="AB194" s="370">
        <f t="shared" si="81"/>
        <v>50632.547220751425</v>
      </c>
      <c r="AC194" s="371"/>
      <c r="AD194" s="401">
        <f>IF(INDEX(HwyTransitModelGroup,A178,1)=Hwy,0.00000110231131*(C194*(1-M194)*VLOOKUP(K194,EmAuto20,2)-D194*(1-N194)*VLOOKUP(L194,EmAuto20,2)+(O194*(1-M194)-P194*(1-N194))*VLOOKUP(0,EmAuto20,2))+0.00000110231131*(C194*M194*VLOOKUP(K194,EmTruck20,2)-D194*N194*VLOOKUP(L194,EmTruck20,2)+(O194*M194-P194*N194)*VLOOKUP(0,EmTruck20,2)),0)</f>
        <v>0.86257395453851116</v>
      </c>
      <c r="AE194" s="863">
        <f>IF(INDEX(HwyTransitModelGroup,A178,1)=Hwy,0.00000110231131*(C194*(1-M194)*VLOOKUP(K194,EmAuto20,3)-D194*(1-N194)*VLOOKUP(L194,EmAuto20,3)+(O194*(1-M194)-P194*(1-N194))*VLOOKUP(0,EmAuto20,3))+0.00000110231131*(C194*M194*VLOOKUP(K194,EmTruck20,3)-D194*N194*VLOOKUP(L194,EmTruck20,3)+(O194*M194-P194*N194)*VLOOKUP(0,EmTruck20,3)),0)</f>
        <v>1122.9761869848057</v>
      </c>
      <c r="AF194" s="861">
        <f>IF(INDEX(HwyTransitModelGroup,A178,1)=Hwy,0.00000110231131*(C194*(1-M194)*VLOOKUP(K194,EmAuto20,4)-D194*(1-N194)*VLOOKUP(L194,EmAuto20,4)+(O194*(1-M194)-P194*(1-N194))*VLOOKUP(0,EmAuto20,4))+0.00000110231131*(C194*M194*VLOOKUP(K194,EmTruck20,4)-D194*N194*VLOOKUP(L194,EmTruck20,4)+(O194*M194-P194*N194)*VLOOKUP(0,EmTruck20,4)),0)</f>
        <v>0.55910044433470141</v>
      </c>
      <c r="AG194" s="863">
        <f>IF(INDEX(HwyTransitModelGroup,A178,1)=Hwy,0.00000110231131*(C194*(1-M194)*VLOOKUP(K194,EmAuto20,5)-D194*(1-N194)*VLOOKUP(L194,EmAuto20,5)+(O194*(1-M194)-P194*(1-N194))*VLOOKUP(0,EmAuto20,5))+0.00000110231131*(C194*M194*VLOOKUP(K194,EmTruck20,5)-D194*N194*VLOOKUP(L194,EmTruck20,5)+(O194*M194-P194*N194)*VLOOKUP(0,EmTruck20,5)),0)</f>
        <v>1.5038077926178178E-2</v>
      </c>
      <c r="AH194" s="861">
        <f>IF(INDEX(HwyTransitModelGroup,A178,1)=Hwy,0.00000110231131*(C194*(1-M194)*VLOOKUP(K194,EmAuto20,6)-D194*(1-N194)*VLOOKUP(L194,EmAuto20,6)+(O194*(1-M194)-P194*(1-N194))*VLOOKUP(0,EmAuto20,6))+0.00000110231131*(C194*M194*VLOOKUP(K194,EmTruck20,6)-D194*N194*VLOOKUP(L194,EmTruck20,6)+(O194*M194-P194*N194)*VLOOKUP(0,EmTruck20,6)),0)</f>
        <v>1.0807025492711092E-2</v>
      </c>
      <c r="AI194" s="863">
        <f>IF(INDEX(HwyTransitModelGroup,A178,1)=Hwy,0.00000110231131*(C194*(1-M194)*VLOOKUP(K194,EmAuto20,7)-D194*(1-N194)*VLOOKUP(L194,EmAuto20,7)+(O194*(1-M194)-P194*(1-N194))*VLOOKUP(0,EmAuto20,7))+0.00000110231131*(C194*M194*VLOOKUP(K194,EmTruck20,7)-D194*N194*VLOOKUP(L194,EmTruck20,7)+(O194*M194-P194*N194)*VLOOKUP(0,EmTruck20,7)),0)</f>
        <v>1.8983661761724571E-2</v>
      </c>
      <c r="AJ194" s="861">
        <f>IF(INDEX(HwyTransitModelGroup,A178,1)=Hwy,0.00000110231131*(C194*(1-M194)*VLOOKUP(K194,EmAuto20,8)-D194*(1-N194)*VLOOKUP(L194,EmAuto20,8)+(O194*(1-M194)-P194*(1-N194))*VLOOKUP(0,EmAuto20,8))+0.00000110231131*(C194*M194*VLOOKUP(K194,EmTruck20,8)-D194*N194*VLOOKUP(L194,EmTruck20,8)+(O194*M194-P194*N194)*VLOOKUP(0,EmTruck20,8)),0)</f>
        <v>1.4426359502062442E-2</v>
      </c>
      <c r="AK194" s="401">
        <f>IF(INDEX(HwyTransitModelGroup,A178,1)=PARAMETERS!$J$9,0.00000110231131*(C194*VLOOKUP(K194,EmBus20,2)-D194*VLOOKUP(L194,EmBus20,2)+(O194-P194)*VLOOKUP(0,EmBus20,2)),0)</f>
        <v>0</v>
      </c>
      <c r="AL194" s="863">
        <f>IF(INDEX(HwyTransitModelGroup,A178,1)=PARAMETERS!$J$9,0.00000110231131*(C194*VLOOKUP(K194,EmBus20,3)-D194*VLOOKUP(L194,EmBus20,3)+(O194-P194)*VLOOKUP(0,EmBus20,3)),0)</f>
        <v>0</v>
      </c>
      <c r="AM194" s="861">
        <f>IF(INDEX(HwyTransitModelGroup,A178,1)=PARAMETERS!$J$9,0.00000110231131*(C194*VLOOKUP(K194,EmBus20,4)-D194*VLOOKUP(L194,EmBus20,4)+(O194-P194)*VLOOKUP(0,EmBus20,4)),0)</f>
        <v>0</v>
      </c>
      <c r="AN194" s="863">
        <f>IF(INDEX(HwyTransitModelGroup,A178,1)=PARAMETERS!$J$9,0.00000110231131*(C194*VLOOKUP(K194,EmBus20,5)-D194*VLOOKUP(L194,EmBus20,5)+(O194-P194)*VLOOKUP(0,EmBus20,5)),0)</f>
        <v>0</v>
      </c>
      <c r="AO194" s="861">
        <f>IF(INDEX(HwyTransitModelGroup,A178,1)=PARAMETERS!$J$9,0.00000110231131*(C194*VLOOKUP(K194,EmBus20,6)-D194*VLOOKUP(L194,EmBus20,6)+(O194-P194)*VLOOKUP(0,EmBus20,6)),0)</f>
        <v>0</v>
      </c>
      <c r="AP194" s="863">
        <f>IF(INDEX(HwyTransitModelGroup,A178,1)=PARAMETERS!$J$9,0.00000110231131*(C194*VLOOKUP(K194,EmBus20,7)-D194*VLOOKUP(L194,EmBus20,7)+(O194-P194)*VLOOKUP(0,EmBus20,7)),0)</f>
        <v>0</v>
      </c>
      <c r="AQ194" s="861">
        <f>IF(INDEX(HwyTransitModelGroup,A178,1)=PARAMETERS!$J$9,0.00000110231131*(C194*VLOOKUP(K194,EmBus20,8)-D194*VLOOKUP(L194,EmBus20,8)+(O194-P194)*VLOOKUP(0,EmBus20,8)),0)</f>
        <v>0</v>
      </c>
      <c r="AR194" s="401">
        <f>IF(INDEX(HwyTransitModelGroup,A178,1)=PARAMETERS!$J$10,0.00000110231131*((C194-D194)*PARAMETERS!$CQ$29),0)</f>
        <v>0</v>
      </c>
      <c r="AS194" s="863">
        <f>IF(INDEX(HwyTransitModelGroup,A178,1)=PARAMETERS!$J$10,0.00000110231131*((C194-D194)*PARAMETERS!$CR$29),0)</f>
        <v>0</v>
      </c>
      <c r="AT194" s="861">
        <f>IF(INDEX(HwyTransitModelGroup,A178,1)=PARAMETERS!$J$10,0.00000110231131*((C194-D194)*PARAMETERS!$CS$29),0)</f>
        <v>0</v>
      </c>
      <c r="AU194" s="863">
        <f>IF(INDEX(HwyTransitModelGroup,A178,1)=PARAMETERS!$J$10,0.00000110231131*((C194-D194)*PARAMETERS!$CT$29),0)</f>
        <v>0</v>
      </c>
      <c r="AV194" s="861">
        <f>IF(INDEX(HwyTransitModelGroup,A178,1)=PARAMETERS!$J$10,0.00000110231131*((C194-D194)*PARAMETERS!$CU$29),0)</f>
        <v>0</v>
      </c>
      <c r="AW194" s="863">
        <f>IF(INDEX(HwyTransitModelGroup,A178,1)=PARAMETERS!$J$10,0.00000110231131*((C194-D194)*PARAMETERS!$CV$29),0)</f>
        <v>0</v>
      </c>
      <c r="AX194" s="861">
        <f>IF(INDEX(HwyTransitModelGroup,A178,1)=PARAMETERS!$J$10,0.00000110231131*((C194-D194)*PARAMETERS!$CW$29),0)</f>
        <v>0</v>
      </c>
      <c r="AY194" s="401">
        <f>IF(INDEX(HwyTransitModelGroup,A178,1)=PARAMETERS!$J$11,0.00000110231131*((C194-D194)*PARAMETERS!$CQ$37),0)</f>
        <v>0</v>
      </c>
      <c r="AZ194" s="863">
        <f>IF(INDEX(HwyTransitModelGroup,A178,1)=PARAMETERS!$J$11,0.00000110231131*((C194-D194)*PARAMETERS!$CR$37),0)</f>
        <v>0</v>
      </c>
      <c r="BA194" s="861">
        <f>IF(INDEX(HwyTransitModelGroup,A178,1)=PARAMETERS!$J$11,0.00000110231131*((C194-D194)*PARAMETERS!$CS$37),0)</f>
        <v>0</v>
      </c>
      <c r="BB194" s="863">
        <f>IF(INDEX(HwyTransitModelGroup,A178,1)=PARAMETERS!$J$11,0.00000110231131*((C194-D194)*PARAMETERS!$CT$37),0)</f>
        <v>0</v>
      </c>
      <c r="BC194" s="861">
        <f>IF(INDEX(HwyTransitModelGroup,A178,1)=PARAMETERS!$J$11,0.00000110231131*((C194-D194)*PARAMETERS!$CU$37),0)</f>
        <v>0</v>
      </c>
      <c r="BD194" s="863">
        <f>IF(INDEX(HwyTransitModelGroup,A178,1)=PARAMETERS!$J$11,0.00000110231131*((C194-D194)*PARAMETERS!$CV$37),0)</f>
        <v>0</v>
      </c>
      <c r="BE194" s="865">
        <f>IF(INDEX(HwyTransitModelGroup,A178,1)=PARAMETERS!$J$11,0.00000110231131*((C194-D194)*PARAMETERS!$CW$37),0)</f>
        <v>0</v>
      </c>
      <c r="BF194" s="729">
        <f t="shared" si="82"/>
        <v>44.824927434507039</v>
      </c>
      <c r="BG194" s="867">
        <f t="shared" si="83"/>
        <v>43535.841318024904</v>
      </c>
      <c r="BH194" s="867">
        <f t="shared" si="84"/>
        <v>5484.0329107724228</v>
      </c>
      <c r="BI194" s="867">
        <f t="shared" si="85"/>
        <v>1139.9779595798545</v>
      </c>
      <c r="BJ194" s="867">
        <f t="shared" si="86"/>
        <v>414.18222353201207</v>
      </c>
      <c r="BK194" s="869">
        <f t="shared" si="87"/>
        <v>13.687881407745968</v>
      </c>
      <c r="BL194" s="374"/>
      <c r="BN194" s="375">
        <f>YearOpen</f>
        <v>2026</v>
      </c>
      <c r="BO194" s="870">
        <f t="shared" ref="BO194:BO213" ca="1" si="90">OFFSET($AH9,MATCH(BO$190,$A:$A),0)+OFFSET($AO9,MATCH(BO$190,$A:$A),0)+OFFSET($AV9,MATCH(BO$190,$A:$A),0)+OFFSET($BC9,MATCH(BO$190,$A:$A),0)</f>
        <v>1.3358774079287562E-4</v>
      </c>
      <c r="BP194" s="870">
        <f t="shared" ref="BP194:BT203" ca="1" si="91">OFFSET($AH9,MATCH(BP$190,$A:$A),0)+OFFSET($AO9,MATCH(BP$190,$A:$A),0)+OFFSET($AV9,MATCH(BP$190,$A:$A),0)+OFFSET($BC9,MATCH(BP$190,$A:$A),0)</f>
        <v>-1.4061909803842488E-4</v>
      </c>
      <c r="BQ194" s="870">
        <f t="shared" ca="1" si="91"/>
        <v>1.0131012556817041E-4</v>
      </c>
      <c r="BR194" s="870">
        <f t="shared" ca="1" si="91"/>
        <v>-2.3529377249114532E-4</v>
      </c>
      <c r="BS194" s="870">
        <f t="shared" ca="1" si="91"/>
        <v>7.8158565079633445E-3</v>
      </c>
      <c r="BT194" s="870">
        <f t="shared" ca="1" si="91"/>
        <v>1.1617984481486706E-2</v>
      </c>
    </row>
    <row r="195" spans="2:72" x14ac:dyDescent="0.25">
      <c r="B195" s="375">
        <f t="shared" si="88"/>
        <v>2034</v>
      </c>
      <c r="C195" s="401">
        <f>MAX(TREND(C184:C185,B184:B185,B195),0)</f>
        <v>19657367</v>
      </c>
      <c r="D195" s="402">
        <f>MAX(TREND(D184:D185,B184:B185,B195),0)</f>
        <v>17286765</v>
      </c>
      <c r="E195" s="401">
        <f>MAX(TREND(E184:E185,B184:B185,B195),0)</f>
        <v>283678</v>
      </c>
      <c r="F195" s="402">
        <f>MAX(TREND(F184:F185,B184:B185,B195),0)</f>
        <v>248930</v>
      </c>
      <c r="G195" s="401">
        <f>MAX(TREND(G184:G185,B184:B185,B195),0)</f>
        <v>0</v>
      </c>
      <c r="H195" s="402">
        <f>MAX(TREND(H184:H185,B184:B185,B195),0)</f>
        <v>0</v>
      </c>
      <c r="I195" s="401">
        <f>MAX(TREND(I184:I185,B184:B185,B195),0)</f>
        <v>0</v>
      </c>
      <c r="J195" s="402">
        <f>MAX(TREND(J184:J185,B184:B185,B195),0)</f>
        <v>0</v>
      </c>
      <c r="K195" s="435">
        <f>IFERROR(IF(INDEX(HwyTransitModelGroup,A178,1)=Hwy,MAX(5,ROUND(C195/E195,1)),MAX(5,ROUND(G195/I195,1))),55)</f>
        <v>69.3</v>
      </c>
      <c r="L195" s="436">
        <f>IFERROR(IF(INDEX(HwyTransitModelGroup,A178,1)=Hwy,MAX(5,ROUND(D195/F195,1)),MAX(5,ROUND(H195/J195,1))),55)</f>
        <v>69.400000000000006</v>
      </c>
      <c r="M195" s="405">
        <f>MIN(MAX(TREND(M184:M185,B184:B185,B195),0),1)</f>
        <v>0.24</v>
      </c>
      <c r="N195" s="406">
        <f>MIN(MAX(TREND(N184:N185,B184:B185,B195),0),1)</f>
        <v>0.24</v>
      </c>
      <c r="O195" s="401">
        <f>MAX(TREND(O184:O185,B184:B185,B195),0)</f>
        <v>0</v>
      </c>
      <c r="P195" s="402">
        <f>MAX(TREND(P184:P185,B184:B185,B195),0)</f>
        <v>0</v>
      </c>
      <c r="Q195" s="729">
        <f>IF(INDEX(HwyTransitModelGroup,A178,1)=Hwy,C195*(1-M195)*0.00000110231131*(VLOOKUP(K195,EmAuto20,2)*VLOOKUP(ProjLoc,EmCost,2)+VLOOKUP(K195,EmAuto20,3)*VLOOKUP(ProjLoc,EmCost,3)*(1+CO2Uprater)^($B195-YearCurrent)+VLOOKUP(K195,EmAuto20,4)*VLOOKUP(ProjLoc,EmCost,4)+VLOOKUP(K195,EmAuto20,5)*VLOOKUP(ProjLoc,EmCost,5)+VLOOKUP(K195,EmAuto20,6)*VLOOKUP(ProjLoc,EmCost,6)+VLOOKUP(K195,EmAuto20,7)*VLOOKUP(ProjLoc,EmCost,7))+C195*M195*0.00000110231131*(VLOOKUP(K195,EmTruck20,2)*VLOOKUP(ProjLoc,EmCost,2)+VLOOKUP(K195,EmTruck20,3)*VLOOKUP(ProjLoc,EmCost,3)*(1+CO2Uprater)^($B195-YearCurrent)+VLOOKUP(K195,EmTruck20,4)*VLOOKUP(ProjLoc,EmCost,4)+VLOOKUP(K195,EmTruck20,5)*VLOOKUP(ProjLoc,EmCost,5)+VLOOKUP(K195,EmTruck20,6)*VLOOKUP(ProjLoc,EmCost,6)+VLOOKUP(K195,EmTruck20,7)*VLOOKUP(ProjLoc,EmCost,7)),0)</f>
        <v>674047.92465622583</v>
      </c>
      <c r="R195" s="802">
        <f>IF(INDEX(HwyTransitModelGroup,A178,1)=Hwy,D195*(1-N195)*0.00000110231131*(VLOOKUP(L195,EmAuto20,2)*VLOOKUP(ProjLoc,EmCost,2)+VLOOKUP(L195,EmAuto20,3)*VLOOKUP(ProjLoc,EmCost,3)*(1+CO2Uprater)^($B195-YearCurrent)+VLOOKUP(L195,EmAuto20,4)*VLOOKUP(ProjLoc,EmCost,4)+VLOOKUP(L195,EmAuto20,5)*VLOOKUP(ProjLoc,EmCost,5)+VLOOKUP(L195,EmAuto20,6)*VLOOKUP(ProjLoc,EmCost,6)+VLOOKUP(L195,EmAuto20,7)*VLOOKUP(ProjLoc,EmCost,7))+D195*N195*0.00000110231131*(VLOOKUP(L195,EmTruck20,2)*VLOOKUP(ProjLoc,EmCost,2)+VLOOKUP(L195,EmTruck20,3)*VLOOKUP(ProjLoc,EmCost,3)*(1+CO2Uprater)^($B195-YearCurrent)+VLOOKUP(L195,EmTruck20,4)*VLOOKUP(ProjLoc,EmCost,4)+VLOOKUP(L195,EmTruck20,5)*VLOOKUP(ProjLoc,EmCost,5)+VLOOKUP(L195,EmTruck20,6)*VLOOKUP(ProjLoc,EmCost,6)+VLOOKUP(L195,EmTruck20,7)*VLOOKUP(ProjLoc,EmCost,7)),0)</f>
        <v>592760.36675053602</v>
      </c>
      <c r="S195" s="729">
        <f>IF(INDEX(HwyTransitModelGroup,A178,1)=Hwy,O195*(1-M195)*0.00000110231131*(VLOOKUP(0,EmAuto20,2)*VLOOKUP(ProjLoc,EmCost,2)+VLOOKUP(0,EmAuto20,3)*VLOOKUP(ProjLoc,EmCost,3)*(1+CO2Uprater)^($B195-YearCurrent)+VLOOKUP(0,EmAuto20,4)*VLOOKUP(ProjLoc,EmCost,4)+VLOOKUP(0,EmAuto20,5)*VLOOKUP(ProjLoc,EmCost,5)+VLOOKUP(0,EmAuto20,6)*VLOOKUP(ProjLoc,EmCost,6)+VLOOKUP(0,EmAuto20,7)*VLOOKUP(ProjLoc,EmCost,7))+O195*M195*0.00000110231131*(VLOOKUP(0,EmTruck20,2)*VLOOKUP(ProjLoc,EmCost,2)+VLOOKUP(0,EmTruck20,3)*VLOOKUP(ProjLoc,EmCost,3)*(1+CO2Uprater)^($B195-YearCurrent)+VLOOKUP(0,EmTruck20,4)*VLOOKUP(ProjLoc,EmCost,4)+VLOOKUP(0,EmTruck20,5)*VLOOKUP(ProjLoc,EmCost,5)+VLOOKUP(0,EmTruck20,6)*VLOOKUP(ProjLoc,EmCost,6)+VLOOKUP(0,EmTruck20,7)*VLOOKUP(ProjLoc,EmCost,7)),0)</f>
        <v>0</v>
      </c>
      <c r="T195" s="802">
        <f>IF(INDEX(HwyTransitModelGroup,A178,1)=Hwy,P195*(1-N195)*0.00000110231131*(VLOOKUP(0,EmAuto20,2)*VLOOKUP(ProjLoc,EmCost,2)+VLOOKUP(0,EmAuto20,3)*VLOOKUP(ProjLoc,EmCost,3)*(1+CO2Uprater)^($B195-YearCurrent)+VLOOKUP(0,EmAuto20,4)*VLOOKUP(ProjLoc,EmCost,4)+VLOOKUP(0,EmAuto20,5)*VLOOKUP(ProjLoc,EmCost,5)+VLOOKUP(0,EmAuto20,6)*VLOOKUP(ProjLoc,EmCost,6)+VLOOKUP(0,EmAuto20,7)*VLOOKUP(ProjLoc,EmCost,7))+P195*N195*0.00000110231131*(VLOOKUP(0,EmTruck20,2)*VLOOKUP(ProjLoc,EmCost,2)+VLOOKUP(0,EmTruck20,3)*VLOOKUP(ProjLoc,EmCost,3)*(1+CO2Uprater)^($B195-YearCurrent)+VLOOKUP(0,EmTruck20,4)*VLOOKUP(ProjLoc,EmCost,4)+VLOOKUP(0,EmTruck20,5)*VLOOKUP(ProjLoc,EmCost,5)+VLOOKUP(0,EmTruck20,6)*VLOOKUP(ProjLoc,EmCost,6)+VLOOKUP(0,EmTruck20,7)*VLOOKUP(ProjLoc,EmCost,7)),0)</f>
        <v>0</v>
      </c>
      <c r="U195" s="729">
        <f>IF(INDEX(HwyTransitModelGroup,A178,1)=PARAMETERS!$J$9,C195*0.00000110231131*(VLOOKUP(K195,EmBus20,2)*VLOOKUP(ProjLoc,EmCost,2)+VLOOKUP(K195,EmBus20,3)*VLOOKUP(ProjLoc,EmCost,3)*(1+CO2Uprater)^($B195-YearCurrent)+VLOOKUP(K195,EmBus20,4)*VLOOKUP(ProjLoc,EmCost,4)+VLOOKUP(K195,EmBus20,5)*VLOOKUP(ProjLoc,EmCost,5)+VLOOKUP(K195,EmBus20,6)*VLOOKUP(ProjLoc,EmCost,6)+VLOOKUP(K195,EmBus20,7)*VLOOKUP(ProjLoc,EmCost,7)),0)</f>
        <v>0</v>
      </c>
      <c r="V195" s="802">
        <f>IF(INDEX(HwyTransitModelGroup,A178,1)=PARAMETERS!$J$9,D195*0.00000110231131*(VLOOKUP(L195,EmBus20,2)*VLOOKUP(ProjLoc,EmCost,2)+VLOOKUP(L195,EmBus20,3)*VLOOKUP(ProjLoc,EmCost,3)*(1+CO2Uprater)^($B195-YearCurrent)+VLOOKUP(L195,EmBus20,4)*VLOOKUP(ProjLoc,EmCost,4)+VLOOKUP(L195,EmBus20,5)*VLOOKUP(ProjLoc,EmCost,5)+VLOOKUP(L195,EmBus20,6)*VLOOKUP(ProjLoc,EmCost,6)+VLOOKUP(L195,EmBus20,7)*VLOOKUP(ProjLoc,EmCost,7)),0)</f>
        <v>0</v>
      </c>
      <c r="W195" s="808">
        <f>IF(INDEX(HwyTransitModelGroup,A178,1)=PARAMETERS!$J$10,C195*0.00000110231131*(PARAMETERS!$CQ$29*VLOOKUP(ProjLoc,EmCost,2)+PARAMETERS!$CR$29*VLOOKUP(ProjLoc,EmCost,3)*(1+CO2Uprater)^($B195-YearCurrent)+PARAMETERS!$CS$29*VLOOKUP(ProjLoc,EmCost,4)+PARAMETERS!$CT$29*VLOOKUP(ProjLoc,EmCost,5)+PARAMETERS!$CU$29*VLOOKUP(ProjLoc,EmCost,6)+PARAMETERS!$CV$29*VLOOKUP(ProjLoc,EmCost,7)),0)</f>
        <v>0</v>
      </c>
      <c r="X195" s="844">
        <f>IF(INDEX(HwyTransitModelGroup,A178,1)=PARAMETERS!$J$10,D195*0.00000110231131*(PARAMETERS!$CQ$29*VLOOKUP(ProjLoc,EmCost,2)+PARAMETERS!$CR$29*VLOOKUP(ProjLoc,EmCost,3)*(1+CO2Uprater)^($B195-YearCurrent)+PARAMETERS!$CS$29*VLOOKUP(ProjLoc,EmCost,4)+PARAMETERS!$CT$29*VLOOKUP(ProjLoc,EmCost,5)+PARAMETERS!$CU$29*VLOOKUP(ProjLoc,EmCost,6)+PARAMETERS!$CV$29*VLOOKUP(ProjLoc,EmCost,7)),0)</f>
        <v>0</v>
      </c>
      <c r="Y195" s="808">
        <f>IF(INDEX(HwyTransitModelGroup,A178,1)=PARAMETERS!$J$11,C195*0.00000110231131*(PARAMETERS!$CQ$37*VLOOKUP(ProjLoc,EmCost,2)+PARAMETERS!$CR$37*VLOOKUP(ProjLoc,EmCost,3)*(1+CO2Uprater)^($B195-YearCurrent)+PARAMETERS!$CS$37*VLOOKUP(ProjLoc,EmCost,4)+PARAMETERS!$CT$37*VLOOKUP(ProjLoc,EmCost,5)+PARAMETERS!$CU$37*VLOOKUP(ProjLoc,EmCost,6)+PARAMETERS!$CV$37*VLOOKUP(ProjLoc,EmCost,7)),0)</f>
        <v>0</v>
      </c>
      <c r="Z195" s="844">
        <f>IF(INDEX(HwyTransitModelGroup,A178,1)=PARAMETERS!$J$11,D195*0.00000110231131*(PARAMETERS!$CQ$37*VLOOKUP(ProjLoc,EmCost,2)+PARAMETERS!$CR$37*VLOOKUP(ProjLoc,EmCost,3)*(1+CO2Uprater)^($B195-YearCurrent)+PARAMETERS!$CS$37*VLOOKUP(ProjLoc,EmCost,4)+PARAMETERS!$CT$37*VLOOKUP(ProjLoc,EmCost,5)+PARAMETERS!$CU$37*VLOOKUP(ProjLoc,EmCost,6)+PARAMETERS!$CV$37*VLOOKUP(ProjLoc,EmCost,7)),0)</f>
        <v>0</v>
      </c>
      <c r="AA195" s="369">
        <f t="shared" si="80"/>
        <v>81287.557905689813</v>
      </c>
      <c r="AB195" s="370">
        <f t="shared" si="81"/>
        <v>50771.968835462554</v>
      </c>
      <c r="AC195" s="371"/>
      <c r="AD195" s="401">
        <f>IF(INDEX(HwyTransitModelGroup,A178,1)=Hwy,0.00000110231131*(C195*(1-M195)*VLOOKUP(K195,EmAuto20,2)-D195*(1-N195)*VLOOKUP(L195,EmAuto20,2)+(O195*(1-M195)-P195*(1-N195))*VLOOKUP(0,EmAuto20,2))+0.00000110231131*(C195*M195*VLOOKUP(K195,EmTruck20,2)-D195*N195*VLOOKUP(L195,EmTruck20,2)+(O195*M195-P195*N195)*VLOOKUP(0,EmTruck20,2)),0)</f>
        <v>0.88433931127107879</v>
      </c>
      <c r="AE195" s="863">
        <f>IF(INDEX(HwyTransitModelGroup,A178,1)=Hwy,0.00000110231131*(C195*(1-M195)*VLOOKUP(K195,EmAuto20,3)-D195*(1-N195)*VLOOKUP(L195,EmAuto20,3)+(O195*(1-M195)-P195*(1-N195))*VLOOKUP(0,EmAuto20,3))+0.00000110231131*(C195*M195*VLOOKUP(K195,EmTruck20,3)-D195*N195*VLOOKUP(L195,EmTruck20,3)+(O195*M195-P195*N195)*VLOOKUP(0,EmTruck20,3)),0)</f>
        <v>1151.3122817431736</v>
      </c>
      <c r="AF195" s="861">
        <f>IF(INDEX(HwyTransitModelGroup,A178,1)=Hwy,0.00000110231131*(C195*(1-M195)*VLOOKUP(K195,EmAuto20,4)-D195*(1-N195)*VLOOKUP(L195,EmAuto20,4)+(O195*(1-M195)-P195*(1-N195))*VLOOKUP(0,EmAuto20,4))+0.00000110231131*(C195*M195*VLOOKUP(K195,EmTruck20,4)-D195*N195*VLOOKUP(L195,EmTruck20,4)+(O195*M195-P195*N195)*VLOOKUP(0,EmTruck20,4)),0)</f>
        <v>0.57320824408480275</v>
      </c>
      <c r="AG195" s="863">
        <f>IF(INDEX(HwyTransitModelGroup,A178,1)=Hwy,0.00000110231131*(C195*(1-M195)*VLOOKUP(K195,EmAuto20,5)-D195*(1-N195)*VLOOKUP(L195,EmAuto20,5)+(O195*(1-M195)-P195*(1-N195))*VLOOKUP(0,EmAuto20,5))+0.00000110231131*(C195*M195*VLOOKUP(K195,EmTruck20,5)-D195*N195*VLOOKUP(L195,EmTruck20,5)+(O195*M195-P195*N195)*VLOOKUP(0,EmTruck20,5)),0)</f>
        <v>1.541753423704087E-2</v>
      </c>
      <c r="AH195" s="861">
        <f>IF(INDEX(HwyTransitModelGroup,A178,1)=Hwy,0.00000110231131*(C195*(1-M195)*VLOOKUP(K195,EmAuto20,6)-D195*(1-N195)*VLOOKUP(L195,EmAuto20,6)+(O195*(1-M195)-P195*(1-N195))*VLOOKUP(0,EmAuto20,6))+0.00000110231131*(C195*M195*VLOOKUP(K195,EmTruck20,6)-D195*N195*VLOOKUP(L195,EmTruck20,6)+(O195*M195-P195*N195)*VLOOKUP(0,EmTruck20,6)),0)</f>
        <v>1.1079719519500549E-2</v>
      </c>
      <c r="AI195" s="863">
        <f>IF(INDEX(HwyTransitModelGroup,A178,1)=Hwy,0.00000110231131*(C195*(1-M195)*VLOOKUP(K195,EmAuto20,7)-D195*(1-N195)*VLOOKUP(L195,EmAuto20,7)+(O195*(1-M195)-P195*(1-N195))*VLOOKUP(0,EmAuto20,7))+0.00000110231131*(C195*M195*VLOOKUP(K195,EmTruck20,7)-D195*N195*VLOOKUP(L195,EmTruck20,7)+(O195*M195-P195*N195)*VLOOKUP(0,EmTruck20,7)),0)</f>
        <v>1.9462677118217014E-2</v>
      </c>
      <c r="AJ195" s="861">
        <f>IF(INDEX(HwyTransitModelGroup,A178,1)=Hwy,0.00000110231131*(C195*(1-M195)*VLOOKUP(K195,EmAuto20,8)-D195*(1-N195)*VLOOKUP(L195,EmAuto20,8)+(O195*(1-M195)-P195*(1-N195))*VLOOKUP(0,EmAuto20,8))+0.00000110231131*(C195*M195*VLOOKUP(K195,EmTruck20,8)-D195*N195*VLOOKUP(L195,EmTruck20,8)+(O195*M195-P195*N195)*VLOOKUP(0,EmTruck20,8)),0)</f>
        <v>1.4790380301974795E-2</v>
      </c>
      <c r="AK195" s="401">
        <f>IF(INDEX(HwyTransitModelGroup,A178,1)=PARAMETERS!$J$9,0.00000110231131*(C195*VLOOKUP(K195,EmBus20,2)-D195*VLOOKUP(L195,EmBus20,2)+(O195-P195)*VLOOKUP(0,EmBus20,2)),0)</f>
        <v>0</v>
      </c>
      <c r="AL195" s="863">
        <f>IF(INDEX(HwyTransitModelGroup,A178,1)=PARAMETERS!$J$9,0.00000110231131*(C195*VLOOKUP(K195,EmBus20,3)-D195*VLOOKUP(L195,EmBus20,3)+(O195-P195)*VLOOKUP(0,EmBus20,3)),0)</f>
        <v>0</v>
      </c>
      <c r="AM195" s="861">
        <f>IF(INDEX(HwyTransitModelGroup,A178,1)=PARAMETERS!$J$9,0.00000110231131*(C195*VLOOKUP(K195,EmBus20,4)-D195*VLOOKUP(L195,EmBus20,4)+(O195-P195)*VLOOKUP(0,EmBus20,4)),0)</f>
        <v>0</v>
      </c>
      <c r="AN195" s="863">
        <f>IF(INDEX(HwyTransitModelGroup,A178,1)=PARAMETERS!$J$9,0.00000110231131*(C195*VLOOKUP(K195,EmBus20,5)-D195*VLOOKUP(L195,EmBus20,5)+(O195-P195)*VLOOKUP(0,EmBus20,5)),0)</f>
        <v>0</v>
      </c>
      <c r="AO195" s="861">
        <f>IF(INDEX(HwyTransitModelGroup,A178,1)=PARAMETERS!$J$9,0.00000110231131*(C195*VLOOKUP(K195,EmBus20,6)-D195*VLOOKUP(L195,EmBus20,6)+(O195-P195)*VLOOKUP(0,EmBus20,6)),0)</f>
        <v>0</v>
      </c>
      <c r="AP195" s="863">
        <f>IF(INDEX(HwyTransitModelGroup,A178,1)=PARAMETERS!$J$9,0.00000110231131*(C195*VLOOKUP(K195,EmBus20,7)-D195*VLOOKUP(L195,EmBus20,7)+(O195-P195)*VLOOKUP(0,EmBus20,7)),0)</f>
        <v>0</v>
      </c>
      <c r="AQ195" s="861">
        <f>IF(INDEX(HwyTransitModelGroup,A178,1)=PARAMETERS!$J$9,0.00000110231131*(C195*VLOOKUP(K195,EmBus20,8)-D195*VLOOKUP(L195,EmBus20,8)+(O195-P195)*VLOOKUP(0,EmBus20,8)),0)</f>
        <v>0</v>
      </c>
      <c r="AR195" s="401">
        <f>IF(INDEX(HwyTransitModelGroup,A178,1)=PARAMETERS!$J$10,0.00000110231131*((C195-D195)*PARAMETERS!$CQ$29),0)</f>
        <v>0</v>
      </c>
      <c r="AS195" s="863">
        <f>IF(INDEX(HwyTransitModelGroup,A178,1)=PARAMETERS!$J$10,0.00000110231131*((C195-D195)*PARAMETERS!$CR$29),0)</f>
        <v>0</v>
      </c>
      <c r="AT195" s="861">
        <f>IF(INDEX(HwyTransitModelGroup,A178,1)=PARAMETERS!$J$10,0.00000110231131*((C195-D195)*PARAMETERS!$CS$29),0)</f>
        <v>0</v>
      </c>
      <c r="AU195" s="863">
        <f>IF(INDEX(HwyTransitModelGroup,A178,1)=PARAMETERS!$J$10,0.00000110231131*((C195-D195)*PARAMETERS!$CT$29),0)</f>
        <v>0</v>
      </c>
      <c r="AV195" s="861">
        <f>IF(INDEX(HwyTransitModelGroup,A178,1)=PARAMETERS!$J$10,0.00000110231131*((C195-D195)*PARAMETERS!$CU$29),0)</f>
        <v>0</v>
      </c>
      <c r="AW195" s="863">
        <f>IF(INDEX(HwyTransitModelGroup,A178,1)=PARAMETERS!$J$10,0.00000110231131*((C195-D195)*PARAMETERS!$CV$29),0)</f>
        <v>0</v>
      </c>
      <c r="AX195" s="861">
        <f>IF(INDEX(HwyTransitModelGroup,A178,1)=PARAMETERS!$J$10,0.00000110231131*((C195-D195)*PARAMETERS!$CW$29),0)</f>
        <v>0</v>
      </c>
      <c r="AY195" s="401">
        <f>IF(INDEX(HwyTransitModelGroup,A178,1)=PARAMETERS!$J$11,0.00000110231131*((C195-D195)*PARAMETERS!$CQ$37),0)</f>
        <v>0</v>
      </c>
      <c r="AZ195" s="863">
        <f>IF(INDEX(HwyTransitModelGroup,A178,1)=PARAMETERS!$J$11,0.00000110231131*((C195-D195)*PARAMETERS!$CR$37),0)</f>
        <v>0</v>
      </c>
      <c r="BA195" s="861">
        <f>IF(INDEX(HwyTransitModelGroup,A178,1)=PARAMETERS!$J$11,0.00000110231131*((C195-D195)*PARAMETERS!$CS$37),0)</f>
        <v>0</v>
      </c>
      <c r="BB195" s="863">
        <f>IF(INDEX(HwyTransitModelGroup,A178,1)=PARAMETERS!$J$11,0.00000110231131*((C195-D195)*PARAMETERS!$CT$37),0)</f>
        <v>0</v>
      </c>
      <c r="BC195" s="861">
        <f>IF(INDEX(HwyTransitModelGroup,A178,1)=PARAMETERS!$J$11,0.00000110231131*((C195-D195)*PARAMETERS!$CU$37),0)</f>
        <v>0</v>
      </c>
      <c r="BD195" s="863">
        <f>IF(INDEX(HwyTransitModelGroup,A178,1)=PARAMETERS!$J$11,0.00000110231131*((C195-D195)*PARAMETERS!$CV$37),0)</f>
        <v>0</v>
      </c>
      <c r="BE195" s="865">
        <f>IF(INDEX(HwyTransitModelGroup,A178,1)=PARAMETERS!$J$11,0.00000110231131*((C195-D195)*PARAMETERS!$CW$37),0)</f>
        <v>0</v>
      </c>
      <c r="BF195" s="729">
        <f t="shared" si="82"/>
        <v>44.188457971806606</v>
      </c>
      <c r="BG195" s="867">
        <f t="shared" si="83"/>
        <v>43776.029110204006</v>
      </c>
      <c r="BH195" s="867">
        <f t="shared" si="84"/>
        <v>5406.1650885600984</v>
      </c>
      <c r="BI195" s="867">
        <f t="shared" si="85"/>
        <v>1123.7914044430015</v>
      </c>
      <c r="BJ195" s="867">
        <f t="shared" si="86"/>
        <v>408.30124720122723</v>
      </c>
      <c r="BK195" s="869">
        <f t="shared" si="87"/>
        <v>13.493527082514248</v>
      </c>
      <c r="BL195" s="374"/>
      <c r="BN195" s="375">
        <f>BN194+1</f>
        <v>2027</v>
      </c>
      <c r="BO195" s="871">
        <f t="shared" ca="1" si="90"/>
        <v>1.0296665475398913E-4</v>
      </c>
      <c r="BP195" s="871">
        <f t="shared" ca="1" si="91"/>
        <v>-1.4330490269377771E-4</v>
      </c>
      <c r="BQ195" s="871">
        <f t="shared" ca="1" si="91"/>
        <v>1.032013015579263E-4</v>
      </c>
      <c r="BR195" s="871">
        <f t="shared" ca="1" si="91"/>
        <v>-2.3816087318534189E-4</v>
      </c>
      <c r="BS195" s="871">
        <f t="shared" ca="1" si="91"/>
        <v>8.2532014567631724E-3</v>
      </c>
      <c r="BT195" s="871">
        <f t="shared" ca="1" si="91"/>
        <v>1.1974030267408023E-2</v>
      </c>
    </row>
    <row r="196" spans="2:72" x14ac:dyDescent="0.25">
      <c r="B196" s="375">
        <f t="shared" si="88"/>
        <v>2035</v>
      </c>
      <c r="C196" s="401">
        <f>MAX(TREND(C184:C185,B184:B185,B196),0)</f>
        <v>19896387.25</v>
      </c>
      <c r="D196" s="402">
        <f>MAX(TREND(D184:D185,B184:B185,B196),0)</f>
        <v>17467440</v>
      </c>
      <c r="E196" s="401">
        <f>MAX(TREND(E184:E185,B184:B185,B196),0)</f>
        <v>287200.25</v>
      </c>
      <c r="F196" s="402">
        <f>MAX(TREND(F184:F185,B184:B185,B196),0)</f>
        <v>251576.25</v>
      </c>
      <c r="G196" s="401">
        <f>MAX(TREND(G184:G185,B184:B185,B196),0)</f>
        <v>0</v>
      </c>
      <c r="H196" s="402">
        <f>MAX(TREND(H184:H185,B184:B185,B196),0)</f>
        <v>0</v>
      </c>
      <c r="I196" s="401">
        <f>MAX(TREND(I184:I185,B184:B185,B196),0)</f>
        <v>0</v>
      </c>
      <c r="J196" s="402">
        <f>MAX(TREND(J184:J185,B184:B185,B196),0)</f>
        <v>0</v>
      </c>
      <c r="K196" s="435">
        <f>IFERROR(IF(INDEX(HwyTransitModelGroup,A178,1)=Hwy,MAX(5,ROUND(C196/E196,1)),MAX(5,ROUND(G196/I196,1))),55)</f>
        <v>69.3</v>
      </c>
      <c r="L196" s="436">
        <f>IFERROR(IF(INDEX(HwyTransitModelGroup,A178,1)=Hwy,MAX(5,ROUND(D196/F196,1)),MAX(5,ROUND(H196/J196,1))),55)</f>
        <v>69.400000000000006</v>
      </c>
      <c r="M196" s="405">
        <f>MIN(MAX(TREND(M184:M185,B184:B185,B196),0),1)</f>
        <v>0.24</v>
      </c>
      <c r="N196" s="406">
        <f>MIN(MAX(TREND(N184:N185,B184:B185,B196),0),1)</f>
        <v>0.24</v>
      </c>
      <c r="O196" s="401">
        <f>MAX(TREND(O184:O185,B184:B185,B196),0)</f>
        <v>0</v>
      </c>
      <c r="P196" s="402">
        <f>MAX(TREND(P184:P185,B184:B185,B196),0)</f>
        <v>0</v>
      </c>
      <c r="Q196" s="729">
        <f>IF(INDEX(HwyTransitModelGroup,A178,1)=Hwy,C196*(1-M196)*0.00000110231131*(VLOOKUP(K196,EmAuto20,2)*VLOOKUP(ProjLoc,EmCost,2)+VLOOKUP(K196,EmAuto20,3)*VLOOKUP(ProjLoc,EmCost,3)*(1+CO2Uprater)^($B196-YearCurrent)+VLOOKUP(K196,EmAuto20,4)*VLOOKUP(ProjLoc,EmCost,4)+VLOOKUP(K196,EmAuto20,5)*VLOOKUP(ProjLoc,EmCost,5)+VLOOKUP(K196,EmAuto20,6)*VLOOKUP(ProjLoc,EmCost,6)+VLOOKUP(K196,EmAuto20,7)*VLOOKUP(ProjLoc,EmCost,7))+C196*M196*0.00000110231131*(VLOOKUP(K196,EmTruck20,2)*VLOOKUP(ProjLoc,EmCost,2)+VLOOKUP(K196,EmTruck20,3)*VLOOKUP(ProjLoc,EmCost,3)*(1+CO2Uprater)^($B196-YearCurrent)+VLOOKUP(K196,EmTruck20,4)*VLOOKUP(ProjLoc,EmCost,4)+VLOOKUP(K196,EmTruck20,5)*VLOOKUP(ProjLoc,EmCost,5)+VLOOKUP(K196,EmTruck20,6)*VLOOKUP(ProjLoc,EmCost,6)+VLOOKUP(K196,EmTruck20,7)*VLOOKUP(ProjLoc,EmCost,7)),0)</f>
        <v>694008.62148552632</v>
      </c>
      <c r="R196" s="802">
        <f>IF(INDEX(HwyTransitModelGroup,A178,1)=Hwy,D196*(1-N196)*0.00000110231131*(VLOOKUP(L196,EmAuto20,2)*VLOOKUP(ProjLoc,EmCost,2)+VLOOKUP(L196,EmAuto20,3)*VLOOKUP(ProjLoc,EmCost,3)*(1+CO2Uprater)^($B196-YearCurrent)+VLOOKUP(L196,EmAuto20,4)*VLOOKUP(ProjLoc,EmCost,4)+VLOOKUP(L196,EmAuto20,5)*VLOOKUP(ProjLoc,EmCost,5)+VLOOKUP(L196,EmAuto20,6)*VLOOKUP(ProjLoc,EmCost,6)+VLOOKUP(L196,EmAuto20,7)*VLOOKUP(ProjLoc,EmCost,7))+D196*N196*0.00000110231131*(VLOOKUP(L196,EmTruck20,2)*VLOOKUP(ProjLoc,EmCost,2)+VLOOKUP(L196,EmTruck20,3)*VLOOKUP(ProjLoc,EmCost,3)*(1+CO2Uprater)^($B196-YearCurrent)+VLOOKUP(L196,EmTruck20,4)*VLOOKUP(ProjLoc,EmCost,4)+VLOOKUP(L196,EmTruck20,5)*VLOOKUP(ProjLoc,EmCost,5)+VLOOKUP(L196,EmTruck20,6)*VLOOKUP(ProjLoc,EmCost,6)+VLOOKUP(L196,EmTruck20,7)*VLOOKUP(ProjLoc,EmCost,7)),0)</f>
        <v>609284.17822593101</v>
      </c>
      <c r="S196" s="729">
        <f>IF(INDEX(HwyTransitModelGroup,A178,1)=Hwy,O196*(1-M196)*0.00000110231131*(VLOOKUP(0,EmAuto20,2)*VLOOKUP(ProjLoc,EmCost,2)+VLOOKUP(0,EmAuto20,3)*VLOOKUP(ProjLoc,EmCost,3)*(1+CO2Uprater)^($B196-YearCurrent)+VLOOKUP(0,EmAuto20,4)*VLOOKUP(ProjLoc,EmCost,4)+VLOOKUP(0,EmAuto20,5)*VLOOKUP(ProjLoc,EmCost,5)+VLOOKUP(0,EmAuto20,6)*VLOOKUP(ProjLoc,EmCost,6)+VLOOKUP(0,EmAuto20,7)*VLOOKUP(ProjLoc,EmCost,7))+O196*M196*0.00000110231131*(VLOOKUP(0,EmTruck20,2)*VLOOKUP(ProjLoc,EmCost,2)+VLOOKUP(0,EmTruck20,3)*VLOOKUP(ProjLoc,EmCost,3)*(1+CO2Uprater)^($B196-YearCurrent)+VLOOKUP(0,EmTruck20,4)*VLOOKUP(ProjLoc,EmCost,4)+VLOOKUP(0,EmTruck20,5)*VLOOKUP(ProjLoc,EmCost,5)+VLOOKUP(0,EmTruck20,6)*VLOOKUP(ProjLoc,EmCost,6)+VLOOKUP(0,EmTruck20,7)*VLOOKUP(ProjLoc,EmCost,7)),0)</f>
        <v>0</v>
      </c>
      <c r="T196" s="802">
        <f>IF(INDEX(HwyTransitModelGroup,A178,1)=Hwy,P196*(1-N196)*0.00000110231131*(VLOOKUP(0,EmAuto20,2)*VLOOKUP(ProjLoc,EmCost,2)+VLOOKUP(0,EmAuto20,3)*VLOOKUP(ProjLoc,EmCost,3)*(1+CO2Uprater)^($B196-YearCurrent)+VLOOKUP(0,EmAuto20,4)*VLOOKUP(ProjLoc,EmCost,4)+VLOOKUP(0,EmAuto20,5)*VLOOKUP(ProjLoc,EmCost,5)+VLOOKUP(0,EmAuto20,6)*VLOOKUP(ProjLoc,EmCost,6)+VLOOKUP(0,EmAuto20,7)*VLOOKUP(ProjLoc,EmCost,7))+P196*N196*0.00000110231131*(VLOOKUP(0,EmTruck20,2)*VLOOKUP(ProjLoc,EmCost,2)+VLOOKUP(0,EmTruck20,3)*VLOOKUP(ProjLoc,EmCost,3)*(1+CO2Uprater)^($B196-YearCurrent)+VLOOKUP(0,EmTruck20,4)*VLOOKUP(ProjLoc,EmCost,4)+VLOOKUP(0,EmTruck20,5)*VLOOKUP(ProjLoc,EmCost,5)+VLOOKUP(0,EmTruck20,6)*VLOOKUP(ProjLoc,EmCost,6)+VLOOKUP(0,EmTruck20,7)*VLOOKUP(ProjLoc,EmCost,7)),0)</f>
        <v>0</v>
      </c>
      <c r="U196" s="729">
        <f>IF(INDEX(HwyTransitModelGroup,A178,1)=PARAMETERS!$J$9,C196*0.00000110231131*(VLOOKUP(K196,EmBus20,2)*VLOOKUP(ProjLoc,EmCost,2)+VLOOKUP(K196,EmBus20,3)*VLOOKUP(ProjLoc,EmCost,3)*(1+CO2Uprater)^($B196-YearCurrent)+VLOOKUP(K196,EmBus20,4)*VLOOKUP(ProjLoc,EmCost,4)+VLOOKUP(K196,EmBus20,5)*VLOOKUP(ProjLoc,EmCost,5)+VLOOKUP(K196,EmBus20,6)*VLOOKUP(ProjLoc,EmCost,6)+VLOOKUP(K196,EmBus20,7)*VLOOKUP(ProjLoc,EmCost,7)),0)</f>
        <v>0</v>
      </c>
      <c r="V196" s="802">
        <f>IF(INDEX(HwyTransitModelGroup,A178,1)=PARAMETERS!$J$9,D196*0.00000110231131*(VLOOKUP(L196,EmBus20,2)*VLOOKUP(ProjLoc,EmCost,2)+VLOOKUP(L196,EmBus20,3)*VLOOKUP(ProjLoc,EmCost,3)*(1+CO2Uprater)^($B196-YearCurrent)+VLOOKUP(L196,EmBus20,4)*VLOOKUP(ProjLoc,EmCost,4)+VLOOKUP(L196,EmBus20,5)*VLOOKUP(ProjLoc,EmCost,5)+VLOOKUP(L196,EmBus20,6)*VLOOKUP(ProjLoc,EmCost,6)+VLOOKUP(L196,EmBus20,7)*VLOOKUP(ProjLoc,EmCost,7)),0)</f>
        <v>0</v>
      </c>
      <c r="W196" s="808">
        <f>IF(INDEX(HwyTransitModelGroup,A178,1)=PARAMETERS!$J$10,C196*0.00000110231131*(PARAMETERS!$CQ$29*VLOOKUP(ProjLoc,EmCost,2)+PARAMETERS!$CR$29*VLOOKUP(ProjLoc,EmCost,3)*(1+CO2Uprater)^($B196-YearCurrent)+PARAMETERS!$CS$29*VLOOKUP(ProjLoc,EmCost,4)+PARAMETERS!$CT$29*VLOOKUP(ProjLoc,EmCost,5)+PARAMETERS!$CU$29*VLOOKUP(ProjLoc,EmCost,6)+PARAMETERS!$CV$29*VLOOKUP(ProjLoc,EmCost,7)),0)</f>
        <v>0</v>
      </c>
      <c r="X196" s="844">
        <f>IF(INDEX(HwyTransitModelGroup,A178,1)=PARAMETERS!$J$10,D196*0.00000110231131*(PARAMETERS!$CQ$29*VLOOKUP(ProjLoc,EmCost,2)+PARAMETERS!$CR$29*VLOOKUP(ProjLoc,EmCost,3)*(1+CO2Uprater)^($B196-YearCurrent)+PARAMETERS!$CS$29*VLOOKUP(ProjLoc,EmCost,4)+PARAMETERS!$CT$29*VLOOKUP(ProjLoc,EmCost,5)+PARAMETERS!$CU$29*VLOOKUP(ProjLoc,EmCost,6)+PARAMETERS!$CV$29*VLOOKUP(ProjLoc,EmCost,7)),0)</f>
        <v>0</v>
      </c>
      <c r="Y196" s="808">
        <f>IF(INDEX(HwyTransitModelGroup,A178,1)=PARAMETERS!$J$11,C196*0.00000110231131*(PARAMETERS!$CQ$37*VLOOKUP(ProjLoc,EmCost,2)+PARAMETERS!$CR$37*VLOOKUP(ProjLoc,EmCost,3)*(1+CO2Uprater)^($B196-YearCurrent)+PARAMETERS!$CS$37*VLOOKUP(ProjLoc,EmCost,4)+PARAMETERS!$CT$37*VLOOKUP(ProjLoc,EmCost,5)+PARAMETERS!$CU$37*VLOOKUP(ProjLoc,EmCost,6)+PARAMETERS!$CV$37*VLOOKUP(ProjLoc,EmCost,7)),0)</f>
        <v>0</v>
      </c>
      <c r="Z196" s="844">
        <f>IF(INDEX(HwyTransitModelGroup,A178,1)=PARAMETERS!$J$11,D196*0.00000110231131*(PARAMETERS!$CQ$37*VLOOKUP(ProjLoc,EmCost,2)+PARAMETERS!$CR$37*VLOOKUP(ProjLoc,EmCost,3)*(1+CO2Uprater)^($B196-YearCurrent)+PARAMETERS!$CS$37*VLOOKUP(ProjLoc,EmCost,4)+PARAMETERS!$CT$37*VLOOKUP(ProjLoc,EmCost,5)+PARAMETERS!$CU$37*VLOOKUP(ProjLoc,EmCost,6)+PARAMETERS!$CV$37*VLOOKUP(ProjLoc,EmCost,7)),0)</f>
        <v>0</v>
      </c>
      <c r="AA196" s="369">
        <f t="shared" si="80"/>
        <v>84724.443259595311</v>
      </c>
      <c r="AB196" s="370">
        <f t="shared" si="81"/>
        <v>50883.305083900836</v>
      </c>
      <c r="AC196" s="371"/>
      <c r="AD196" s="401">
        <f>IF(INDEX(HwyTransitModelGroup,A178,1)=Hwy,0.00000110231131*(C196*(1-M196)*VLOOKUP(K196,EmAuto20,2)-D196*(1-N196)*VLOOKUP(L196,EmAuto20,2)+(O196*(1-M196)-P196*(1-N196))*VLOOKUP(0,EmAuto20,2))+0.00000110231131*(C196*M196*VLOOKUP(K196,EmTruck20,2)-D196*N196*VLOOKUP(L196,EmTruck20,2)+(O196*M196-P196*N196)*VLOOKUP(0,EmTruck20,2)),0)</f>
        <v>0.90610466800364742</v>
      </c>
      <c r="AE196" s="863">
        <f>IF(INDEX(HwyTransitModelGroup,A178,1)=Hwy,0.00000110231131*(C196*(1-M196)*VLOOKUP(K196,EmAuto20,3)-D196*(1-N196)*VLOOKUP(L196,EmAuto20,3)+(O196*(1-M196)-P196*(1-N196))*VLOOKUP(0,EmAuto20,3))+0.00000110231131*(C196*M196*VLOOKUP(K196,EmTruck20,3)-D196*N196*VLOOKUP(L196,EmTruck20,3)+(O196*M196-P196*N196)*VLOOKUP(0,EmTruck20,3)),0)</f>
        <v>1179.6483765015403</v>
      </c>
      <c r="AF196" s="861">
        <f>IF(INDEX(HwyTransitModelGroup,A178,1)=Hwy,0.00000110231131*(C196*(1-M196)*VLOOKUP(K196,EmAuto20,4)-D196*(1-N196)*VLOOKUP(L196,EmAuto20,4)+(O196*(1-M196)-P196*(1-N196))*VLOOKUP(0,EmAuto20,4))+0.00000110231131*(C196*M196*VLOOKUP(K196,EmTruck20,4)-D196*N196*VLOOKUP(L196,EmTruck20,4)+(O196*M196-P196*N196)*VLOOKUP(0,EmTruck20,4)),0)</f>
        <v>0.58731604383490321</v>
      </c>
      <c r="AG196" s="863">
        <f>IF(INDEX(HwyTransitModelGroup,A178,1)=Hwy,0.00000110231131*(C196*(1-M196)*VLOOKUP(K196,EmAuto20,5)-D196*(1-N196)*VLOOKUP(L196,EmAuto20,5)+(O196*(1-M196)-P196*(1-N196))*VLOOKUP(0,EmAuto20,5))+0.00000110231131*(C196*M196*VLOOKUP(K196,EmTruck20,5)-D196*N196*VLOOKUP(L196,EmTruck20,5)+(O196*M196-P196*N196)*VLOOKUP(0,EmTruck20,5)),0)</f>
        <v>1.5796990547903546E-2</v>
      </c>
      <c r="AH196" s="861">
        <f>IF(INDEX(HwyTransitModelGroup,A178,1)=Hwy,0.00000110231131*(C196*(1-M196)*VLOOKUP(K196,EmAuto20,6)-D196*(1-N196)*VLOOKUP(L196,EmAuto20,6)+(O196*(1-M196)-P196*(1-N196))*VLOOKUP(0,EmAuto20,6))+0.00000110231131*(C196*M196*VLOOKUP(K196,EmTruck20,6)-D196*N196*VLOOKUP(L196,EmTruck20,6)+(O196*M196-P196*N196)*VLOOKUP(0,EmTruck20,6)),0)</f>
        <v>1.1352413546290008E-2</v>
      </c>
      <c r="AI196" s="863">
        <f>IF(INDEX(HwyTransitModelGroup,A178,1)=Hwy,0.00000110231131*(C196*(1-M196)*VLOOKUP(K196,EmAuto20,7)-D196*(1-N196)*VLOOKUP(L196,EmAuto20,7)+(O196*(1-M196)-P196*(1-N196))*VLOOKUP(0,EmAuto20,7))+0.00000110231131*(C196*M196*VLOOKUP(K196,EmTruck20,7)-D196*N196*VLOOKUP(L196,EmTruck20,7)+(O196*M196-P196*N196)*VLOOKUP(0,EmTruck20,7)),0)</f>
        <v>1.9941692474709428E-2</v>
      </c>
      <c r="AJ196" s="861">
        <f>IF(INDEX(HwyTransitModelGroup,A178,1)=Hwy,0.00000110231131*(C196*(1-M196)*VLOOKUP(K196,EmAuto20,8)-D196*(1-N196)*VLOOKUP(L196,EmAuto20,8)+(O196*(1-M196)-P196*(1-N196))*VLOOKUP(0,EmAuto20,8))+0.00000110231131*(C196*M196*VLOOKUP(K196,EmTruck20,8)-D196*N196*VLOOKUP(L196,EmTruck20,8)+(O196*M196-P196*N196)*VLOOKUP(0,EmTruck20,8)),0)</f>
        <v>1.5154401101887116E-2</v>
      </c>
      <c r="AK196" s="401">
        <f>IF(INDEX(HwyTransitModelGroup,A178,1)=PARAMETERS!$J$9,0.00000110231131*(C196*VLOOKUP(K196,EmBus20,2)-D196*VLOOKUP(L196,EmBus20,2)+(O196-P196)*VLOOKUP(0,EmBus20,2)),0)</f>
        <v>0</v>
      </c>
      <c r="AL196" s="863">
        <f>IF(INDEX(HwyTransitModelGroup,A178,1)=PARAMETERS!$J$9,0.00000110231131*(C196*VLOOKUP(K196,EmBus20,3)-D196*VLOOKUP(L196,EmBus20,3)+(O196-P196)*VLOOKUP(0,EmBus20,3)),0)</f>
        <v>0</v>
      </c>
      <c r="AM196" s="861">
        <f>IF(INDEX(HwyTransitModelGroup,A178,1)=PARAMETERS!$J$9,0.00000110231131*(C196*VLOOKUP(K196,EmBus20,4)-D196*VLOOKUP(L196,EmBus20,4)+(O196-P196)*VLOOKUP(0,EmBus20,4)),0)</f>
        <v>0</v>
      </c>
      <c r="AN196" s="863">
        <f>IF(INDEX(HwyTransitModelGroup,A178,1)=PARAMETERS!$J$9,0.00000110231131*(C196*VLOOKUP(K196,EmBus20,5)-D196*VLOOKUP(L196,EmBus20,5)+(O196-P196)*VLOOKUP(0,EmBus20,5)),0)</f>
        <v>0</v>
      </c>
      <c r="AO196" s="861">
        <f>IF(INDEX(HwyTransitModelGroup,A178,1)=PARAMETERS!$J$9,0.00000110231131*(C196*VLOOKUP(K196,EmBus20,6)-D196*VLOOKUP(L196,EmBus20,6)+(O196-P196)*VLOOKUP(0,EmBus20,6)),0)</f>
        <v>0</v>
      </c>
      <c r="AP196" s="863">
        <f>IF(INDEX(HwyTransitModelGroup,A178,1)=PARAMETERS!$J$9,0.00000110231131*(C196*VLOOKUP(K196,EmBus20,7)-D196*VLOOKUP(L196,EmBus20,7)+(O196-P196)*VLOOKUP(0,EmBus20,7)),0)</f>
        <v>0</v>
      </c>
      <c r="AQ196" s="861">
        <f>IF(INDEX(HwyTransitModelGroup,A178,1)=PARAMETERS!$J$9,0.00000110231131*(C196*VLOOKUP(K196,EmBus20,8)-D196*VLOOKUP(L196,EmBus20,8)+(O196-P196)*VLOOKUP(0,EmBus20,8)),0)</f>
        <v>0</v>
      </c>
      <c r="AR196" s="401">
        <f>IF(INDEX(HwyTransitModelGroup,A178,1)=PARAMETERS!$J$10,0.00000110231131*((C196-D196)*PARAMETERS!$CQ$29),0)</f>
        <v>0</v>
      </c>
      <c r="AS196" s="863">
        <f>IF(INDEX(HwyTransitModelGroup,A178,1)=PARAMETERS!$J$10,0.00000110231131*((C196-D196)*PARAMETERS!$CR$29),0)</f>
        <v>0</v>
      </c>
      <c r="AT196" s="861">
        <f>IF(INDEX(HwyTransitModelGroup,A178,1)=PARAMETERS!$J$10,0.00000110231131*((C196-D196)*PARAMETERS!$CS$29),0)</f>
        <v>0</v>
      </c>
      <c r="AU196" s="863">
        <f>IF(INDEX(HwyTransitModelGroup,A178,1)=PARAMETERS!$J$10,0.00000110231131*((C196-D196)*PARAMETERS!$CT$29),0)</f>
        <v>0</v>
      </c>
      <c r="AV196" s="861">
        <f>IF(INDEX(HwyTransitModelGroup,A178,1)=PARAMETERS!$J$10,0.00000110231131*((C196-D196)*PARAMETERS!$CU$29),0)</f>
        <v>0</v>
      </c>
      <c r="AW196" s="863">
        <f>IF(INDEX(HwyTransitModelGroup,A178,1)=PARAMETERS!$J$10,0.00000110231131*((C196-D196)*PARAMETERS!$CV$29),0)</f>
        <v>0</v>
      </c>
      <c r="AX196" s="861">
        <f>IF(INDEX(HwyTransitModelGroup,A178,1)=PARAMETERS!$J$10,0.00000110231131*((C196-D196)*PARAMETERS!$CW$29),0)</f>
        <v>0</v>
      </c>
      <c r="AY196" s="401">
        <f>IF(INDEX(HwyTransitModelGroup,A178,1)=PARAMETERS!$J$11,0.00000110231131*((C196-D196)*PARAMETERS!$CQ$37),0)</f>
        <v>0</v>
      </c>
      <c r="AZ196" s="863">
        <f>IF(INDEX(HwyTransitModelGroup,A178,1)=PARAMETERS!$J$11,0.00000110231131*((C196-D196)*PARAMETERS!$CR$37),0)</f>
        <v>0</v>
      </c>
      <c r="BA196" s="861">
        <f>IF(INDEX(HwyTransitModelGroup,A178,1)=PARAMETERS!$J$11,0.00000110231131*((C196-D196)*PARAMETERS!$CS$37),0)</f>
        <v>0</v>
      </c>
      <c r="BB196" s="863">
        <f>IF(INDEX(HwyTransitModelGroup,A178,1)=PARAMETERS!$J$11,0.00000110231131*((C196-D196)*PARAMETERS!$CT$37),0)</f>
        <v>0</v>
      </c>
      <c r="BC196" s="861">
        <f>IF(INDEX(HwyTransitModelGroup,A178,1)=PARAMETERS!$J$11,0.00000110231131*((C196-D196)*PARAMETERS!$CU$37),0)</f>
        <v>0</v>
      </c>
      <c r="BD196" s="863">
        <f>IF(INDEX(HwyTransitModelGroup,A178,1)=PARAMETERS!$J$11,0.00000110231131*((C196-D196)*PARAMETERS!$CV$37),0)</f>
        <v>0</v>
      </c>
      <c r="BE196" s="865">
        <f>IF(INDEX(HwyTransitModelGroup,A178,1)=PARAMETERS!$J$11,0.00000110231131*((C196-D196)*PARAMETERS!$CW$37),0)</f>
        <v>0</v>
      </c>
      <c r="BF196" s="729">
        <f t="shared" si="82"/>
        <v>43.534638634292513</v>
      </c>
      <c r="BG196" s="867">
        <f t="shared" si="83"/>
        <v>43990.878377344357</v>
      </c>
      <c r="BH196" s="867">
        <f t="shared" si="84"/>
        <v>5326.1746241055598</v>
      </c>
      <c r="BI196" s="867">
        <f t="shared" si="85"/>
        <v>1107.1636110036866</v>
      </c>
      <c r="BJ196" s="867">
        <f t="shared" si="86"/>
        <v>402.25995806817758</v>
      </c>
      <c r="BK196" s="869">
        <f t="shared" si="87"/>
        <v>13.293874744714914</v>
      </c>
      <c r="BL196" s="374"/>
      <c r="BN196" s="375">
        <f t="shared" ref="BN196:BN213" si="92">BN195+1</f>
        <v>2028</v>
      </c>
      <c r="BO196" s="871">
        <f t="shared" ca="1" si="90"/>
        <v>7.2345568715102666E-5</v>
      </c>
      <c r="BP196" s="871">
        <f t="shared" ca="1" si="91"/>
        <v>-1.4599070734913009E-4</v>
      </c>
      <c r="BQ196" s="871">
        <f t="shared" ca="1" si="91"/>
        <v>1.0509247754768292E-4</v>
      </c>
      <c r="BR196" s="871">
        <f t="shared" ca="1" si="91"/>
        <v>-2.4102797387953869E-4</v>
      </c>
      <c r="BS196" s="871">
        <f t="shared" ca="1" si="91"/>
        <v>8.690546405563002E-3</v>
      </c>
      <c r="BT196" s="871">
        <f t="shared" ca="1" si="91"/>
        <v>1.2330076053329357E-2</v>
      </c>
    </row>
    <row r="197" spans="2:72" x14ac:dyDescent="0.25">
      <c r="B197" s="375">
        <f t="shared" si="88"/>
        <v>2036</v>
      </c>
      <c r="C197" s="401">
        <f>MAX(TREND(C184:C185,B184:B185,B197),0)</f>
        <v>20135407.5</v>
      </c>
      <c r="D197" s="402">
        <f>MAX(TREND(D184:D185,B184:B185,B197),0)</f>
        <v>17648115</v>
      </c>
      <c r="E197" s="401">
        <f>MAX(TREND(E184:E185,B184:B185,B197),0)</f>
        <v>290722.5</v>
      </c>
      <c r="F197" s="402">
        <f>MAX(TREND(F184:F185,B184:B185,B197),0)</f>
        <v>254222.5</v>
      </c>
      <c r="G197" s="401">
        <f>MAX(TREND(G184:G185,B184:B185,B197),0)</f>
        <v>0</v>
      </c>
      <c r="H197" s="402">
        <f>MAX(TREND(H184:H185,B184:B185,B197),0)</f>
        <v>0</v>
      </c>
      <c r="I197" s="401">
        <f>MAX(TREND(I184:I185,B184:B185,B197),0)</f>
        <v>0</v>
      </c>
      <c r="J197" s="402">
        <f>MAX(TREND(J184:J185,B184:B185,B197),0)</f>
        <v>0</v>
      </c>
      <c r="K197" s="435">
        <f>IFERROR(IF(INDEX(HwyTransitModelGroup,A178,1)=Hwy,MAX(5,ROUND(C197/E197,1)),MAX(5,ROUND(G197/I197,1))),55)</f>
        <v>69.3</v>
      </c>
      <c r="L197" s="436">
        <f>IFERROR(IF(INDEX(HwyTransitModelGroup,A178,1)=Hwy,MAX(5,ROUND(D197/F197,1)),MAX(5,ROUND(H197/J197,1))),55)</f>
        <v>69.400000000000006</v>
      </c>
      <c r="M197" s="405">
        <f>MIN(MAX(TREND(M184:M185,B184:B185,B197),0),1)</f>
        <v>0.24</v>
      </c>
      <c r="N197" s="406">
        <f>MIN(MAX(TREND(N184:N185,B184:B185,B197),0),1)</f>
        <v>0.24</v>
      </c>
      <c r="O197" s="401">
        <f>MAX(TREND(O184:O185,B184:B185,B197),0)</f>
        <v>0</v>
      </c>
      <c r="P197" s="402">
        <f>MAX(TREND(P184:P185,B184:B185,B197),0)</f>
        <v>0</v>
      </c>
      <c r="Q197" s="729">
        <f>IF(INDEX(HwyTransitModelGroup,A178,1)=Hwy,C197*(1-M197)*0.00000110231131*(VLOOKUP(K197,EmAuto20,2)*VLOOKUP(ProjLoc,EmCost,2)+VLOOKUP(K197,EmAuto20,3)*VLOOKUP(ProjLoc,EmCost,3)*(1+CO2Uprater)^($B197-YearCurrent)+VLOOKUP(K197,EmAuto20,4)*VLOOKUP(ProjLoc,EmCost,4)+VLOOKUP(K197,EmAuto20,5)*VLOOKUP(ProjLoc,EmCost,5)+VLOOKUP(K197,EmAuto20,6)*VLOOKUP(ProjLoc,EmCost,6)+VLOOKUP(K197,EmAuto20,7)*VLOOKUP(ProjLoc,EmCost,7))+C197*M197*0.00000110231131*(VLOOKUP(K197,EmTruck20,2)*VLOOKUP(ProjLoc,EmCost,2)+VLOOKUP(K197,EmTruck20,3)*VLOOKUP(ProjLoc,EmCost,3)*(1+CO2Uprater)^($B197-YearCurrent)+VLOOKUP(K197,EmTruck20,4)*VLOOKUP(ProjLoc,EmCost,4)+VLOOKUP(K197,EmTruck20,5)*VLOOKUP(ProjLoc,EmCost,5)+VLOOKUP(K197,EmTruck20,6)*VLOOKUP(ProjLoc,EmCost,6)+VLOOKUP(K197,EmTruck20,7)*VLOOKUP(ProjLoc,EmCost,7)),0)</f>
        <v>714490.1048791944</v>
      </c>
      <c r="R197" s="802">
        <f>IF(INDEX(HwyTransitModelGroup,A178,1)=Hwy,D197*(1-N197)*0.00000110231131*(VLOOKUP(L197,EmAuto20,2)*VLOOKUP(ProjLoc,EmCost,2)+VLOOKUP(L197,EmAuto20,3)*VLOOKUP(ProjLoc,EmCost,3)*(1+CO2Uprater)^($B197-YearCurrent)+VLOOKUP(L197,EmAuto20,4)*VLOOKUP(ProjLoc,EmCost,4)+VLOOKUP(L197,EmAuto20,5)*VLOOKUP(ProjLoc,EmCost,5)+VLOOKUP(L197,EmAuto20,6)*VLOOKUP(ProjLoc,EmCost,6)+VLOOKUP(L197,EmAuto20,7)*VLOOKUP(ProjLoc,EmCost,7))+D197*N197*0.00000110231131*(VLOOKUP(L197,EmTruck20,2)*VLOOKUP(ProjLoc,EmCost,2)+VLOOKUP(L197,EmTruck20,3)*VLOOKUP(ProjLoc,EmCost,3)*(1+CO2Uprater)^($B197-YearCurrent)+VLOOKUP(L197,EmTruck20,4)*VLOOKUP(ProjLoc,EmCost,4)+VLOOKUP(L197,EmTruck20,5)*VLOOKUP(ProjLoc,EmCost,5)+VLOOKUP(L197,EmTruck20,6)*VLOOKUP(ProjLoc,EmCost,6)+VLOOKUP(L197,EmTruck20,7)*VLOOKUP(ProjLoc,EmCost,7)),0)</f>
        <v>626230.36247317493</v>
      </c>
      <c r="S197" s="729">
        <f>IF(INDEX(HwyTransitModelGroup,A178,1)=Hwy,O197*(1-M197)*0.00000110231131*(VLOOKUP(0,EmAuto20,2)*VLOOKUP(ProjLoc,EmCost,2)+VLOOKUP(0,EmAuto20,3)*VLOOKUP(ProjLoc,EmCost,3)*(1+CO2Uprater)^($B197-YearCurrent)+VLOOKUP(0,EmAuto20,4)*VLOOKUP(ProjLoc,EmCost,4)+VLOOKUP(0,EmAuto20,5)*VLOOKUP(ProjLoc,EmCost,5)+VLOOKUP(0,EmAuto20,6)*VLOOKUP(ProjLoc,EmCost,6)+VLOOKUP(0,EmAuto20,7)*VLOOKUP(ProjLoc,EmCost,7))+O197*M197*0.00000110231131*(VLOOKUP(0,EmTruck20,2)*VLOOKUP(ProjLoc,EmCost,2)+VLOOKUP(0,EmTruck20,3)*VLOOKUP(ProjLoc,EmCost,3)*(1+CO2Uprater)^($B197-YearCurrent)+VLOOKUP(0,EmTruck20,4)*VLOOKUP(ProjLoc,EmCost,4)+VLOOKUP(0,EmTruck20,5)*VLOOKUP(ProjLoc,EmCost,5)+VLOOKUP(0,EmTruck20,6)*VLOOKUP(ProjLoc,EmCost,6)+VLOOKUP(0,EmTruck20,7)*VLOOKUP(ProjLoc,EmCost,7)),0)</f>
        <v>0</v>
      </c>
      <c r="T197" s="802">
        <f>IF(INDEX(HwyTransitModelGroup,A178,1)=Hwy,P197*(1-N197)*0.00000110231131*(VLOOKUP(0,EmAuto20,2)*VLOOKUP(ProjLoc,EmCost,2)+VLOOKUP(0,EmAuto20,3)*VLOOKUP(ProjLoc,EmCost,3)*(1+CO2Uprater)^($B197-YearCurrent)+VLOOKUP(0,EmAuto20,4)*VLOOKUP(ProjLoc,EmCost,4)+VLOOKUP(0,EmAuto20,5)*VLOOKUP(ProjLoc,EmCost,5)+VLOOKUP(0,EmAuto20,6)*VLOOKUP(ProjLoc,EmCost,6)+VLOOKUP(0,EmAuto20,7)*VLOOKUP(ProjLoc,EmCost,7))+P197*N197*0.00000110231131*(VLOOKUP(0,EmTruck20,2)*VLOOKUP(ProjLoc,EmCost,2)+VLOOKUP(0,EmTruck20,3)*VLOOKUP(ProjLoc,EmCost,3)*(1+CO2Uprater)^($B197-YearCurrent)+VLOOKUP(0,EmTruck20,4)*VLOOKUP(ProjLoc,EmCost,4)+VLOOKUP(0,EmTruck20,5)*VLOOKUP(ProjLoc,EmCost,5)+VLOOKUP(0,EmTruck20,6)*VLOOKUP(ProjLoc,EmCost,6)+VLOOKUP(0,EmTruck20,7)*VLOOKUP(ProjLoc,EmCost,7)),0)</f>
        <v>0</v>
      </c>
      <c r="U197" s="729">
        <f>IF(INDEX(HwyTransitModelGroup,A178,1)=PARAMETERS!$J$9,C197*0.00000110231131*(VLOOKUP(K197,EmBus20,2)*VLOOKUP(ProjLoc,EmCost,2)+VLOOKUP(K197,EmBus20,3)*VLOOKUP(ProjLoc,EmCost,3)*(1+CO2Uprater)^($B197-YearCurrent)+VLOOKUP(K197,EmBus20,4)*VLOOKUP(ProjLoc,EmCost,4)+VLOOKUP(K197,EmBus20,5)*VLOOKUP(ProjLoc,EmCost,5)+VLOOKUP(K197,EmBus20,6)*VLOOKUP(ProjLoc,EmCost,6)+VLOOKUP(K197,EmBus20,7)*VLOOKUP(ProjLoc,EmCost,7)),0)</f>
        <v>0</v>
      </c>
      <c r="V197" s="802">
        <f>IF(INDEX(HwyTransitModelGroup,A178,1)=PARAMETERS!$J$9,D197*0.00000110231131*(VLOOKUP(L197,EmBus20,2)*VLOOKUP(ProjLoc,EmCost,2)+VLOOKUP(L197,EmBus20,3)*VLOOKUP(ProjLoc,EmCost,3)*(1+CO2Uprater)^($B197-YearCurrent)+VLOOKUP(L197,EmBus20,4)*VLOOKUP(ProjLoc,EmCost,4)+VLOOKUP(L197,EmBus20,5)*VLOOKUP(ProjLoc,EmCost,5)+VLOOKUP(L197,EmBus20,6)*VLOOKUP(ProjLoc,EmCost,6)+VLOOKUP(L197,EmBus20,7)*VLOOKUP(ProjLoc,EmCost,7)),0)</f>
        <v>0</v>
      </c>
      <c r="W197" s="808">
        <f>IF(INDEX(HwyTransitModelGroup,A178,1)=PARAMETERS!$J$10,C197*0.00000110231131*(PARAMETERS!$CQ$29*VLOOKUP(ProjLoc,EmCost,2)+PARAMETERS!$CR$29*VLOOKUP(ProjLoc,EmCost,3)*(1+CO2Uprater)^($B197-YearCurrent)+PARAMETERS!$CS$29*VLOOKUP(ProjLoc,EmCost,4)+PARAMETERS!$CT$29*VLOOKUP(ProjLoc,EmCost,5)+PARAMETERS!$CU$29*VLOOKUP(ProjLoc,EmCost,6)+PARAMETERS!$CV$29*VLOOKUP(ProjLoc,EmCost,7)),0)</f>
        <v>0</v>
      </c>
      <c r="X197" s="844">
        <f>IF(INDEX(HwyTransitModelGroup,A178,1)=PARAMETERS!$J$10,D197*0.00000110231131*(PARAMETERS!$CQ$29*VLOOKUP(ProjLoc,EmCost,2)+PARAMETERS!$CR$29*VLOOKUP(ProjLoc,EmCost,3)*(1+CO2Uprater)^($B197-YearCurrent)+PARAMETERS!$CS$29*VLOOKUP(ProjLoc,EmCost,4)+PARAMETERS!$CT$29*VLOOKUP(ProjLoc,EmCost,5)+PARAMETERS!$CU$29*VLOOKUP(ProjLoc,EmCost,6)+PARAMETERS!$CV$29*VLOOKUP(ProjLoc,EmCost,7)),0)</f>
        <v>0</v>
      </c>
      <c r="Y197" s="808">
        <f>IF(INDEX(HwyTransitModelGroup,A178,1)=PARAMETERS!$J$11,C197*0.00000110231131*(PARAMETERS!$CQ$37*VLOOKUP(ProjLoc,EmCost,2)+PARAMETERS!$CR$37*VLOOKUP(ProjLoc,EmCost,3)*(1+CO2Uprater)^($B197-YearCurrent)+PARAMETERS!$CS$37*VLOOKUP(ProjLoc,EmCost,4)+PARAMETERS!$CT$37*VLOOKUP(ProjLoc,EmCost,5)+PARAMETERS!$CU$37*VLOOKUP(ProjLoc,EmCost,6)+PARAMETERS!$CV$37*VLOOKUP(ProjLoc,EmCost,7)),0)</f>
        <v>0</v>
      </c>
      <c r="Z197" s="844">
        <f>IF(INDEX(HwyTransitModelGroup,A178,1)=PARAMETERS!$J$11,D197*0.00000110231131*(PARAMETERS!$CQ$37*VLOOKUP(ProjLoc,EmCost,2)+PARAMETERS!$CR$37*VLOOKUP(ProjLoc,EmCost,3)*(1+CO2Uprater)^($B197-YearCurrent)+PARAMETERS!$CS$37*VLOOKUP(ProjLoc,EmCost,4)+PARAMETERS!$CT$37*VLOOKUP(ProjLoc,EmCost,5)+PARAMETERS!$CU$37*VLOOKUP(ProjLoc,EmCost,6)+PARAMETERS!$CV$37*VLOOKUP(ProjLoc,EmCost,7)),0)</f>
        <v>0</v>
      </c>
      <c r="AA197" s="369">
        <f t="shared" si="80"/>
        <v>88259.742406019475</v>
      </c>
      <c r="AB197" s="370">
        <f t="shared" si="81"/>
        <v>50967.802055747343</v>
      </c>
      <c r="AC197" s="371"/>
      <c r="AD197" s="401">
        <f>IF(INDEX(HwyTransitModelGroup,A178,1)=Hwy,0.00000110231131*(C197*(1-M197)*VLOOKUP(K197,EmAuto20,2)-D197*(1-N197)*VLOOKUP(L197,EmAuto20,2)+(O197*(1-M197)-P197*(1-N197))*VLOOKUP(0,EmAuto20,2))+0.00000110231131*(C197*M197*VLOOKUP(K197,EmTruck20,2)-D197*N197*VLOOKUP(L197,EmTruck20,2)+(O197*M197-P197*N197)*VLOOKUP(0,EmTruck20,2)),0)</f>
        <v>0.92787002473621405</v>
      </c>
      <c r="AE197" s="863">
        <f>IF(INDEX(HwyTransitModelGroup,A178,1)=Hwy,0.00000110231131*(C197*(1-M197)*VLOOKUP(K197,EmAuto20,3)-D197*(1-N197)*VLOOKUP(L197,EmAuto20,3)+(O197*(1-M197)-P197*(1-N197))*VLOOKUP(0,EmAuto20,3))+0.00000110231131*(C197*M197*VLOOKUP(K197,EmTruck20,3)-D197*N197*VLOOKUP(L197,EmTruck20,3)+(O197*M197-P197*N197)*VLOOKUP(0,EmTruck20,3)),0)</f>
        <v>1207.9844712599074</v>
      </c>
      <c r="AF197" s="861">
        <f>IF(INDEX(HwyTransitModelGroup,A178,1)=Hwy,0.00000110231131*(C197*(1-M197)*VLOOKUP(K197,EmAuto20,4)-D197*(1-N197)*VLOOKUP(L197,EmAuto20,4)+(O197*(1-M197)-P197*(1-N197))*VLOOKUP(0,EmAuto20,4))+0.00000110231131*(C197*M197*VLOOKUP(K197,EmTruck20,4)-D197*N197*VLOOKUP(L197,EmTruck20,4)+(O197*M197-P197*N197)*VLOOKUP(0,EmTruck20,4)),0)</f>
        <v>0.60142384358500411</v>
      </c>
      <c r="AG197" s="863">
        <f>IF(INDEX(HwyTransitModelGroup,A178,1)=Hwy,0.00000110231131*(C197*(1-M197)*VLOOKUP(K197,EmAuto20,5)-D197*(1-N197)*VLOOKUP(L197,EmAuto20,5)+(O197*(1-M197)-P197*(1-N197))*VLOOKUP(0,EmAuto20,5))+0.00000110231131*(C197*M197*VLOOKUP(K197,EmTruck20,5)-D197*N197*VLOOKUP(L197,EmTruck20,5)+(O197*M197-P197*N197)*VLOOKUP(0,EmTruck20,5)),0)</f>
        <v>1.6176446858766239E-2</v>
      </c>
      <c r="AH197" s="861">
        <f>IF(INDEX(HwyTransitModelGroup,A178,1)=Hwy,0.00000110231131*(C197*(1-M197)*VLOOKUP(K197,EmAuto20,6)-D197*(1-N197)*VLOOKUP(L197,EmAuto20,6)+(O197*(1-M197)-P197*(1-N197))*VLOOKUP(0,EmAuto20,6))+0.00000110231131*(C197*M197*VLOOKUP(K197,EmTruck20,6)-D197*N197*VLOOKUP(L197,EmTruck20,6)+(O197*M197-P197*N197)*VLOOKUP(0,EmTruck20,6)),0)</f>
        <v>1.1625107573079467E-2</v>
      </c>
      <c r="AI197" s="863">
        <f>IF(INDEX(HwyTransitModelGroup,A178,1)=Hwy,0.00000110231131*(C197*(1-M197)*VLOOKUP(K197,EmAuto20,7)-D197*(1-N197)*VLOOKUP(L197,EmAuto20,7)+(O197*(1-M197)-P197*(1-N197))*VLOOKUP(0,EmAuto20,7))+0.00000110231131*(C197*M197*VLOOKUP(K197,EmTruck20,7)-D197*N197*VLOOKUP(L197,EmTruck20,7)+(O197*M197-P197*N197)*VLOOKUP(0,EmTruck20,7)),0)</f>
        <v>2.0420707831201854E-2</v>
      </c>
      <c r="AJ197" s="861">
        <f>IF(INDEX(HwyTransitModelGroup,A178,1)=Hwy,0.00000110231131*(C197*(1-M197)*VLOOKUP(K197,EmAuto20,8)-D197*(1-N197)*VLOOKUP(L197,EmAuto20,8)+(O197*(1-M197)-P197*(1-N197))*VLOOKUP(0,EmAuto20,8))+0.00000110231131*(C197*M197*VLOOKUP(K197,EmTruck20,8)-D197*N197*VLOOKUP(L197,EmTruck20,8)+(O197*M197-P197*N197)*VLOOKUP(0,EmTruck20,8)),0)</f>
        <v>1.5518421901799469E-2</v>
      </c>
      <c r="AK197" s="401">
        <f>IF(INDEX(HwyTransitModelGroup,A178,1)=PARAMETERS!$J$9,0.00000110231131*(C197*VLOOKUP(K197,EmBus20,2)-D197*VLOOKUP(L197,EmBus20,2)+(O197-P197)*VLOOKUP(0,EmBus20,2)),0)</f>
        <v>0</v>
      </c>
      <c r="AL197" s="863">
        <f>IF(INDEX(HwyTransitModelGroup,A178,1)=PARAMETERS!$J$9,0.00000110231131*(C197*VLOOKUP(K197,EmBus20,3)-D197*VLOOKUP(L197,EmBus20,3)+(O197-P197)*VLOOKUP(0,EmBus20,3)),0)</f>
        <v>0</v>
      </c>
      <c r="AM197" s="861">
        <f>IF(INDEX(HwyTransitModelGroup,A178,1)=PARAMETERS!$J$9,0.00000110231131*(C197*VLOOKUP(K197,EmBus20,4)-D197*VLOOKUP(L197,EmBus20,4)+(O197-P197)*VLOOKUP(0,EmBus20,4)),0)</f>
        <v>0</v>
      </c>
      <c r="AN197" s="863">
        <f>IF(INDEX(HwyTransitModelGroup,A178,1)=PARAMETERS!$J$9,0.00000110231131*(C197*VLOOKUP(K197,EmBus20,5)-D197*VLOOKUP(L197,EmBus20,5)+(O197-P197)*VLOOKUP(0,EmBus20,5)),0)</f>
        <v>0</v>
      </c>
      <c r="AO197" s="861">
        <f>IF(INDEX(HwyTransitModelGroup,A178,1)=PARAMETERS!$J$9,0.00000110231131*(C197*VLOOKUP(K197,EmBus20,6)-D197*VLOOKUP(L197,EmBus20,6)+(O197-P197)*VLOOKUP(0,EmBus20,6)),0)</f>
        <v>0</v>
      </c>
      <c r="AP197" s="863">
        <f>IF(INDEX(HwyTransitModelGroup,A178,1)=PARAMETERS!$J$9,0.00000110231131*(C197*VLOOKUP(K197,EmBus20,7)-D197*VLOOKUP(L197,EmBus20,7)+(O197-P197)*VLOOKUP(0,EmBus20,7)),0)</f>
        <v>0</v>
      </c>
      <c r="AQ197" s="861">
        <f>IF(INDEX(HwyTransitModelGroup,A178,1)=PARAMETERS!$J$9,0.00000110231131*(C197*VLOOKUP(K197,EmBus20,8)-D197*VLOOKUP(L197,EmBus20,8)+(O197-P197)*VLOOKUP(0,EmBus20,8)),0)</f>
        <v>0</v>
      </c>
      <c r="AR197" s="401">
        <f>IF(INDEX(HwyTransitModelGroup,A178,1)=PARAMETERS!$J$10,0.00000110231131*((C197-D197)*PARAMETERS!$CQ$29),0)</f>
        <v>0</v>
      </c>
      <c r="AS197" s="863">
        <f>IF(INDEX(HwyTransitModelGroup,A178,1)=PARAMETERS!$J$10,0.00000110231131*((C197-D197)*PARAMETERS!$CR$29),0)</f>
        <v>0</v>
      </c>
      <c r="AT197" s="861">
        <f>IF(INDEX(HwyTransitModelGroup,A178,1)=PARAMETERS!$J$10,0.00000110231131*((C197-D197)*PARAMETERS!$CS$29),0)</f>
        <v>0</v>
      </c>
      <c r="AU197" s="863">
        <f>IF(INDEX(HwyTransitModelGroup,A178,1)=PARAMETERS!$J$10,0.00000110231131*((C197-D197)*PARAMETERS!$CT$29),0)</f>
        <v>0</v>
      </c>
      <c r="AV197" s="861">
        <f>IF(INDEX(HwyTransitModelGroup,A178,1)=PARAMETERS!$J$10,0.00000110231131*((C197-D197)*PARAMETERS!$CU$29),0)</f>
        <v>0</v>
      </c>
      <c r="AW197" s="863">
        <f>IF(INDEX(HwyTransitModelGroup,A178,1)=PARAMETERS!$J$10,0.00000110231131*((C197-D197)*PARAMETERS!$CV$29),0)</f>
        <v>0</v>
      </c>
      <c r="AX197" s="861">
        <f>IF(INDEX(HwyTransitModelGroup,A178,1)=PARAMETERS!$J$10,0.00000110231131*((C197-D197)*PARAMETERS!$CW$29),0)</f>
        <v>0</v>
      </c>
      <c r="AY197" s="401">
        <f>IF(INDEX(HwyTransitModelGroup,A178,1)=PARAMETERS!$J$11,0.00000110231131*((C197-D197)*PARAMETERS!$CQ$37),0)</f>
        <v>0</v>
      </c>
      <c r="AZ197" s="863">
        <f>IF(INDEX(HwyTransitModelGroup,A178,1)=PARAMETERS!$J$11,0.00000110231131*((C197-D197)*PARAMETERS!$CR$37),0)</f>
        <v>0</v>
      </c>
      <c r="BA197" s="861">
        <f>IF(INDEX(HwyTransitModelGroup,A178,1)=PARAMETERS!$J$11,0.00000110231131*((C197-D197)*PARAMETERS!$CS$37),0)</f>
        <v>0</v>
      </c>
      <c r="BB197" s="863">
        <f>IF(INDEX(HwyTransitModelGroup,A178,1)=PARAMETERS!$J$11,0.00000110231131*((C197-D197)*PARAMETERS!$CT$37),0)</f>
        <v>0</v>
      </c>
      <c r="BC197" s="861">
        <f>IF(INDEX(HwyTransitModelGroup,A178,1)=PARAMETERS!$J$11,0.00000110231131*((C197-D197)*PARAMETERS!$CU$37),0)</f>
        <v>0</v>
      </c>
      <c r="BD197" s="863">
        <f>IF(INDEX(HwyTransitModelGroup,A178,1)=PARAMETERS!$J$11,0.00000110231131*((C197-D197)*PARAMETERS!$CV$37),0)</f>
        <v>0</v>
      </c>
      <c r="BE197" s="865">
        <f>IF(INDEX(HwyTransitModelGroup,A178,1)=PARAMETERS!$J$11,0.00000110231131*((C197-D197)*PARAMETERS!$CW$37),0)</f>
        <v>0</v>
      </c>
      <c r="BF197" s="729">
        <f t="shared" si="82"/>
        <v>42.865745550593296</v>
      </c>
      <c r="BG197" s="867">
        <f t="shared" si="83"/>
        <v>44181.274851255155</v>
      </c>
      <c r="BH197" s="867">
        <f t="shared" si="84"/>
        <v>5244.3399866674108</v>
      </c>
      <c r="BI197" s="867">
        <f t="shared" si="85"/>
        <v>1090.1524652779847</v>
      </c>
      <c r="BJ197" s="867">
        <f t="shared" si="86"/>
        <v>396.07938755601157</v>
      </c>
      <c r="BK197" s="869">
        <f t="shared" si="87"/>
        <v>13.089619440174539</v>
      </c>
      <c r="BL197" s="374"/>
      <c r="BN197" s="375">
        <f t="shared" si="92"/>
        <v>2029</v>
      </c>
      <c r="BO197" s="871">
        <f t="shared" ca="1" si="90"/>
        <v>4.1724482676216205E-5</v>
      </c>
      <c r="BP197" s="871">
        <f t="shared" ca="1" si="91"/>
        <v>-1.4867651200448269E-4</v>
      </c>
      <c r="BQ197" s="871">
        <f t="shared" ca="1" si="91"/>
        <v>1.069836535374388E-4</v>
      </c>
      <c r="BR197" s="871">
        <f t="shared" ca="1" si="91"/>
        <v>-2.4389507457373599E-4</v>
      </c>
      <c r="BS197" s="871">
        <f t="shared" ca="1" si="91"/>
        <v>9.1278913543628316E-3</v>
      </c>
      <c r="BT197" s="871">
        <f t="shared" ca="1" si="91"/>
        <v>1.2686121839250698E-2</v>
      </c>
    </row>
    <row r="198" spans="2:72" x14ac:dyDescent="0.25">
      <c r="B198" s="375">
        <f t="shared" si="88"/>
        <v>2037</v>
      </c>
      <c r="C198" s="401">
        <f>MAX(TREND(C184:C185,B184:B185,B198),0)</f>
        <v>20374427.75</v>
      </c>
      <c r="D198" s="402">
        <f>MAX(TREND(D184:D185,B184:B185,B198),0)</f>
        <v>17828790</v>
      </c>
      <c r="E198" s="401">
        <f>MAX(TREND(E184:E185,B184:B185,B198),0)</f>
        <v>294244.75</v>
      </c>
      <c r="F198" s="402">
        <f>MAX(TREND(F184:F185,B184:B185,B198),0)</f>
        <v>256868.75</v>
      </c>
      <c r="G198" s="401">
        <f>MAX(TREND(G184:G185,B184:B185,B198),0)</f>
        <v>0</v>
      </c>
      <c r="H198" s="402">
        <f>MAX(TREND(H184:H185,B184:B185,B198),0)</f>
        <v>0</v>
      </c>
      <c r="I198" s="401">
        <f>MAX(TREND(I184:I185,B184:B185,B198),0)</f>
        <v>0</v>
      </c>
      <c r="J198" s="402">
        <f>MAX(TREND(J184:J185,B184:B185,B198),0)</f>
        <v>0</v>
      </c>
      <c r="K198" s="435">
        <f>IFERROR(IF(INDEX(HwyTransitModelGroup,A178,1)=Hwy,MAX(5,ROUND(C198/E198,1)),MAX(5,ROUND(G198/I198,1))),55)</f>
        <v>69.2</v>
      </c>
      <c r="L198" s="436">
        <f>IFERROR(IF(INDEX(HwyTransitModelGroup,A178,1)=Hwy,MAX(5,ROUND(D198/F198,1)),MAX(5,ROUND(H198/J198,1))),55)</f>
        <v>69.400000000000006</v>
      </c>
      <c r="M198" s="405">
        <f>MIN(MAX(TREND(M184:M185,B184:B185,B198),0),1)</f>
        <v>0.24</v>
      </c>
      <c r="N198" s="406">
        <f>MIN(MAX(TREND(N184:N185,B184:B185,B198),0),1)</f>
        <v>0.24</v>
      </c>
      <c r="O198" s="401">
        <f>MAX(TREND(O184:O185,B184:B185,B198),0)</f>
        <v>0</v>
      </c>
      <c r="P198" s="402">
        <f>MAX(TREND(P184:P185,B184:B185,B198),0)</f>
        <v>0</v>
      </c>
      <c r="Q198" s="729">
        <f>IF(INDEX(HwyTransitModelGroup,A178,1)=Hwy,C198*(1-M198)*0.00000110231131*(VLOOKUP(K198,EmAuto20,2)*VLOOKUP(ProjLoc,EmCost,2)+VLOOKUP(K198,EmAuto20,3)*VLOOKUP(ProjLoc,EmCost,3)*(1+CO2Uprater)^($B198-YearCurrent)+VLOOKUP(K198,EmAuto20,4)*VLOOKUP(ProjLoc,EmCost,4)+VLOOKUP(K198,EmAuto20,5)*VLOOKUP(ProjLoc,EmCost,5)+VLOOKUP(K198,EmAuto20,6)*VLOOKUP(ProjLoc,EmCost,6)+VLOOKUP(K198,EmAuto20,7)*VLOOKUP(ProjLoc,EmCost,7))+C198*M198*0.00000110231131*(VLOOKUP(K198,EmTruck20,2)*VLOOKUP(ProjLoc,EmCost,2)+VLOOKUP(K198,EmTruck20,3)*VLOOKUP(ProjLoc,EmCost,3)*(1+CO2Uprater)^($B198-YearCurrent)+VLOOKUP(K198,EmTruck20,4)*VLOOKUP(ProjLoc,EmCost,4)+VLOOKUP(K198,EmTruck20,5)*VLOOKUP(ProjLoc,EmCost,5)+VLOOKUP(K198,EmTruck20,6)*VLOOKUP(ProjLoc,EmCost,6)+VLOOKUP(K198,EmTruck20,7)*VLOOKUP(ProjLoc,EmCost,7)),0)</f>
        <v>735505.6737544412</v>
      </c>
      <c r="R198" s="802">
        <f>IF(INDEX(HwyTransitModelGroup,A178,1)=Hwy,D198*(1-N198)*0.00000110231131*(VLOOKUP(L198,EmAuto20,2)*VLOOKUP(ProjLoc,EmCost,2)+VLOOKUP(L198,EmAuto20,3)*VLOOKUP(ProjLoc,EmCost,3)*(1+CO2Uprater)^($B198-YearCurrent)+VLOOKUP(L198,EmAuto20,4)*VLOOKUP(ProjLoc,EmCost,4)+VLOOKUP(L198,EmAuto20,5)*VLOOKUP(ProjLoc,EmCost,5)+VLOOKUP(L198,EmAuto20,6)*VLOOKUP(ProjLoc,EmCost,6)+VLOOKUP(L198,EmAuto20,7)*VLOOKUP(ProjLoc,EmCost,7))+D198*N198*0.00000110231131*(VLOOKUP(L198,EmTruck20,2)*VLOOKUP(ProjLoc,EmCost,2)+VLOOKUP(L198,EmTruck20,3)*VLOOKUP(ProjLoc,EmCost,3)*(1+CO2Uprater)^($B198-YearCurrent)+VLOOKUP(L198,EmTruck20,4)*VLOOKUP(ProjLoc,EmCost,4)+VLOOKUP(L198,EmTruck20,5)*VLOOKUP(ProjLoc,EmCost,5)+VLOOKUP(L198,EmTruck20,6)*VLOOKUP(ProjLoc,EmCost,6)+VLOOKUP(L198,EmTruck20,7)*VLOOKUP(ProjLoc,EmCost,7)),0)</f>
        <v>643609.54634303506</v>
      </c>
      <c r="S198" s="729">
        <f>IF(INDEX(HwyTransitModelGroup,A178,1)=Hwy,O198*(1-M198)*0.00000110231131*(VLOOKUP(0,EmAuto20,2)*VLOOKUP(ProjLoc,EmCost,2)+VLOOKUP(0,EmAuto20,3)*VLOOKUP(ProjLoc,EmCost,3)*(1+CO2Uprater)^($B198-YearCurrent)+VLOOKUP(0,EmAuto20,4)*VLOOKUP(ProjLoc,EmCost,4)+VLOOKUP(0,EmAuto20,5)*VLOOKUP(ProjLoc,EmCost,5)+VLOOKUP(0,EmAuto20,6)*VLOOKUP(ProjLoc,EmCost,6)+VLOOKUP(0,EmAuto20,7)*VLOOKUP(ProjLoc,EmCost,7))+O198*M198*0.00000110231131*(VLOOKUP(0,EmTruck20,2)*VLOOKUP(ProjLoc,EmCost,2)+VLOOKUP(0,EmTruck20,3)*VLOOKUP(ProjLoc,EmCost,3)*(1+CO2Uprater)^($B198-YearCurrent)+VLOOKUP(0,EmTruck20,4)*VLOOKUP(ProjLoc,EmCost,4)+VLOOKUP(0,EmTruck20,5)*VLOOKUP(ProjLoc,EmCost,5)+VLOOKUP(0,EmTruck20,6)*VLOOKUP(ProjLoc,EmCost,6)+VLOOKUP(0,EmTruck20,7)*VLOOKUP(ProjLoc,EmCost,7)),0)</f>
        <v>0</v>
      </c>
      <c r="T198" s="802">
        <f>IF(INDEX(HwyTransitModelGroup,A178,1)=Hwy,P198*(1-N198)*0.00000110231131*(VLOOKUP(0,EmAuto20,2)*VLOOKUP(ProjLoc,EmCost,2)+VLOOKUP(0,EmAuto20,3)*VLOOKUP(ProjLoc,EmCost,3)*(1+CO2Uprater)^($B198-YearCurrent)+VLOOKUP(0,EmAuto20,4)*VLOOKUP(ProjLoc,EmCost,4)+VLOOKUP(0,EmAuto20,5)*VLOOKUP(ProjLoc,EmCost,5)+VLOOKUP(0,EmAuto20,6)*VLOOKUP(ProjLoc,EmCost,6)+VLOOKUP(0,EmAuto20,7)*VLOOKUP(ProjLoc,EmCost,7))+P198*N198*0.00000110231131*(VLOOKUP(0,EmTruck20,2)*VLOOKUP(ProjLoc,EmCost,2)+VLOOKUP(0,EmTruck20,3)*VLOOKUP(ProjLoc,EmCost,3)*(1+CO2Uprater)^($B198-YearCurrent)+VLOOKUP(0,EmTruck20,4)*VLOOKUP(ProjLoc,EmCost,4)+VLOOKUP(0,EmTruck20,5)*VLOOKUP(ProjLoc,EmCost,5)+VLOOKUP(0,EmTruck20,6)*VLOOKUP(ProjLoc,EmCost,6)+VLOOKUP(0,EmTruck20,7)*VLOOKUP(ProjLoc,EmCost,7)),0)</f>
        <v>0</v>
      </c>
      <c r="U198" s="729">
        <f>IF(INDEX(HwyTransitModelGroup,A178,1)=PARAMETERS!$J$9,C198*0.00000110231131*(VLOOKUP(K198,EmBus20,2)*VLOOKUP(ProjLoc,EmCost,2)+VLOOKUP(K198,EmBus20,3)*VLOOKUP(ProjLoc,EmCost,3)*(1+CO2Uprater)^($B198-YearCurrent)+VLOOKUP(K198,EmBus20,4)*VLOOKUP(ProjLoc,EmCost,4)+VLOOKUP(K198,EmBus20,5)*VLOOKUP(ProjLoc,EmCost,5)+VLOOKUP(K198,EmBus20,6)*VLOOKUP(ProjLoc,EmCost,6)+VLOOKUP(K198,EmBus20,7)*VLOOKUP(ProjLoc,EmCost,7)),0)</f>
        <v>0</v>
      </c>
      <c r="V198" s="802">
        <f>IF(INDEX(HwyTransitModelGroup,A178,1)=PARAMETERS!$J$9,D198*0.00000110231131*(VLOOKUP(L198,EmBus20,2)*VLOOKUP(ProjLoc,EmCost,2)+VLOOKUP(L198,EmBus20,3)*VLOOKUP(ProjLoc,EmCost,3)*(1+CO2Uprater)^($B198-YearCurrent)+VLOOKUP(L198,EmBus20,4)*VLOOKUP(ProjLoc,EmCost,4)+VLOOKUP(L198,EmBus20,5)*VLOOKUP(ProjLoc,EmCost,5)+VLOOKUP(L198,EmBus20,6)*VLOOKUP(ProjLoc,EmCost,6)+VLOOKUP(L198,EmBus20,7)*VLOOKUP(ProjLoc,EmCost,7)),0)</f>
        <v>0</v>
      </c>
      <c r="W198" s="808">
        <f>IF(INDEX(HwyTransitModelGroup,A178,1)=PARAMETERS!$J$10,C198*0.00000110231131*(PARAMETERS!$CQ$29*VLOOKUP(ProjLoc,EmCost,2)+PARAMETERS!$CR$29*VLOOKUP(ProjLoc,EmCost,3)*(1+CO2Uprater)^($B198-YearCurrent)+PARAMETERS!$CS$29*VLOOKUP(ProjLoc,EmCost,4)+PARAMETERS!$CT$29*VLOOKUP(ProjLoc,EmCost,5)+PARAMETERS!$CU$29*VLOOKUP(ProjLoc,EmCost,6)+PARAMETERS!$CV$29*VLOOKUP(ProjLoc,EmCost,7)),0)</f>
        <v>0</v>
      </c>
      <c r="X198" s="844">
        <f>IF(INDEX(HwyTransitModelGroup,A178,1)=PARAMETERS!$J$10,D198*0.00000110231131*(PARAMETERS!$CQ$29*VLOOKUP(ProjLoc,EmCost,2)+PARAMETERS!$CR$29*VLOOKUP(ProjLoc,EmCost,3)*(1+CO2Uprater)^($B198-YearCurrent)+PARAMETERS!$CS$29*VLOOKUP(ProjLoc,EmCost,4)+PARAMETERS!$CT$29*VLOOKUP(ProjLoc,EmCost,5)+PARAMETERS!$CU$29*VLOOKUP(ProjLoc,EmCost,6)+PARAMETERS!$CV$29*VLOOKUP(ProjLoc,EmCost,7)),0)</f>
        <v>0</v>
      </c>
      <c r="Y198" s="808">
        <f>IF(INDEX(HwyTransitModelGroup,A178,1)=PARAMETERS!$J$11,C198*0.00000110231131*(PARAMETERS!$CQ$37*VLOOKUP(ProjLoc,EmCost,2)+PARAMETERS!$CR$37*VLOOKUP(ProjLoc,EmCost,3)*(1+CO2Uprater)^($B198-YearCurrent)+PARAMETERS!$CS$37*VLOOKUP(ProjLoc,EmCost,4)+PARAMETERS!$CT$37*VLOOKUP(ProjLoc,EmCost,5)+PARAMETERS!$CU$37*VLOOKUP(ProjLoc,EmCost,6)+PARAMETERS!$CV$37*VLOOKUP(ProjLoc,EmCost,7)),0)</f>
        <v>0</v>
      </c>
      <c r="Z198" s="844">
        <f>IF(INDEX(HwyTransitModelGroup,A178,1)=PARAMETERS!$J$11,D198*0.00000110231131*(PARAMETERS!$CQ$37*VLOOKUP(ProjLoc,EmCost,2)+PARAMETERS!$CR$37*VLOOKUP(ProjLoc,EmCost,3)*(1+CO2Uprater)^($B198-YearCurrent)+PARAMETERS!$CS$37*VLOOKUP(ProjLoc,EmCost,4)+PARAMETERS!$CT$37*VLOOKUP(ProjLoc,EmCost,5)+PARAMETERS!$CU$37*VLOOKUP(ProjLoc,EmCost,6)+PARAMETERS!$CV$37*VLOOKUP(ProjLoc,EmCost,7)),0)</f>
        <v>0</v>
      </c>
      <c r="AA198" s="369">
        <f t="shared" si="80"/>
        <v>91896.127411406138</v>
      </c>
      <c r="AB198" s="370">
        <f t="shared" si="81"/>
        <v>51026.657488370169</v>
      </c>
      <c r="AC198" s="371"/>
      <c r="AD198" s="401">
        <f>IF(INDEX(HwyTransitModelGroup,A178,1)=Hwy,0.00000110231131*(C198*(1-M198)*VLOOKUP(K198,EmAuto20,2)-D198*(1-N198)*VLOOKUP(L198,EmAuto20,2)+(O198*(1-M198)-P198*(1-N198))*VLOOKUP(0,EmAuto20,2))+0.00000110231131*(C198*M198*VLOOKUP(K198,EmTruck20,2)-D198*N198*VLOOKUP(L198,EmTruck20,2)+(O198*M198-P198*N198)*VLOOKUP(0,EmTruck20,2)),0)</f>
        <v>0.94963538146878279</v>
      </c>
      <c r="AE198" s="863">
        <f>IF(INDEX(HwyTransitModelGroup,A178,1)=Hwy,0.00000110231131*(C198*(1-M198)*VLOOKUP(K198,EmAuto20,3)-D198*(1-N198)*VLOOKUP(L198,EmAuto20,3)+(O198*(1-M198)-P198*(1-N198))*VLOOKUP(0,EmAuto20,3))+0.00000110231131*(C198*M198*VLOOKUP(K198,EmTruck20,3)-D198*N198*VLOOKUP(L198,EmTruck20,3)+(O198*M198-P198*N198)*VLOOKUP(0,EmTruck20,3)),0)</f>
        <v>1236.3205660182768</v>
      </c>
      <c r="AF198" s="861">
        <f>IF(INDEX(HwyTransitModelGroup,A178,1)=Hwy,0.00000110231131*(C198*(1-M198)*VLOOKUP(K198,EmAuto20,4)-D198*(1-N198)*VLOOKUP(L198,EmAuto20,4)+(O198*(1-M198)-P198*(1-N198))*VLOOKUP(0,EmAuto20,4))+0.00000110231131*(C198*M198*VLOOKUP(K198,EmTruck20,4)-D198*N198*VLOOKUP(L198,EmTruck20,4)+(O198*M198-P198*N198)*VLOOKUP(0,EmTruck20,4)),0)</f>
        <v>0.61553164333510557</v>
      </c>
      <c r="AG198" s="863">
        <f>IF(INDEX(HwyTransitModelGroup,A178,1)=Hwy,0.00000110231131*(C198*(1-M198)*VLOOKUP(K198,EmAuto20,5)-D198*(1-N198)*VLOOKUP(L198,EmAuto20,5)+(O198*(1-M198)-P198*(1-N198))*VLOOKUP(0,EmAuto20,5))+0.00000110231131*(C198*M198*VLOOKUP(K198,EmTruck20,5)-D198*N198*VLOOKUP(L198,EmTruck20,5)+(O198*M198-P198*N198)*VLOOKUP(0,EmTruck20,5)),0)</f>
        <v>1.6555903169628933E-2</v>
      </c>
      <c r="AH198" s="861">
        <f>IF(INDEX(HwyTransitModelGroup,A178,1)=Hwy,0.00000110231131*(C198*(1-M198)*VLOOKUP(K198,EmAuto20,6)-D198*(1-N198)*VLOOKUP(L198,EmAuto20,6)+(O198*(1-M198)-P198*(1-N198))*VLOOKUP(0,EmAuto20,6))+0.00000110231131*(C198*M198*VLOOKUP(K198,EmTruck20,6)-D198*N198*VLOOKUP(L198,EmTruck20,6)+(O198*M198-P198*N198)*VLOOKUP(0,EmTruck20,6)),0)</f>
        <v>1.1897801599868925E-2</v>
      </c>
      <c r="AI198" s="863">
        <f>IF(INDEX(HwyTransitModelGroup,A178,1)=Hwy,0.00000110231131*(C198*(1-M198)*VLOOKUP(K198,EmAuto20,7)-D198*(1-N198)*VLOOKUP(L198,EmAuto20,7)+(O198*(1-M198)-P198*(1-N198))*VLOOKUP(0,EmAuto20,7))+0.00000110231131*(C198*M198*VLOOKUP(K198,EmTruck20,7)-D198*N198*VLOOKUP(L198,EmTruck20,7)+(O198*M198-P198*N198)*VLOOKUP(0,EmTruck20,7)),0)</f>
        <v>2.0899723187694268E-2</v>
      </c>
      <c r="AJ198" s="861">
        <f>IF(INDEX(HwyTransitModelGroup,A178,1)=Hwy,0.00000110231131*(C198*(1-M198)*VLOOKUP(K198,EmAuto20,8)-D198*(1-N198)*VLOOKUP(L198,EmAuto20,8)+(O198*(1-M198)-P198*(1-N198))*VLOOKUP(0,EmAuto20,8))+0.00000110231131*(C198*M198*VLOOKUP(K198,EmTruck20,8)-D198*N198*VLOOKUP(L198,EmTruck20,8)+(O198*M198-P198*N198)*VLOOKUP(0,EmTruck20,8)),0)</f>
        <v>1.5882442701711824E-2</v>
      </c>
      <c r="AK198" s="401">
        <f>IF(INDEX(HwyTransitModelGroup,A178,1)=PARAMETERS!$J$9,0.00000110231131*(C198*VLOOKUP(K198,EmBus20,2)-D198*VLOOKUP(L198,EmBus20,2)+(O198-P198)*VLOOKUP(0,EmBus20,2)),0)</f>
        <v>0</v>
      </c>
      <c r="AL198" s="863">
        <f>IF(INDEX(HwyTransitModelGroup,A178,1)=PARAMETERS!$J$9,0.00000110231131*(C198*VLOOKUP(K198,EmBus20,3)-D198*VLOOKUP(L198,EmBus20,3)+(O198-P198)*VLOOKUP(0,EmBus20,3)),0)</f>
        <v>0</v>
      </c>
      <c r="AM198" s="861">
        <f>IF(INDEX(HwyTransitModelGroup,A178,1)=PARAMETERS!$J$9,0.00000110231131*(C198*VLOOKUP(K198,EmBus20,4)-D198*VLOOKUP(L198,EmBus20,4)+(O198-P198)*VLOOKUP(0,EmBus20,4)),0)</f>
        <v>0</v>
      </c>
      <c r="AN198" s="863">
        <f>IF(INDEX(HwyTransitModelGroup,A178,1)=PARAMETERS!$J$9,0.00000110231131*(C198*VLOOKUP(K198,EmBus20,5)-D198*VLOOKUP(L198,EmBus20,5)+(O198-P198)*VLOOKUP(0,EmBus20,5)),0)</f>
        <v>0</v>
      </c>
      <c r="AO198" s="861">
        <f>IF(INDEX(HwyTransitModelGroup,A178,1)=PARAMETERS!$J$9,0.00000110231131*(C198*VLOOKUP(K198,EmBus20,6)-D198*VLOOKUP(L198,EmBus20,6)+(O198-P198)*VLOOKUP(0,EmBus20,6)),0)</f>
        <v>0</v>
      </c>
      <c r="AP198" s="863">
        <f>IF(INDEX(HwyTransitModelGroup,A178,1)=PARAMETERS!$J$9,0.00000110231131*(C198*VLOOKUP(K198,EmBus20,7)-D198*VLOOKUP(L198,EmBus20,7)+(O198-P198)*VLOOKUP(0,EmBus20,7)),0)</f>
        <v>0</v>
      </c>
      <c r="AQ198" s="861">
        <f>IF(INDEX(HwyTransitModelGroup,A178,1)=PARAMETERS!$J$9,0.00000110231131*(C198*VLOOKUP(K198,EmBus20,8)-D198*VLOOKUP(L198,EmBus20,8)+(O198-P198)*VLOOKUP(0,EmBus20,8)),0)</f>
        <v>0</v>
      </c>
      <c r="AR198" s="401">
        <f>IF(INDEX(HwyTransitModelGroup,A178,1)=PARAMETERS!$J$10,0.00000110231131*((C198-D198)*PARAMETERS!$CQ$29),0)</f>
        <v>0</v>
      </c>
      <c r="AS198" s="863">
        <f>IF(INDEX(HwyTransitModelGroup,A178,1)=PARAMETERS!$J$10,0.00000110231131*((C198-D198)*PARAMETERS!$CR$29),0)</f>
        <v>0</v>
      </c>
      <c r="AT198" s="861">
        <f>IF(INDEX(HwyTransitModelGroup,A178,1)=PARAMETERS!$J$10,0.00000110231131*((C198-D198)*PARAMETERS!$CS$29),0)</f>
        <v>0</v>
      </c>
      <c r="AU198" s="863">
        <f>IF(INDEX(HwyTransitModelGroup,A178,1)=PARAMETERS!$J$10,0.00000110231131*((C198-D198)*PARAMETERS!$CT$29),0)</f>
        <v>0</v>
      </c>
      <c r="AV198" s="861">
        <f>IF(INDEX(HwyTransitModelGroup,A178,1)=PARAMETERS!$J$10,0.00000110231131*((C198-D198)*PARAMETERS!$CU$29),0)</f>
        <v>0</v>
      </c>
      <c r="AW198" s="863">
        <f>IF(INDEX(HwyTransitModelGroup,A178,1)=PARAMETERS!$J$10,0.00000110231131*((C198-D198)*PARAMETERS!$CV$29),0)</f>
        <v>0</v>
      </c>
      <c r="AX198" s="861">
        <f>IF(INDEX(HwyTransitModelGroup,A178,1)=PARAMETERS!$J$10,0.00000110231131*((C198-D198)*PARAMETERS!$CW$29),0)</f>
        <v>0</v>
      </c>
      <c r="AY198" s="401">
        <f>IF(INDEX(HwyTransitModelGroup,A178,1)=PARAMETERS!$J$11,0.00000110231131*((C198-D198)*PARAMETERS!$CQ$37),0)</f>
        <v>0</v>
      </c>
      <c r="AZ198" s="863">
        <f>IF(INDEX(HwyTransitModelGroup,A178,1)=PARAMETERS!$J$11,0.00000110231131*((C198-D198)*PARAMETERS!$CR$37),0)</f>
        <v>0</v>
      </c>
      <c r="BA198" s="861">
        <f>IF(INDEX(HwyTransitModelGroup,A178,1)=PARAMETERS!$J$11,0.00000110231131*((C198-D198)*PARAMETERS!$CS$37),0)</f>
        <v>0</v>
      </c>
      <c r="BB198" s="863">
        <f>IF(INDEX(HwyTransitModelGroup,A178,1)=PARAMETERS!$J$11,0.00000110231131*((C198-D198)*PARAMETERS!$CT$37),0)</f>
        <v>0</v>
      </c>
      <c r="BC198" s="861">
        <f>IF(INDEX(HwyTransitModelGroup,A178,1)=PARAMETERS!$J$11,0.00000110231131*((C198-D198)*PARAMETERS!$CU$37),0)</f>
        <v>0</v>
      </c>
      <c r="BD198" s="863">
        <f>IF(INDEX(HwyTransitModelGroup,A178,1)=PARAMETERS!$J$11,0.00000110231131*((C198-D198)*PARAMETERS!$CV$37),0)</f>
        <v>0</v>
      </c>
      <c r="BE198" s="865">
        <f>IF(INDEX(HwyTransitModelGroup,A178,1)=PARAMETERS!$J$11,0.00000110231131*((C198-D198)*PARAMETERS!$CW$37),0)</f>
        <v>0</v>
      </c>
      <c r="BF198" s="729">
        <f t="shared" si="82"/>
        <v>42.183905428015571</v>
      </c>
      <c r="BG198" s="867">
        <f t="shared" si="83"/>
        <v>44348.079567893801</v>
      </c>
      <c r="BH198" s="867">
        <f t="shared" si="84"/>
        <v>5160.9213647953584</v>
      </c>
      <c r="BI198" s="867">
        <f t="shared" si="85"/>
        <v>1072.8120532308815</v>
      </c>
      <c r="BJ198" s="867">
        <f t="shared" si="86"/>
        <v>389.77918643521303</v>
      </c>
      <c r="BK198" s="869">
        <f t="shared" si="87"/>
        <v>12.881410586952775</v>
      </c>
      <c r="BL198" s="374"/>
      <c r="BN198" s="375">
        <f t="shared" si="92"/>
        <v>2030</v>
      </c>
      <c r="BO198" s="871">
        <f t="shared" ca="1" si="90"/>
        <v>1.1103396637329987E-5</v>
      </c>
      <c r="BP198" s="871">
        <f t="shared" ca="1" si="91"/>
        <v>-1.5136231665983501E-4</v>
      </c>
      <c r="BQ198" s="871">
        <f t="shared" ca="1" si="91"/>
        <v>1.0887482952719517E-4</v>
      </c>
      <c r="BR198" s="871">
        <f t="shared" ca="1" si="91"/>
        <v>-2.4676217526793307E-4</v>
      </c>
      <c r="BS198" s="871">
        <f t="shared" ca="1" si="91"/>
        <v>9.5652363031626525E-3</v>
      </c>
      <c r="BT198" s="871">
        <f t="shared" ca="1" si="91"/>
        <v>1.3042167625172E-2</v>
      </c>
    </row>
    <row r="199" spans="2:72" x14ac:dyDescent="0.25">
      <c r="B199" s="375">
        <f t="shared" si="88"/>
        <v>2038</v>
      </c>
      <c r="C199" s="401">
        <f>MAX(TREND(C184:C185,B184:B185,B199),0)</f>
        <v>20613448</v>
      </c>
      <c r="D199" s="402">
        <f>MAX(TREND(D184:D185,B184:B185,B199),0)</f>
        <v>18009465</v>
      </c>
      <c r="E199" s="401">
        <f>MAX(TREND(E184:E185,B184:B185,B199),0)</f>
        <v>297767</v>
      </c>
      <c r="F199" s="402">
        <f>MAX(TREND(F184:F185,B184:B185,B199),0)</f>
        <v>259515</v>
      </c>
      <c r="G199" s="401">
        <f>MAX(TREND(G184:G185,B184:B185,B199),0)</f>
        <v>0</v>
      </c>
      <c r="H199" s="402">
        <f>MAX(TREND(H184:H185,B184:B185,B199),0)</f>
        <v>0</v>
      </c>
      <c r="I199" s="401">
        <f>MAX(TREND(I184:I185,B184:B185,B199),0)</f>
        <v>0</v>
      </c>
      <c r="J199" s="402">
        <f>MAX(TREND(J184:J185,B184:B185,B199),0)</f>
        <v>0</v>
      </c>
      <c r="K199" s="435">
        <f>IFERROR(IF(INDEX(HwyTransitModelGroup,A178,1)=Hwy,MAX(5,ROUND(C199/E199,1)),MAX(5,ROUND(G199/I199,1))),55)</f>
        <v>69.2</v>
      </c>
      <c r="L199" s="436">
        <f>IFERROR(IF(INDEX(HwyTransitModelGroup,A178,1)=Hwy,MAX(5,ROUND(D199/F199,1)),MAX(5,ROUND(H199/J199,1))),55)</f>
        <v>69.400000000000006</v>
      </c>
      <c r="M199" s="405">
        <f>MIN(MAX(TREND(M184:M185,B184:B185,B199),0),1)</f>
        <v>0.24</v>
      </c>
      <c r="N199" s="406">
        <f>MIN(MAX(TREND(N184:N185,B184:B185,B199),0),1)</f>
        <v>0.24</v>
      </c>
      <c r="O199" s="401">
        <f>MAX(TREND(O184:O185,B184:B185,B199),0)</f>
        <v>0</v>
      </c>
      <c r="P199" s="402">
        <f>MAX(TREND(P184:P185,B184:B185,B199),0)</f>
        <v>0</v>
      </c>
      <c r="Q199" s="729">
        <f>IF(INDEX(HwyTransitModelGroup,A178,1)=Hwy,C199*(1-M199)*0.00000110231131*(VLOOKUP(K199,EmAuto20,2)*VLOOKUP(ProjLoc,EmCost,2)+VLOOKUP(K199,EmAuto20,3)*VLOOKUP(ProjLoc,EmCost,3)*(1+CO2Uprater)^($B199-YearCurrent)+VLOOKUP(K199,EmAuto20,4)*VLOOKUP(ProjLoc,EmCost,4)+VLOOKUP(K199,EmAuto20,5)*VLOOKUP(ProjLoc,EmCost,5)+VLOOKUP(K199,EmAuto20,6)*VLOOKUP(ProjLoc,EmCost,6)+VLOOKUP(K199,EmAuto20,7)*VLOOKUP(ProjLoc,EmCost,7))+C199*M199*0.00000110231131*(VLOOKUP(K199,EmTruck20,2)*VLOOKUP(ProjLoc,EmCost,2)+VLOOKUP(K199,EmTruck20,3)*VLOOKUP(ProjLoc,EmCost,3)*(1+CO2Uprater)^($B199-YearCurrent)+VLOOKUP(K199,EmTruck20,4)*VLOOKUP(ProjLoc,EmCost,4)+VLOOKUP(K199,EmTruck20,5)*VLOOKUP(ProjLoc,EmCost,5)+VLOOKUP(K199,EmTruck20,6)*VLOOKUP(ProjLoc,EmCost,6)+VLOOKUP(K199,EmTruck20,7)*VLOOKUP(ProjLoc,EmCost,7)),0)</f>
        <v>757068.95067054103</v>
      </c>
      <c r="R199" s="802">
        <f>IF(INDEX(HwyTransitModelGroup,A178,1)=Hwy,D199*(1-N199)*0.00000110231131*(VLOOKUP(L199,EmAuto20,2)*VLOOKUP(ProjLoc,EmCost,2)+VLOOKUP(L199,EmAuto20,3)*VLOOKUP(ProjLoc,EmCost,3)*(1+CO2Uprater)^($B199-YearCurrent)+VLOOKUP(L199,EmAuto20,4)*VLOOKUP(ProjLoc,EmCost,4)+VLOOKUP(L199,EmAuto20,5)*VLOOKUP(ProjLoc,EmCost,5)+VLOOKUP(L199,EmAuto20,6)*VLOOKUP(ProjLoc,EmCost,6)+VLOOKUP(L199,EmAuto20,7)*VLOOKUP(ProjLoc,EmCost,7))+D199*N199*0.00000110231131*(VLOOKUP(L199,EmTruck20,2)*VLOOKUP(ProjLoc,EmCost,2)+VLOOKUP(L199,EmTruck20,3)*VLOOKUP(ProjLoc,EmCost,3)*(1+CO2Uprater)^($B199-YearCurrent)+VLOOKUP(L199,EmTruck20,4)*VLOOKUP(ProjLoc,EmCost,4)+VLOOKUP(L199,EmTruck20,5)*VLOOKUP(ProjLoc,EmCost,5)+VLOOKUP(L199,EmTruck20,6)*VLOOKUP(ProjLoc,EmCost,6)+VLOOKUP(L199,EmTruck20,7)*VLOOKUP(ProjLoc,EmCost,7)),0)</f>
        <v>661432.61281120148</v>
      </c>
      <c r="S199" s="729">
        <f>IF(INDEX(HwyTransitModelGroup,A178,1)=Hwy,O199*(1-M199)*0.00000110231131*(VLOOKUP(0,EmAuto20,2)*VLOOKUP(ProjLoc,EmCost,2)+VLOOKUP(0,EmAuto20,3)*VLOOKUP(ProjLoc,EmCost,3)*(1+CO2Uprater)^($B199-YearCurrent)+VLOOKUP(0,EmAuto20,4)*VLOOKUP(ProjLoc,EmCost,4)+VLOOKUP(0,EmAuto20,5)*VLOOKUP(ProjLoc,EmCost,5)+VLOOKUP(0,EmAuto20,6)*VLOOKUP(ProjLoc,EmCost,6)+VLOOKUP(0,EmAuto20,7)*VLOOKUP(ProjLoc,EmCost,7))+O199*M199*0.00000110231131*(VLOOKUP(0,EmTruck20,2)*VLOOKUP(ProjLoc,EmCost,2)+VLOOKUP(0,EmTruck20,3)*VLOOKUP(ProjLoc,EmCost,3)*(1+CO2Uprater)^($B199-YearCurrent)+VLOOKUP(0,EmTruck20,4)*VLOOKUP(ProjLoc,EmCost,4)+VLOOKUP(0,EmTruck20,5)*VLOOKUP(ProjLoc,EmCost,5)+VLOOKUP(0,EmTruck20,6)*VLOOKUP(ProjLoc,EmCost,6)+VLOOKUP(0,EmTruck20,7)*VLOOKUP(ProjLoc,EmCost,7)),0)</f>
        <v>0</v>
      </c>
      <c r="T199" s="802">
        <f>IF(INDEX(HwyTransitModelGroup,A178,1)=Hwy,P199*(1-N199)*0.00000110231131*(VLOOKUP(0,EmAuto20,2)*VLOOKUP(ProjLoc,EmCost,2)+VLOOKUP(0,EmAuto20,3)*VLOOKUP(ProjLoc,EmCost,3)*(1+CO2Uprater)^($B199-YearCurrent)+VLOOKUP(0,EmAuto20,4)*VLOOKUP(ProjLoc,EmCost,4)+VLOOKUP(0,EmAuto20,5)*VLOOKUP(ProjLoc,EmCost,5)+VLOOKUP(0,EmAuto20,6)*VLOOKUP(ProjLoc,EmCost,6)+VLOOKUP(0,EmAuto20,7)*VLOOKUP(ProjLoc,EmCost,7))+P199*N199*0.00000110231131*(VLOOKUP(0,EmTruck20,2)*VLOOKUP(ProjLoc,EmCost,2)+VLOOKUP(0,EmTruck20,3)*VLOOKUP(ProjLoc,EmCost,3)*(1+CO2Uprater)^($B199-YearCurrent)+VLOOKUP(0,EmTruck20,4)*VLOOKUP(ProjLoc,EmCost,4)+VLOOKUP(0,EmTruck20,5)*VLOOKUP(ProjLoc,EmCost,5)+VLOOKUP(0,EmTruck20,6)*VLOOKUP(ProjLoc,EmCost,6)+VLOOKUP(0,EmTruck20,7)*VLOOKUP(ProjLoc,EmCost,7)),0)</f>
        <v>0</v>
      </c>
      <c r="U199" s="729">
        <f>IF(INDEX(HwyTransitModelGroup,A178,1)=PARAMETERS!$J$9,C199*0.00000110231131*(VLOOKUP(K199,EmBus20,2)*VLOOKUP(ProjLoc,EmCost,2)+VLOOKUP(K199,EmBus20,3)*VLOOKUP(ProjLoc,EmCost,3)*(1+CO2Uprater)^($B199-YearCurrent)+VLOOKUP(K199,EmBus20,4)*VLOOKUP(ProjLoc,EmCost,4)+VLOOKUP(K199,EmBus20,5)*VLOOKUP(ProjLoc,EmCost,5)+VLOOKUP(K199,EmBus20,6)*VLOOKUP(ProjLoc,EmCost,6)+VLOOKUP(K199,EmBus20,7)*VLOOKUP(ProjLoc,EmCost,7)),0)</f>
        <v>0</v>
      </c>
      <c r="V199" s="802">
        <f>IF(INDEX(HwyTransitModelGroup,A178,1)=PARAMETERS!$J$9,D199*0.00000110231131*(VLOOKUP(L199,EmBus20,2)*VLOOKUP(ProjLoc,EmCost,2)+VLOOKUP(L199,EmBus20,3)*VLOOKUP(ProjLoc,EmCost,3)*(1+CO2Uprater)^($B199-YearCurrent)+VLOOKUP(L199,EmBus20,4)*VLOOKUP(ProjLoc,EmCost,4)+VLOOKUP(L199,EmBus20,5)*VLOOKUP(ProjLoc,EmCost,5)+VLOOKUP(L199,EmBus20,6)*VLOOKUP(ProjLoc,EmCost,6)+VLOOKUP(L199,EmBus20,7)*VLOOKUP(ProjLoc,EmCost,7)),0)</f>
        <v>0</v>
      </c>
      <c r="W199" s="808">
        <f>IF(INDEX(HwyTransitModelGroup,A178,1)=PARAMETERS!$J$10,C199*0.00000110231131*(PARAMETERS!$CQ$29*VLOOKUP(ProjLoc,EmCost,2)+PARAMETERS!$CR$29*VLOOKUP(ProjLoc,EmCost,3)*(1+CO2Uprater)^($B199-YearCurrent)+PARAMETERS!$CS$29*VLOOKUP(ProjLoc,EmCost,4)+PARAMETERS!$CT$29*VLOOKUP(ProjLoc,EmCost,5)+PARAMETERS!$CU$29*VLOOKUP(ProjLoc,EmCost,6)+PARAMETERS!$CV$29*VLOOKUP(ProjLoc,EmCost,7)),0)</f>
        <v>0</v>
      </c>
      <c r="X199" s="844">
        <f>IF(INDEX(HwyTransitModelGroup,A178,1)=PARAMETERS!$J$10,D199*0.00000110231131*(PARAMETERS!$CQ$29*VLOOKUP(ProjLoc,EmCost,2)+PARAMETERS!$CR$29*VLOOKUP(ProjLoc,EmCost,3)*(1+CO2Uprater)^($B199-YearCurrent)+PARAMETERS!$CS$29*VLOOKUP(ProjLoc,EmCost,4)+PARAMETERS!$CT$29*VLOOKUP(ProjLoc,EmCost,5)+PARAMETERS!$CU$29*VLOOKUP(ProjLoc,EmCost,6)+PARAMETERS!$CV$29*VLOOKUP(ProjLoc,EmCost,7)),0)</f>
        <v>0</v>
      </c>
      <c r="Y199" s="808">
        <f>IF(INDEX(HwyTransitModelGroup,A178,1)=PARAMETERS!$J$11,C199*0.00000110231131*(PARAMETERS!$CQ$37*VLOOKUP(ProjLoc,EmCost,2)+PARAMETERS!$CR$37*VLOOKUP(ProjLoc,EmCost,3)*(1+CO2Uprater)^($B199-YearCurrent)+PARAMETERS!$CS$37*VLOOKUP(ProjLoc,EmCost,4)+PARAMETERS!$CT$37*VLOOKUP(ProjLoc,EmCost,5)+PARAMETERS!$CU$37*VLOOKUP(ProjLoc,EmCost,6)+PARAMETERS!$CV$37*VLOOKUP(ProjLoc,EmCost,7)),0)</f>
        <v>0</v>
      </c>
      <c r="Z199" s="844">
        <f>IF(INDEX(HwyTransitModelGroup,A178,1)=PARAMETERS!$J$11,D199*0.00000110231131*(PARAMETERS!$CQ$37*VLOOKUP(ProjLoc,EmCost,2)+PARAMETERS!$CR$37*VLOOKUP(ProjLoc,EmCost,3)*(1+CO2Uprater)^($B199-YearCurrent)+PARAMETERS!$CS$37*VLOOKUP(ProjLoc,EmCost,4)+PARAMETERS!$CT$37*VLOOKUP(ProjLoc,EmCost,5)+PARAMETERS!$CU$37*VLOOKUP(ProjLoc,EmCost,6)+PARAMETERS!$CV$37*VLOOKUP(ProjLoc,EmCost,7)),0)</f>
        <v>0</v>
      </c>
      <c r="AA199" s="369">
        <f t="shared" si="80"/>
        <v>95636.337859339546</v>
      </c>
      <c r="AB199" s="370">
        <f t="shared" si="81"/>
        <v>51061.022675754713</v>
      </c>
      <c r="AC199" s="371"/>
      <c r="AD199" s="401">
        <f>IF(INDEX(HwyTransitModelGroup,A178,1)=Hwy,0.00000110231131*(C199*(1-M199)*VLOOKUP(K199,EmAuto20,2)-D199*(1-N199)*VLOOKUP(L199,EmAuto20,2)+(O199*(1-M199)-P199*(1-N199))*VLOOKUP(0,EmAuto20,2))+0.00000110231131*(C199*M199*VLOOKUP(K199,EmTruck20,2)-D199*N199*VLOOKUP(L199,EmTruck20,2)+(O199*M199-P199*N199)*VLOOKUP(0,EmTruck20,2)),0)</f>
        <v>0.97140073820135131</v>
      </c>
      <c r="AE199" s="863">
        <f>IF(INDEX(HwyTransitModelGroup,A178,1)=Hwy,0.00000110231131*(C199*(1-M199)*VLOOKUP(K199,EmAuto20,3)-D199*(1-N199)*VLOOKUP(L199,EmAuto20,3)+(O199*(1-M199)-P199*(1-N199))*VLOOKUP(0,EmAuto20,3))+0.00000110231131*(C199*M199*VLOOKUP(K199,EmTruck20,3)-D199*N199*VLOOKUP(L199,EmTruck20,3)+(O199*M199-P199*N199)*VLOOKUP(0,EmTruck20,3)),0)</f>
        <v>1264.656660776644</v>
      </c>
      <c r="AF199" s="861">
        <f>IF(INDEX(HwyTransitModelGroup,A178,1)=Hwy,0.00000110231131*(C199*(1-M199)*VLOOKUP(K199,EmAuto20,4)-D199*(1-N199)*VLOOKUP(L199,EmAuto20,4)+(O199*(1-M199)-P199*(1-N199))*VLOOKUP(0,EmAuto20,4))+0.00000110231131*(C199*M199*VLOOKUP(K199,EmTruck20,4)-D199*N199*VLOOKUP(L199,EmTruck20,4)+(O199*M199-P199*N199)*VLOOKUP(0,EmTruck20,4)),0)</f>
        <v>0.62963944308520603</v>
      </c>
      <c r="AG199" s="863">
        <f>IF(INDEX(HwyTransitModelGroup,A178,1)=Hwy,0.00000110231131*(C199*(1-M199)*VLOOKUP(K199,EmAuto20,5)-D199*(1-N199)*VLOOKUP(L199,EmAuto20,5)+(O199*(1-M199)-P199*(1-N199))*VLOOKUP(0,EmAuto20,5))+0.00000110231131*(C199*M199*VLOOKUP(K199,EmTruck20,5)-D199*N199*VLOOKUP(L199,EmTruck20,5)+(O199*M199-P199*N199)*VLOOKUP(0,EmTruck20,5)),0)</f>
        <v>1.6935359480491605E-2</v>
      </c>
      <c r="AH199" s="861">
        <f>IF(INDEX(HwyTransitModelGroup,A178,1)=Hwy,0.00000110231131*(C199*(1-M199)*VLOOKUP(K199,EmAuto20,6)-D199*(1-N199)*VLOOKUP(L199,EmAuto20,6)+(O199*(1-M199)-P199*(1-N199))*VLOOKUP(0,EmAuto20,6))+0.00000110231131*(C199*M199*VLOOKUP(K199,EmTruck20,6)-D199*N199*VLOOKUP(L199,EmTruck20,6)+(O199*M199-P199*N199)*VLOOKUP(0,EmTruck20,6)),0)</f>
        <v>1.2170495626658385E-2</v>
      </c>
      <c r="AI199" s="863">
        <f>IF(INDEX(HwyTransitModelGroup,A178,1)=Hwy,0.00000110231131*(C199*(1-M199)*VLOOKUP(K199,EmAuto20,7)-D199*(1-N199)*VLOOKUP(L199,EmAuto20,7)+(O199*(1-M199)-P199*(1-N199))*VLOOKUP(0,EmAuto20,7))+0.00000110231131*(C199*M199*VLOOKUP(K199,EmTruck20,7)-D199*N199*VLOOKUP(L199,EmTruck20,7)+(O199*M199-P199*N199)*VLOOKUP(0,EmTruck20,7)),0)</f>
        <v>2.1378738544186704E-2</v>
      </c>
      <c r="AJ199" s="861">
        <f>IF(INDEX(HwyTransitModelGroup,A178,1)=Hwy,0.00000110231131*(C199*(1-M199)*VLOOKUP(K199,EmAuto20,8)-D199*(1-N199)*VLOOKUP(L199,EmAuto20,8)+(O199*(1-M199)-P199*(1-N199))*VLOOKUP(0,EmAuto20,8))+0.00000110231131*(C199*M199*VLOOKUP(K199,EmTruck20,8)-D199*N199*VLOOKUP(L199,EmTruck20,8)+(O199*M199-P199*N199)*VLOOKUP(0,EmTruck20,8)),0)</f>
        <v>1.6246463501624144E-2</v>
      </c>
      <c r="AK199" s="401">
        <f>IF(INDEX(HwyTransitModelGroup,A178,1)=PARAMETERS!$J$9,0.00000110231131*(C199*VLOOKUP(K199,EmBus20,2)-D199*VLOOKUP(L199,EmBus20,2)+(O199-P199)*VLOOKUP(0,EmBus20,2)),0)</f>
        <v>0</v>
      </c>
      <c r="AL199" s="863">
        <f>IF(INDEX(HwyTransitModelGroup,A178,1)=PARAMETERS!$J$9,0.00000110231131*(C199*VLOOKUP(K199,EmBus20,3)-D199*VLOOKUP(L199,EmBus20,3)+(O199-P199)*VLOOKUP(0,EmBus20,3)),0)</f>
        <v>0</v>
      </c>
      <c r="AM199" s="861">
        <f>IF(INDEX(HwyTransitModelGroup,A178,1)=PARAMETERS!$J$9,0.00000110231131*(C199*VLOOKUP(K199,EmBus20,4)-D199*VLOOKUP(L199,EmBus20,4)+(O199-P199)*VLOOKUP(0,EmBus20,4)),0)</f>
        <v>0</v>
      </c>
      <c r="AN199" s="863">
        <f>IF(INDEX(HwyTransitModelGroup,A178,1)=PARAMETERS!$J$9,0.00000110231131*(C199*VLOOKUP(K199,EmBus20,5)-D199*VLOOKUP(L199,EmBus20,5)+(O199-P199)*VLOOKUP(0,EmBus20,5)),0)</f>
        <v>0</v>
      </c>
      <c r="AO199" s="861">
        <f>IF(INDEX(HwyTransitModelGroup,A178,1)=PARAMETERS!$J$9,0.00000110231131*(C199*VLOOKUP(K199,EmBus20,6)-D199*VLOOKUP(L199,EmBus20,6)+(O199-P199)*VLOOKUP(0,EmBus20,6)),0)</f>
        <v>0</v>
      </c>
      <c r="AP199" s="863">
        <f>IF(INDEX(HwyTransitModelGroup,A178,1)=PARAMETERS!$J$9,0.00000110231131*(C199*VLOOKUP(K199,EmBus20,7)-D199*VLOOKUP(L199,EmBus20,7)+(O199-P199)*VLOOKUP(0,EmBus20,7)),0)</f>
        <v>0</v>
      </c>
      <c r="AQ199" s="861">
        <f>IF(INDEX(HwyTransitModelGroup,A178,1)=PARAMETERS!$J$9,0.00000110231131*(C199*VLOOKUP(K199,EmBus20,8)-D199*VLOOKUP(L199,EmBus20,8)+(O199-P199)*VLOOKUP(0,EmBus20,8)),0)</f>
        <v>0</v>
      </c>
      <c r="AR199" s="401">
        <f>IF(INDEX(HwyTransitModelGroup,A178,1)=PARAMETERS!$J$10,0.00000110231131*((C199-D199)*PARAMETERS!$CQ$29),0)</f>
        <v>0</v>
      </c>
      <c r="AS199" s="863">
        <f>IF(INDEX(HwyTransitModelGroup,A178,1)=PARAMETERS!$J$10,0.00000110231131*((C199-D199)*PARAMETERS!$CR$29),0)</f>
        <v>0</v>
      </c>
      <c r="AT199" s="861">
        <f>IF(INDEX(HwyTransitModelGroup,A178,1)=PARAMETERS!$J$10,0.00000110231131*((C199-D199)*PARAMETERS!$CS$29),0)</f>
        <v>0</v>
      </c>
      <c r="AU199" s="863">
        <f>IF(INDEX(HwyTransitModelGroup,A178,1)=PARAMETERS!$J$10,0.00000110231131*((C199-D199)*PARAMETERS!$CT$29),0)</f>
        <v>0</v>
      </c>
      <c r="AV199" s="861">
        <f>IF(INDEX(HwyTransitModelGroup,A178,1)=PARAMETERS!$J$10,0.00000110231131*((C199-D199)*PARAMETERS!$CU$29),0)</f>
        <v>0</v>
      </c>
      <c r="AW199" s="863">
        <f>IF(INDEX(HwyTransitModelGroup,A178,1)=PARAMETERS!$J$10,0.00000110231131*((C199-D199)*PARAMETERS!$CV$29),0)</f>
        <v>0</v>
      </c>
      <c r="AX199" s="861">
        <f>IF(INDEX(HwyTransitModelGroup,A178,1)=PARAMETERS!$J$10,0.00000110231131*((C199-D199)*PARAMETERS!$CW$29),0)</f>
        <v>0</v>
      </c>
      <c r="AY199" s="401">
        <f>IF(INDEX(HwyTransitModelGroup,A178,1)=PARAMETERS!$J$11,0.00000110231131*((C199-D199)*PARAMETERS!$CQ$37),0)</f>
        <v>0</v>
      </c>
      <c r="AZ199" s="863">
        <f>IF(INDEX(HwyTransitModelGroup,A178,1)=PARAMETERS!$J$11,0.00000110231131*((C199-D199)*PARAMETERS!$CR$37),0)</f>
        <v>0</v>
      </c>
      <c r="BA199" s="861">
        <f>IF(INDEX(HwyTransitModelGroup,A178,1)=PARAMETERS!$J$11,0.00000110231131*((C199-D199)*PARAMETERS!$CS$37),0)</f>
        <v>0</v>
      </c>
      <c r="BB199" s="863">
        <f>IF(INDEX(HwyTransitModelGroup,A178,1)=PARAMETERS!$J$11,0.00000110231131*((C199-D199)*PARAMETERS!$CT$37),0)</f>
        <v>0</v>
      </c>
      <c r="BC199" s="861">
        <f>IF(INDEX(HwyTransitModelGroup,A178,1)=PARAMETERS!$J$11,0.00000110231131*((C199-D199)*PARAMETERS!$CU$37),0)</f>
        <v>0</v>
      </c>
      <c r="BD199" s="863">
        <f>IF(INDEX(HwyTransitModelGroup,A178,1)=PARAMETERS!$J$11,0.00000110231131*((C199-D199)*PARAMETERS!$CV$37),0)</f>
        <v>0</v>
      </c>
      <c r="BE199" s="865">
        <f>IF(INDEX(HwyTransitModelGroup,A178,1)=PARAMETERS!$J$11,0.00000110231131*((C199-D199)*PARAMETERS!$CW$37),0)</f>
        <v>0</v>
      </c>
      <c r="BF199" s="729">
        <f t="shared" si="82"/>
        <v>41.491103679437025</v>
      </c>
      <c r="BG199" s="867">
        <f t="shared" si="83"/>
        <v>44492.129489642706</v>
      </c>
      <c r="BH199" s="867">
        <f t="shared" si="84"/>
        <v>5076.1616606018169</v>
      </c>
      <c r="BI199" s="867">
        <f t="shared" si="85"/>
        <v>1055.1928674576989</v>
      </c>
      <c r="BJ199" s="867">
        <f t="shared" si="86"/>
        <v>383.37769991607945</v>
      </c>
      <c r="BK199" s="869">
        <f t="shared" si="87"/>
        <v>12.669854456996338</v>
      </c>
      <c r="BL199" s="374"/>
      <c r="BN199" s="375">
        <f t="shared" si="92"/>
        <v>2031</v>
      </c>
      <c r="BO199" s="871">
        <f t="shared" ca="1" si="90"/>
        <v>-1.9517689401556475E-5</v>
      </c>
      <c r="BP199" s="871">
        <f t="shared" ca="1" si="91"/>
        <v>-1.5404812131518739E-4</v>
      </c>
      <c r="BQ199" s="871">
        <f t="shared" ca="1" si="91"/>
        <v>1.0812059616186522E-4</v>
      </c>
      <c r="BR199" s="871">
        <f t="shared" ca="1" si="91"/>
        <v>-2.4962927596212936E-4</v>
      </c>
      <c r="BS199" s="871">
        <f t="shared" ca="1" si="91"/>
        <v>1.0002581251962499E-2</v>
      </c>
      <c r="BT199" s="871">
        <f t="shared" ca="1" si="91"/>
        <v>1.3398213411093341E-2</v>
      </c>
    </row>
    <row r="200" spans="2:72" x14ac:dyDescent="0.25">
      <c r="B200" s="375">
        <f t="shared" si="88"/>
        <v>2039</v>
      </c>
      <c r="C200" s="401">
        <f>MAX(TREND(C184:C185,B184:B185,B200),0)</f>
        <v>20852468.25</v>
      </c>
      <c r="D200" s="402">
        <f>MAX(TREND(D184:D185,B184:B185,B200),0)</f>
        <v>18190140</v>
      </c>
      <c r="E200" s="401">
        <f>MAX(TREND(E184:E185,B184:B185,B200),0)</f>
        <v>301289.25</v>
      </c>
      <c r="F200" s="402">
        <f>MAX(TREND(F184:F185,B184:B185,B200),0)</f>
        <v>262161.25</v>
      </c>
      <c r="G200" s="401">
        <f>MAX(TREND(G184:G185,B184:B185,B200),0)</f>
        <v>0</v>
      </c>
      <c r="H200" s="402">
        <f>MAX(TREND(H184:H185,B184:B185,B200),0)</f>
        <v>0</v>
      </c>
      <c r="I200" s="401">
        <f>MAX(TREND(I184:I185,B184:B185,B200),0)</f>
        <v>0</v>
      </c>
      <c r="J200" s="402">
        <f>MAX(TREND(J184:J185,B184:B185,B200),0)</f>
        <v>0</v>
      </c>
      <c r="K200" s="435">
        <f>IFERROR(IF(INDEX(HwyTransitModelGroup,A178,1)=Hwy,MAX(5,ROUND(C200/E200,1)),MAX(5,ROUND(G200/I200,1))),55)</f>
        <v>69.2</v>
      </c>
      <c r="L200" s="436">
        <f>IFERROR(IF(INDEX(HwyTransitModelGroup,A178,1)=Hwy,MAX(5,ROUND(D200/F200,1)),MAX(5,ROUND(H200/J200,1))),55)</f>
        <v>69.400000000000006</v>
      </c>
      <c r="M200" s="405">
        <f>MIN(MAX(TREND(M184:M185,B184:B185,B200),0),1)</f>
        <v>0.24</v>
      </c>
      <c r="N200" s="406">
        <f>MIN(MAX(TREND(N184:N185,B184:B185,B200),0),1)</f>
        <v>0.24</v>
      </c>
      <c r="O200" s="401">
        <f>MAX(TREND(O184:O185,B184:B185,B200),0)</f>
        <v>0</v>
      </c>
      <c r="P200" s="402">
        <f>MAX(TREND(P184:P185,B184:B185,B200),0)</f>
        <v>0</v>
      </c>
      <c r="Q200" s="729">
        <f>IF(INDEX(HwyTransitModelGroup,A178,1)=Hwy,C200*(1-M200)*0.00000110231131*(VLOOKUP(K200,EmAuto20,2)*VLOOKUP(ProjLoc,EmCost,2)+VLOOKUP(K200,EmAuto20,3)*VLOOKUP(ProjLoc,EmCost,3)*(1+CO2Uprater)^($B200-YearCurrent)+VLOOKUP(K200,EmAuto20,4)*VLOOKUP(ProjLoc,EmCost,4)+VLOOKUP(K200,EmAuto20,5)*VLOOKUP(ProjLoc,EmCost,5)+VLOOKUP(K200,EmAuto20,6)*VLOOKUP(ProjLoc,EmCost,6)+VLOOKUP(K200,EmAuto20,7)*VLOOKUP(ProjLoc,EmCost,7))+C200*M200*0.00000110231131*(VLOOKUP(K200,EmTruck20,2)*VLOOKUP(ProjLoc,EmCost,2)+VLOOKUP(K200,EmTruck20,3)*VLOOKUP(ProjLoc,EmCost,3)*(1+CO2Uprater)^($B200-YearCurrent)+VLOOKUP(K200,EmTruck20,4)*VLOOKUP(ProjLoc,EmCost,4)+VLOOKUP(K200,EmTruck20,5)*VLOOKUP(ProjLoc,EmCost,5)+VLOOKUP(K200,EmTruck20,6)*VLOOKUP(ProjLoc,EmCost,6)+VLOOKUP(K200,EmTruck20,7)*VLOOKUP(ProjLoc,EmCost,7)),0)</f>
        <v>779193.88945494615</v>
      </c>
      <c r="R200" s="802">
        <f>IF(INDEX(HwyTransitModelGroup,A178,1)=Hwy,D200*(1-N200)*0.00000110231131*(VLOOKUP(L200,EmAuto20,2)*VLOOKUP(ProjLoc,EmCost,2)+VLOOKUP(L200,EmAuto20,3)*VLOOKUP(ProjLoc,EmCost,3)*(1+CO2Uprater)^($B200-YearCurrent)+VLOOKUP(L200,EmAuto20,4)*VLOOKUP(ProjLoc,EmCost,4)+VLOOKUP(L200,EmAuto20,5)*VLOOKUP(ProjLoc,EmCost,5)+VLOOKUP(L200,EmAuto20,6)*VLOOKUP(ProjLoc,EmCost,6)+VLOOKUP(L200,EmAuto20,7)*VLOOKUP(ProjLoc,EmCost,7))+D200*N200*0.00000110231131*(VLOOKUP(L200,EmTruck20,2)*VLOOKUP(ProjLoc,EmCost,2)+VLOOKUP(L200,EmTruck20,3)*VLOOKUP(ProjLoc,EmCost,3)*(1+CO2Uprater)^($B200-YearCurrent)+VLOOKUP(L200,EmTruck20,4)*VLOOKUP(ProjLoc,EmCost,4)+VLOOKUP(L200,EmTruck20,5)*VLOOKUP(ProjLoc,EmCost,5)+VLOOKUP(L200,EmTruck20,6)*VLOOKUP(ProjLoc,EmCost,6)+VLOOKUP(L200,EmTruck20,7)*VLOOKUP(ProjLoc,EmCost,7)),0)</f>
        <v>679710.70697254245</v>
      </c>
      <c r="S200" s="729">
        <f>IF(INDEX(HwyTransitModelGroup,A178,1)=Hwy,O200*(1-M200)*0.00000110231131*(VLOOKUP(0,EmAuto20,2)*VLOOKUP(ProjLoc,EmCost,2)+VLOOKUP(0,EmAuto20,3)*VLOOKUP(ProjLoc,EmCost,3)*(1+CO2Uprater)^($B200-YearCurrent)+VLOOKUP(0,EmAuto20,4)*VLOOKUP(ProjLoc,EmCost,4)+VLOOKUP(0,EmAuto20,5)*VLOOKUP(ProjLoc,EmCost,5)+VLOOKUP(0,EmAuto20,6)*VLOOKUP(ProjLoc,EmCost,6)+VLOOKUP(0,EmAuto20,7)*VLOOKUP(ProjLoc,EmCost,7))+O200*M200*0.00000110231131*(VLOOKUP(0,EmTruck20,2)*VLOOKUP(ProjLoc,EmCost,2)+VLOOKUP(0,EmTruck20,3)*VLOOKUP(ProjLoc,EmCost,3)*(1+CO2Uprater)^($B200-YearCurrent)+VLOOKUP(0,EmTruck20,4)*VLOOKUP(ProjLoc,EmCost,4)+VLOOKUP(0,EmTruck20,5)*VLOOKUP(ProjLoc,EmCost,5)+VLOOKUP(0,EmTruck20,6)*VLOOKUP(ProjLoc,EmCost,6)+VLOOKUP(0,EmTruck20,7)*VLOOKUP(ProjLoc,EmCost,7)),0)</f>
        <v>0</v>
      </c>
      <c r="T200" s="802">
        <f>IF(INDEX(HwyTransitModelGroup,A178,1)=Hwy,P200*(1-N200)*0.00000110231131*(VLOOKUP(0,EmAuto20,2)*VLOOKUP(ProjLoc,EmCost,2)+VLOOKUP(0,EmAuto20,3)*VLOOKUP(ProjLoc,EmCost,3)*(1+CO2Uprater)^($B200-YearCurrent)+VLOOKUP(0,EmAuto20,4)*VLOOKUP(ProjLoc,EmCost,4)+VLOOKUP(0,EmAuto20,5)*VLOOKUP(ProjLoc,EmCost,5)+VLOOKUP(0,EmAuto20,6)*VLOOKUP(ProjLoc,EmCost,6)+VLOOKUP(0,EmAuto20,7)*VLOOKUP(ProjLoc,EmCost,7))+P200*N200*0.00000110231131*(VLOOKUP(0,EmTruck20,2)*VLOOKUP(ProjLoc,EmCost,2)+VLOOKUP(0,EmTruck20,3)*VLOOKUP(ProjLoc,EmCost,3)*(1+CO2Uprater)^($B200-YearCurrent)+VLOOKUP(0,EmTruck20,4)*VLOOKUP(ProjLoc,EmCost,4)+VLOOKUP(0,EmTruck20,5)*VLOOKUP(ProjLoc,EmCost,5)+VLOOKUP(0,EmTruck20,6)*VLOOKUP(ProjLoc,EmCost,6)+VLOOKUP(0,EmTruck20,7)*VLOOKUP(ProjLoc,EmCost,7)),0)</f>
        <v>0</v>
      </c>
      <c r="U200" s="729">
        <f>IF(INDEX(HwyTransitModelGroup,A178,1)=PARAMETERS!$J$9,C200*0.00000110231131*(VLOOKUP(K200,EmBus20,2)*VLOOKUP(ProjLoc,EmCost,2)+VLOOKUP(K200,EmBus20,3)*VLOOKUP(ProjLoc,EmCost,3)*(1+CO2Uprater)^($B200-YearCurrent)+VLOOKUP(K200,EmBus20,4)*VLOOKUP(ProjLoc,EmCost,4)+VLOOKUP(K200,EmBus20,5)*VLOOKUP(ProjLoc,EmCost,5)+VLOOKUP(K200,EmBus20,6)*VLOOKUP(ProjLoc,EmCost,6)+VLOOKUP(K200,EmBus20,7)*VLOOKUP(ProjLoc,EmCost,7)),0)</f>
        <v>0</v>
      </c>
      <c r="V200" s="802">
        <f>IF(INDEX(HwyTransitModelGroup,A178,1)=PARAMETERS!$J$9,D200*0.00000110231131*(VLOOKUP(L200,EmBus20,2)*VLOOKUP(ProjLoc,EmCost,2)+VLOOKUP(L200,EmBus20,3)*VLOOKUP(ProjLoc,EmCost,3)*(1+CO2Uprater)^($B200-YearCurrent)+VLOOKUP(L200,EmBus20,4)*VLOOKUP(ProjLoc,EmCost,4)+VLOOKUP(L200,EmBus20,5)*VLOOKUP(ProjLoc,EmCost,5)+VLOOKUP(L200,EmBus20,6)*VLOOKUP(ProjLoc,EmCost,6)+VLOOKUP(L200,EmBus20,7)*VLOOKUP(ProjLoc,EmCost,7)),0)</f>
        <v>0</v>
      </c>
      <c r="W200" s="808">
        <f>IF(INDEX(HwyTransitModelGroup,A178,1)=PARAMETERS!$J$10,C200*0.00000110231131*(PARAMETERS!$CQ$29*VLOOKUP(ProjLoc,EmCost,2)+PARAMETERS!$CR$29*VLOOKUP(ProjLoc,EmCost,3)*(1+CO2Uprater)^($B200-YearCurrent)+PARAMETERS!$CS$29*VLOOKUP(ProjLoc,EmCost,4)+PARAMETERS!$CT$29*VLOOKUP(ProjLoc,EmCost,5)+PARAMETERS!$CU$29*VLOOKUP(ProjLoc,EmCost,6)+PARAMETERS!$CV$29*VLOOKUP(ProjLoc,EmCost,7)),0)</f>
        <v>0</v>
      </c>
      <c r="X200" s="844">
        <f>IF(INDEX(HwyTransitModelGroup,A178,1)=PARAMETERS!$J$10,D200*0.00000110231131*(PARAMETERS!$CQ$29*VLOOKUP(ProjLoc,EmCost,2)+PARAMETERS!$CR$29*VLOOKUP(ProjLoc,EmCost,3)*(1+CO2Uprater)^($B200-YearCurrent)+PARAMETERS!$CS$29*VLOOKUP(ProjLoc,EmCost,4)+PARAMETERS!$CT$29*VLOOKUP(ProjLoc,EmCost,5)+PARAMETERS!$CU$29*VLOOKUP(ProjLoc,EmCost,6)+PARAMETERS!$CV$29*VLOOKUP(ProjLoc,EmCost,7)),0)</f>
        <v>0</v>
      </c>
      <c r="Y200" s="808">
        <f>IF(INDEX(HwyTransitModelGroup,A178,1)=PARAMETERS!$J$11,C200*0.00000110231131*(PARAMETERS!$CQ$37*VLOOKUP(ProjLoc,EmCost,2)+PARAMETERS!$CR$37*VLOOKUP(ProjLoc,EmCost,3)*(1+CO2Uprater)^($B200-YearCurrent)+PARAMETERS!$CS$37*VLOOKUP(ProjLoc,EmCost,4)+PARAMETERS!$CT$37*VLOOKUP(ProjLoc,EmCost,5)+PARAMETERS!$CU$37*VLOOKUP(ProjLoc,EmCost,6)+PARAMETERS!$CV$37*VLOOKUP(ProjLoc,EmCost,7)),0)</f>
        <v>0</v>
      </c>
      <c r="Z200" s="844">
        <f>IF(INDEX(HwyTransitModelGroup,A178,1)=PARAMETERS!$J$11,D200*0.00000110231131*(PARAMETERS!$CQ$37*VLOOKUP(ProjLoc,EmCost,2)+PARAMETERS!$CR$37*VLOOKUP(ProjLoc,EmCost,3)*(1+CO2Uprater)^($B200-YearCurrent)+PARAMETERS!$CS$37*VLOOKUP(ProjLoc,EmCost,4)+PARAMETERS!$CT$37*VLOOKUP(ProjLoc,EmCost,5)+PARAMETERS!$CU$37*VLOOKUP(ProjLoc,EmCost,6)+PARAMETERS!$CV$37*VLOOKUP(ProjLoc,EmCost,7)),0)</f>
        <v>0</v>
      </c>
      <c r="AA200" s="369">
        <f t="shared" si="80"/>
        <v>99483.182482403703</v>
      </c>
      <c r="AB200" s="370">
        <f t="shared" si="81"/>
        <v>51072.004298655556</v>
      </c>
      <c r="AC200" s="371"/>
      <c r="AD200" s="401">
        <f>IF(INDEX(HwyTransitModelGroup,A178,1)=Hwy,0.00000110231131*(C200*(1-M200)*VLOOKUP(K200,EmAuto20,2)-D200*(1-N200)*VLOOKUP(L200,EmAuto20,2)+(O200*(1-M200)-P200*(1-N200))*VLOOKUP(0,EmAuto20,2))+0.00000110231131*(C200*M200*VLOOKUP(K200,EmTruck20,2)-D200*N200*VLOOKUP(L200,EmTruck20,2)+(O200*M200-P200*N200)*VLOOKUP(0,EmTruck20,2)),0)</f>
        <v>0.99316609493391894</v>
      </c>
      <c r="AE200" s="863">
        <f>IF(INDEX(HwyTransitModelGroup,A178,1)=Hwy,0.00000110231131*(C200*(1-M200)*VLOOKUP(K200,EmAuto20,3)-D200*(1-N200)*VLOOKUP(L200,EmAuto20,3)+(O200*(1-M200)-P200*(1-N200))*VLOOKUP(0,EmAuto20,3))+0.00000110231131*(C200*M200*VLOOKUP(K200,EmTruck20,3)-D200*N200*VLOOKUP(L200,EmTruck20,3)+(O200*M200-P200*N200)*VLOOKUP(0,EmTruck20,3)),0)</f>
        <v>1292.9927555350123</v>
      </c>
      <c r="AF200" s="861">
        <f>IF(INDEX(HwyTransitModelGroup,A178,1)=Hwy,0.00000110231131*(C200*(1-M200)*VLOOKUP(K200,EmAuto20,4)-D200*(1-N200)*VLOOKUP(L200,EmAuto20,4)+(O200*(1-M200)-P200*(1-N200))*VLOOKUP(0,EmAuto20,4))+0.00000110231131*(C200*M200*VLOOKUP(K200,EmTruck20,4)-D200*N200*VLOOKUP(L200,EmTruck20,4)+(O200*M200-P200*N200)*VLOOKUP(0,EmTruck20,4)),0)</f>
        <v>0.64374724283530749</v>
      </c>
      <c r="AG200" s="863">
        <f>IF(INDEX(HwyTransitModelGroup,A178,1)=Hwy,0.00000110231131*(C200*(1-M200)*VLOOKUP(K200,EmAuto20,5)-D200*(1-N200)*VLOOKUP(L200,EmAuto20,5)+(O200*(1-M200)-P200*(1-N200))*VLOOKUP(0,EmAuto20,5))+0.00000110231131*(C200*M200*VLOOKUP(K200,EmTruck20,5)-D200*N200*VLOOKUP(L200,EmTruck20,5)+(O200*M200-P200*N200)*VLOOKUP(0,EmTruck20,5)),0)</f>
        <v>1.7314815791354299E-2</v>
      </c>
      <c r="AH200" s="861">
        <f>IF(INDEX(HwyTransitModelGroup,A178,1)=Hwy,0.00000110231131*(C200*(1-M200)*VLOOKUP(K200,EmAuto20,6)-D200*(1-N200)*VLOOKUP(L200,EmAuto20,6)+(O200*(1-M200)-P200*(1-N200))*VLOOKUP(0,EmAuto20,6))+0.00000110231131*(C200*M200*VLOOKUP(K200,EmTruck20,6)-D200*N200*VLOOKUP(L200,EmTruck20,6)+(O200*M200-P200*N200)*VLOOKUP(0,EmTruck20,6)),0)</f>
        <v>1.2443189653447834E-2</v>
      </c>
      <c r="AI200" s="863">
        <f>IF(INDEX(HwyTransitModelGroup,A178,1)=Hwy,0.00000110231131*(C200*(1-M200)*VLOOKUP(K200,EmAuto20,7)-D200*(1-N200)*VLOOKUP(L200,EmAuto20,7)+(O200*(1-M200)-P200*(1-N200))*VLOOKUP(0,EmAuto20,7))+0.00000110231131*(C200*M200*VLOOKUP(K200,EmTruck20,7)-D200*N200*VLOOKUP(L200,EmTruck20,7)+(O200*M200-P200*N200)*VLOOKUP(0,EmTruck20,7)),0)</f>
        <v>2.1857753900679115E-2</v>
      </c>
      <c r="AJ200" s="861">
        <f>IF(INDEX(HwyTransitModelGroup,A178,1)=Hwy,0.00000110231131*(C200*(1-M200)*VLOOKUP(K200,EmAuto20,8)-D200*(1-N200)*VLOOKUP(L200,EmAuto20,8)+(O200*(1-M200)-P200*(1-N200))*VLOOKUP(0,EmAuto20,8))+0.00000110231131*(C200*M200*VLOOKUP(K200,EmTruck20,8)-D200*N200*VLOOKUP(L200,EmTruck20,8)+(O200*M200-P200*N200)*VLOOKUP(0,EmTruck20,8)),0)</f>
        <v>1.6610484301536495E-2</v>
      </c>
      <c r="AK200" s="401">
        <f>IF(INDEX(HwyTransitModelGroup,A178,1)=PARAMETERS!$J$9,0.00000110231131*(C200*VLOOKUP(K200,EmBus20,2)-D200*VLOOKUP(L200,EmBus20,2)+(O200-P200)*VLOOKUP(0,EmBus20,2)),0)</f>
        <v>0</v>
      </c>
      <c r="AL200" s="863">
        <f>IF(INDEX(HwyTransitModelGroup,A178,1)=PARAMETERS!$J$9,0.00000110231131*(C200*VLOOKUP(K200,EmBus20,3)-D200*VLOOKUP(L200,EmBus20,3)+(O200-P200)*VLOOKUP(0,EmBus20,3)),0)</f>
        <v>0</v>
      </c>
      <c r="AM200" s="861">
        <f>IF(INDEX(HwyTransitModelGroup,A178,1)=PARAMETERS!$J$9,0.00000110231131*(C200*VLOOKUP(K200,EmBus20,4)-D200*VLOOKUP(L200,EmBus20,4)+(O200-P200)*VLOOKUP(0,EmBus20,4)),0)</f>
        <v>0</v>
      </c>
      <c r="AN200" s="863">
        <f>IF(INDEX(HwyTransitModelGroup,A178,1)=PARAMETERS!$J$9,0.00000110231131*(C200*VLOOKUP(K200,EmBus20,5)-D200*VLOOKUP(L200,EmBus20,5)+(O200-P200)*VLOOKUP(0,EmBus20,5)),0)</f>
        <v>0</v>
      </c>
      <c r="AO200" s="861">
        <f>IF(INDEX(HwyTransitModelGroup,A178,1)=PARAMETERS!$J$9,0.00000110231131*(C200*VLOOKUP(K200,EmBus20,6)-D200*VLOOKUP(L200,EmBus20,6)+(O200-P200)*VLOOKUP(0,EmBus20,6)),0)</f>
        <v>0</v>
      </c>
      <c r="AP200" s="863">
        <f>IF(INDEX(HwyTransitModelGroup,A178,1)=PARAMETERS!$J$9,0.00000110231131*(C200*VLOOKUP(K200,EmBus20,7)-D200*VLOOKUP(L200,EmBus20,7)+(O200-P200)*VLOOKUP(0,EmBus20,7)),0)</f>
        <v>0</v>
      </c>
      <c r="AQ200" s="861">
        <f>IF(INDEX(HwyTransitModelGroup,A178,1)=PARAMETERS!$J$9,0.00000110231131*(C200*VLOOKUP(K200,EmBus20,8)-D200*VLOOKUP(L200,EmBus20,8)+(O200-P200)*VLOOKUP(0,EmBus20,8)),0)</f>
        <v>0</v>
      </c>
      <c r="AR200" s="401">
        <f>IF(INDEX(HwyTransitModelGroup,A178,1)=PARAMETERS!$J$10,0.00000110231131*((C200-D200)*PARAMETERS!$CQ$29),0)</f>
        <v>0</v>
      </c>
      <c r="AS200" s="863">
        <f>IF(INDEX(HwyTransitModelGroup,A178,1)=PARAMETERS!$J$10,0.00000110231131*((C200-D200)*PARAMETERS!$CR$29),0)</f>
        <v>0</v>
      </c>
      <c r="AT200" s="861">
        <f>IF(INDEX(HwyTransitModelGroup,A178,1)=PARAMETERS!$J$10,0.00000110231131*((C200-D200)*PARAMETERS!$CS$29),0)</f>
        <v>0</v>
      </c>
      <c r="AU200" s="863">
        <f>IF(INDEX(HwyTransitModelGroup,A178,1)=PARAMETERS!$J$10,0.00000110231131*((C200-D200)*PARAMETERS!$CT$29),0)</f>
        <v>0</v>
      </c>
      <c r="AV200" s="861">
        <f>IF(INDEX(HwyTransitModelGroup,A178,1)=PARAMETERS!$J$10,0.00000110231131*((C200-D200)*PARAMETERS!$CU$29),0)</f>
        <v>0</v>
      </c>
      <c r="AW200" s="863">
        <f>IF(INDEX(HwyTransitModelGroup,A178,1)=PARAMETERS!$J$10,0.00000110231131*((C200-D200)*PARAMETERS!$CV$29),0)</f>
        <v>0</v>
      </c>
      <c r="AX200" s="861">
        <f>IF(INDEX(HwyTransitModelGroup,A178,1)=PARAMETERS!$J$10,0.00000110231131*((C200-D200)*PARAMETERS!$CW$29),0)</f>
        <v>0</v>
      </c>
      <c r="AY200" s="401">
        <f>IF(INDEX(HwyTransitModelGroup,A178,1)=PARAMETERS!$J$11,0.00000110231131*((C200-D200)*PARAMETERS!$CQ$37),0)</f>
        <v>0</v>
      </c>
      <c r="AZ200" s="863">
        <f>IF(INDEX(HwyTransitModelGroup,A178,1)=PARAMETERS!$J$11,0.00000110231131*((C200-D200)*PARAMETERS!$CR$37),0)</f>
        <v>0</v>
      </c>
      <c r="BA200" s="861">
        <f>IF(INDEX(HwyTransitModelGroup,A178,1)=PARAMETERS!$J$11,0.00000110231131*((C200-D200)*PARAMETERS!$CS$37),0)</f>
        <v>0</v>
      </c>
      <c r="BB200" s="863">
        <f>IF(INDEX(HwyTransitModelGroup,A178,1)=PARAMETERS!$J$11,0.00000110231131*((C200-D200)*PARAMETERS!$CT$37),0)</f>
        <v>0</v>
      </c>
      <c r="BC200" s="861">
        <f>IF(INDEX(HwyTransitModelGroup,A178,1)=PARAMETERS!$J$11,0.00000110231131*((C200-D200)*PARAMETERS!$CU$37),0)</f>
        <v>0</v>
      </c>
      <c r="BD200" s="863">
        <f>IF(INDEX(HwyTransitModelGroup,A178,1)=PARAMETERS!$J$11,0.00000110231131*((C200-D200)*PARAMETERS!$CV$37),0)</f>
        <v>0</v>
      </c>
      <c r="BE200" s="865">
        <f>IF(INDEX(HwyTransitModelGroup,A178,1)=PARAMETERS!$J$11,0.00000110231131*((C200-D200)*PARAMETERS!$CW$37),0)</f>
        <v>0</v>
      </c>
      <c r="BF200" s="729">
        <f t="shared" si="82"/>
        <v>40.789192146092269</v>
      </c>
      <c r="BG200" s="867">
        <f t="shared" si="83"/>
        <v>44614.238112785963</v>
      </c>
      <c r="BH200" s="867">
        <f t="shared" si="84"/>
        <v>4990.2874345935925</v>
      </c>
      <c r="BI200" s="867">
        <f t="shared" si="85"/>
        <v>1037.3420035883262</v>
      </c>
      <c r="BJ200" s="867">
        <f t="shared" si="86"/>
        <v>376.89203900724101</v>
      </c>
      <c r="BK200" s="869">
        <f t="shared" si="87"/>
        <v>12.455516534393121</v>
      </c>
      <c r="BL200" s="2"/>
      <c r="BN200" s="375">
        <f t="shared" si="92"/>
        <v>2032</v>
      </c>
      <c r="BO200" s="871">
        <f t="shared" ca="1" si="90"/>
        <v>-5.0138775440443695E-5</v>
      </c>
      <c r="BP200" s="871">
        <f t="shared" ca="1" si="91"/>
        <v>-2.2073553158761692E-4</v>
      </c>
      <c r="BQ200" s="871">
        <f t="shared" ca="1" si="91"/>
        <v>1.0996550263438425E-4</v>
      </c>
      <c r="BR200" s="871">
        <f t="shared" ca="1" si="91"/>
        <v>-2.5249637665632663E-4</v>
      </c>
      <c r="BS200" s="871">
        <f t="shared" ca="1" si="91"/>
        <v>1.0439926200762336E-2</v>
      </c>
      <c r="BT200" s="871">
        <f t="shared" ca="1" si="91"/>
        <v>1.3754259197014666E-2</v>
      </c>
    </row>
    <row r="201" spans="2:72" x14ac:dyDescent="0.25">
      <c r="B201" s="375">
        <f t="shared" si="88"/>
        <v>2040</v>
      </c>
      <c r="C201" s="401">
        <f>MAX(TREND(C184:C185,B184:B185,B201),0)</f>
        <v>21091488.5</v>
      </c>
      <c r="D201" s="402">
        <f>MAX(TREND(D184:D185,B184:B185,B201),0)</f>
        <v>18370815</v>
      </c>
      <c r="E201" s="401">
        <f>MAX(TREND(E184:E185,B184:B185,B201),0)</f>
        <v>304811.5</v>
      </c>
      <c r="F201" s="402">
        <f>MAX(TREND(F184:F185,B184:B185,B201),0)</f>
        <v>264807.5</v>
      </c>
      <c r="G201" s="401">
        <f>MAX(TREND(G184:G185,B184:B185,B201),0)</f>
        <v>0</v>
      </c>
      <c r="H201" s="402">
        <f>MAX(TREND(H184:H185,B184:B185,B201),0)</f>
        <v>0</v>
      </c>
      <c r="I201" s="401">
        <f>MAX(TREND(I184:I185,B184:B185,B201),0)</f>
        <v>0</v>
      </c>
      <c r="J201" s="402">
        <f>MAX(TREND(J184:J185,B184:B185,B201),0)</f>
        <v>0</v>
      </c>
      <c r="K201" s="435">
        <f>IFERROR(IF(INDEX(HwyTransitModelGroup,A178,1)=Hwy,MAX(5,ROUND(C201/E201,1)),MAX(5,ROUND(G201/I201,1))),55)</f>
        <v>69.2</v>
      </c>
      <c r="L201" s="436">
        <f>IFERROR(IF(INDEX(HwyTransitModelGroup,A178,1)=Hwy,MAX(5,ROUND(D201/F201,1)),MAX(5,ROUND(H201/J201,1))),55)</f>
        <v>69.400000000000006</v>
      </c>
      <c r="M201" s="405">
        <f>MIN(MAX(TREND(M184:M185,B184:B185,B201),0),1)</f>
        <v>0.24</v>
      </c>
      <c r="N201" s="406">
        <f>MIN(MAX(TREND(N184:N185,B184:B185,B201),0),1)</f>
        <v>0.24</v>
      </c>
      <c r="O201" s="401">
        <f>MAX(TREND(O184:O185,B184:B185,B201),0)</f>
        <v>0</v>
      </c>
      <c r="P201" s="402">
        <f>MAX(TREND(P184:P185,B184:B185,B201),0)</f>
        <v>0</v>
      </c>
      <c r="Q201" s="729">
        <f>IF(INDEX(HwyTransitModelGroup,A178,1)=Hwy,C201*(1-M201)*0.00000110231131*(VLOOKUP(K201,EmAuto20,2)*VLOOKUP(ProjLoc,EmCost,2)+VLOOKUP(K201,EmAuto20,3)*VLOOKUP(ProjLoc,EmCost,3)*(1+CO2Uprater)^($B201-YearCurrent)+VLOOKUP(K201,EmAuto20,4)*VLOOKUP(ProjLoc,EmCost,4)+VLOOKUP(K201,EmAuto20,5)*VLOOKUP(ProjLoc,EmCost,5)+VLOOKUP(K201,EmAuto20,6)*VLOOKUP(ProjLoc,EmCost,6)+VLOOKUP(K201,EmAuto20,7)*VLOOKUP(ProjLoc,EmCost,7))+C201*M201*0.00000110231131*(VLOOKUP(K201,EmTruck20,2)*VLOOKUP(ProjLoc,EmCost,2)+VLOOKUP(K201,EmTruck20,3)*VLOOKUP(ProjLoc,EmCost,3)*(1+CO2Uprater)^($B201-YearCurrent)+VLOOKUP(K201,EmTruck20,4)*VLOOKUP(ProjLoc,EmCost,4)+VLOOKUP(K201,EmTruck20,5)*VLOOKUP(ProjLoc,EmCost,5)+VLOOKUP(K201,EmTruck20,6)*VLOOKUP(ProjLoc,EmCost,6)+VLOOKUP(K201,EmTruck20,7)*VLOOKUP(ProjLoc,EmCost,7)),0)</f>
        <v>801894.78300499008</v>
      </c>
      <c r="R201" s="802">
        <f>IF(INDEX(HwyTransitModelGroup,A178,1)=Hwy,D201*(1-N201)*0.00000110231131*(VLOOKUP(L201,EmAuto20,2)*VLOOKUP(ProjLoc,EmCost,2)+VLOOKUP(L201,EmAuto20,3)*VLOOKUP(ProjLoc,EmCost,3)*(1+CO2Uprater)^($B201-YearCurrent)+VLOOKUP(L201,EmAuto20,4)*VLOOKUP(ProjLoc,EmCost,4)+VLOOKUP(L201,EmAuto20,5)*VLOOKUP(ProjLoc,EmCost,5)+VLOOKUP(L201,EmAuto20,6)*VLOOKUP(ProjLoc,EmCost,6)+VLOOKUP(L201,EmAuto20,7)*VLOOKUP(ProjLoc,EmCost,7))+D201*N201*0.00000110231131*(VLOOKUP(L201,EmTruck20,2)*VLOOKUP(ProjLoc,EmCost,2)+VLOOKUP(L201,EmTruck20,3)*VLOOKUP(ProjLoc,EmCost,3)*(1+CO2Uprater)^($B201-YearCurrent)+VLOOKUP(L201,EmTruck20,4)*VLOOKUP(ProjLoc,EmCost,4)+VLOOKUP(L201,EmTruck20,5)*VLOOKUP(ProjLoc,EmCost,5)+VLOOKUP(L201,EmTruck20,6)*VLOOKUP(ProjLoc,EmCost,6)+VLOOKUP(L201,EmTruck20,7)*VLOOKUP(ProjLoc,EmCost,7)),0)</f>
        <v>698455.24217268103</v>
      </c>
      <c r="S201" s="729">
        <f>IF(INDEX(HwyTransitModelGroup,A178,1)=Hwy,O201*(1-M201)*0.00000110231131*(VLOOKUP(0,EmAuto20,2)*VLOOKUP(ProjLoc,EmCost,2)+VLOOKUP(0,EmAuto20,3)*VLOOKUP(ProjLoc,EmCost,3)*(1+CO2Uprater)^($B201-YearCurrent)+VLOOKUP(0,EmAuto20,4)*VLOOKUP(ProjLoc,EmCost,4)+VLOOKUP(0,EmAuto20,5)*VLOOKUP(ProjLoc,EmCost,5)+VLOOKUP(0,EmAuto20,6)*VLOOKUP(ProjLoc,EmCost,6)+VLOOKUP(0,EmAuto20,7)*VLOOKUP(ProjLoc,EmCost,7))+O201*M201*0.00000110231131*(VLOOKUP(0,EmTruck20,2)*VLOOKUP(ProjLoc,EmCost,2)+VLOOKUP(0,EmTruck20,3)*VLOOKUP(ProjLoc,EmCost,3)*(1+CO2Uprater)^($B201-YearCurrent)+VLOOKUP(0,EmTruck20,4)*VLOOKUP(ProjLoc,EmCost,4)+VLOOKUP(0,EmTruck20,5)*VLOOKUP(ProjLoc,EmCost,5)+VLOOKUP(0,EmTruck20,6)*VLOOKUP(ProjLoc,EmCost,6)+VLOOKUP(0,EmTruck20,7)*VLOOKUP(ProjLoc,EmCost,7)),0)</f>
        <v>0</v>
      </c>
      <c r="T201" s="802">
        <f>IF(INDEX(HwyTransitModelGroup,A178,1)=Hwy,P201*(1-N201)*0.00000110231131*(VLOOKUP(0,EmAuto20,2)*VLOOKUP(ProjLoc,EmCost,2)+VLOOKUP(0,EmAuto20,3)*VLOOKUP(ProjLoc,EmCost,3)*(1+CO2Uprater)^($B201-YearCurrent)+VLOOKUP(0,EmAuto20,4)*VLOOKUP(ProjLoc,EmCost,4)+VLOOKUP(0,EmAuto20,5)*VLOOKUP(ProjLoc,EmCost,5)+VLOOKUP(0,EmAuto20,6)*VLOOKUP(ProjLoc,EmCost,6)+VLOOKUP(0,EmAuto20,7)*VLOOKUP(ProjLoc,EmCost,7))+P201*N201*0.00000110231131*(VLOOKUP(0,EmTruck20,2)*VLOOKUP(ProjLoc,EmCost,2)+VLOOKUP(0,EmTruck20,3)*VLOOKUP(ProjLoc,EmCost,3)*(1+CO2Uprater)^($B201-YearCurrent)+VLOOKUP(0,EmTruck20,4)*VLOOKUP(ProjLoc,EmCost,4)+VLOOKUP(0,EmTruck20,5)*VLOOKUP(ProjLoc,EmCost,5)+VLOOKUP(0,EmTruck20,6)*VLOOKUP(ProjLoc,EmCost,6)+VLOOKUP(0,EmTruck20,7)*VLOOKUP(ProjLoc,EmCost,7)),0)</f>
        <v>0</v>
      </c>
      <c r="U201" s="729">
        <f>IF(INDEX(HwyTransitModelGroup,A178,1)=PARAMETERS!$J$9,C201*0.00000110231131*(VLOOKUP(K201,EmBus20,2)*VLOOKUP(ProjLoc,EmCost,2)+VLOOKUP(K201,EmBus20,3)*VLOOKUP(ProjLoc,EmCost,3)*(1+CO2Uprater)^($B201-YearCurrent)+VLOOKUP(K201,EmBus20,4)*VLOOKUP(ProjLoc,EmCost,4)+VLOOKUP(K201,EmBus20,5)*VLOOKUP(ProjLoc,EmCost,5)+VLOOKUP(K201,EmBus20,6)*VLOOKUP(ProjLoc,EmCost,6)+VLOOKUP(K201,EmBus20,7)*VLOOKUP(ProjLoc,EmCost,7)),0)</f>
        <v>0</v>
      </c>
      <c r="V201" s="802">
        <f>IF(INDEX(HwyTransitModelGroup,A178,1)=PARAMETERS!$J$9,D201*0.00000110231131*(VLOOKUP(L201,EmBus20,2)*VLOOKUP(ProjLoc,EmCost,2)+VLOOKUP(L201,EmBus20,3)*VLOOKUP(ProjLoc,EmCost,3)*(1+CO2Uprater)^($B201-YearCurrent)+VLOOKUP(L201,EmBus20,4)*VLOOKUP(ProjLoc,EmCost,4)+VLOOKUP(L201,EmBus20,5)*VLOOKUP(ProjLoc,EmCost,5)+VLOOKUP(L201,EmBus20,6)*VLOOKUP(ProjLoc,EmCost,6)+VLOOKUP(L201,EmBus20,7)*VLOOKUP(ProjLoc,EmCost,7)),0)</f>
        <v>0</v>
      </c>
      <c r="W201" s="808">
        <f>IF(INDEX(HwyTransitModelGroup,A178,1)=PARAMETERS!$J$10,C201*0.00000110231131*(PARAMETERS!$CQ$29*VLOOKUP(ProjLoc,EmCost,2)+PARAMETERS!$CR$29*VLOOKUP(ProjLoc,EmCost,3)*(1+CO2Uprater)^($B201-YearCurrent)+PARAMETERS!$CS$29*VLOOKUP(ProjLoc,EmCost,4)+PARAMETERS!$CT$29*VLOOKUP(ProjLoc,EmCost,5)+PARAMETERS!$CU$29*VLOOKUP(ProjLoc,EmCost,6)+PARAMETERS!$CV$29*VLOOKUP(ProjLoc,EmCost,7)),0)</f>
        <v>0</v>
      </c>
      <c r="X201" s="844">
        <f>IF(INDEX(HwyTransitModelGroup,A178,1)=PARAMETERS!$J$10,D201*0.00000110231131*(PARAMETERS!$CQ$29*VLOOKUP(ProjLoc,EmCost,2)+PARAMETERS!$CR$29*VLOOKUP(ProjLoc,EmCost,3)*(1+CO2Uprater)^($B201-YearCurrent)+PARAMETERS!$CS$29*VLOOKUP(ProjLoc,EmCost,4)+PARAMETERS!$CT$29*VLOOKUP(ProjLoc,EmCost,5)+PARAMETERS!$CU$29*VLOOKUP(ProjLoc,EmCost,6)+PARAMETERS!$CV$29*VLOOKUP(ProjLoc,EmCost,7)),0)</f>
        <v>0</v>
      </c>
      <c r="Y201" s="808">
        <f>IF(INDEX(HwyTransitModelGroup,A178,1)=PARAMETERS!$J$11,C201*0.00000110231131*(PARAMETERS!$CQ$37*VLOOKUP(ProjLoc,EmCost,2)+PARAMETERS!$CR$37*VLOOKUP(ProjLoc,EmCost,3)*(1+CO2Uprater)^($B201-YearCurrent)+PARAMETERS!$CS$37*VLOOKUP(ProjLoc,EmCost,4)+PARAMETERS!$CT$37*VLOOKUP(ProjLoc,EmCost,5)+PARAMETERS!$CU$37*VLOOKUP(ProjLoc,EmCost,6)+PARAMETERS!$CV$37*VLOOKUP(ProjLoc,EmCost,7)),0)</f>
        <v>0</v>
      </c>
      <c r="Z201" s="844">
        <f>IF(INDEX(HwyTransitModelGroup,A178,1)=PARAMETERS!$J$11,D201*0.00000110231131*(PARAMETERS!$CQ$37*VLOOKUP(ProjLoc,EmCost,2)+PARAMETERS!$CR$37*VLOOKUP(ProjLoc,EmCost,3)*(1+CO2Uprater)^($B201-YearCurrent)+PARAMETERS!$CS$37*VLOOKUP(ProjLoc,EmCost,4)+PARAMETERS!$CT$37*VLOOKUP(ProjLoc,EmCost,5)+PARAMETERS!$CU$37*VLOOKUP(ProjLoc,EmCost,6)+PARAMETERS!$CV$37*VLOOKUP(ProjLoc,EmCost,7)),0)</f>
        <v>0</v>
      </c>
      <c r="AA201" s="369">
        <f t="shared" si="80"/>
        <v>103439.54083230905</v>
      </c>
      <c r="AB201" s="370">
        <f t="shared" si="81"/>
        <v>51060.666179326166</v>
      </c>
      <c r="AC201" s="371"/>
      <c r="AD201" s="401">
        <f>IF(INDEX(HwyTransitModelGroup,A178,1)=Hwy,0.00000110231131*(C201*(1-M201)*VLOOKUP(K201,EmAuto20,2)-D201*(1-N201)*VLOOKUP(L201,EmAuto20,2)+(O201*(1-M201)-P201*(1-N201))*VLOOKUP(0,EmAuto20,2))+0.00000110231131*(C201*M201*VLOOKUP(K201,EmTruck20,2)-D201*N201*VLOOKUP(L201,EmTruck20,2)+(O201*M201-P201*N201)*VLOOKUP(0,EmTruck20,2)),0)</f>
        <v>1.0149314516664867</v>
      </c>
      <c r="AE201" s="863">
        <f>IF(INDEX(HwyTransitModelGroup,A178,1)=Hwy,0.00000110231131*(C201*(1-M201)*VLOOKUP(K201,EmAuto20,3)-D201*(1-N201)*VLOOKUP(L201,EmAuto20,3)+(O201*(1-M201)-P201*(1-N201))*VLOOKUP(0,EmAuto20,3))+0.00000110231131*(C201*M201*VLOOKUP(K201,EmTruck20,3)-D201*N201*VLOOKUP(L201,EmTruck20,3)+(O201*M201-P201*N201)*VLOOKUP(0,EmTruck20,3)),0)</f>
        <v>1321.3288502933801</v>
      </c>
      <c r="AF201" s="861">
        <f>IF(INDEX(HwyTransitModelGroup,A178,1)=Hwy,0.00000110231131*(C201*(1-M201)*VLOOKUP(K201,EmAuto20,4)-D201*(1-N201)*VLOOKUP(L201,EmAuto20,4)+(O201*(1-M201)-P201*(1-N201))*VLOOKUP(0,EmAuto20,4))+0.00000110231131*(C201*M201*VLOOKUP(K201,EmTruck20,4)-D201*N201*VLOOKUP(L201,EmTruck20,4)+(O201*M201-P201*N201)*VLOOKUP(0,EmTruck20,4)),0)</f>
        <v>0.65785504258540839</v>
      </c>
      <c r="AG201" s="863">
        <f>IF(INDEX(HwyTransitModelGroup,A178,1)=Hwy,0.00000110231131*(C201*(1-M201)*VLOOKUP(K201,EmAuto20,5)-D201*(1-N201)*VLOOKUP(L201,EmAuto20,5)+(O201*(1-M201)-P201*(1-N201))*VLOOKUP(0,EmAuto20,5))+0.00000110231131*(C201*M201*VLOOKUP(K201,EmTruck20,5)-D201*N201*VLOOKUP(L201,EmTruck20,5)+(O201*M201-P201*N201)*VLOOKUP(0,EmTruck20,5)),0)</f>
        <v>1.7694272102216989E-2</v>
      </c>
      <c r="AH201" s="861">
        <f>IF(INDEX(HwyTransitModelGroup,A178,1)=Hwy,0.00000110231131*(C201*(1-M201)*VLOOKUP(K201,EmAuto20,6)-D201*(1-N201)*VLOOKUP(L201,EmAuto20,6)+(O201*(1-M201)-P201*(1-N201))*VLOOKUP(0,EmAuto20,6))+0.00000110231131*(C201*M201*VLOOKUP(K201,EmTruck20,6)-D201*N201*VLOOKUP(L201,EmTruck20,6)+(O201*M201-P201*N201)*VLOOKUP(0,EmTruck20,6)),0)</f>
        <v>1.2715883680237293E-2</v>
      </c>
      <c r="AI201" s="863">
        <f>IF(INDEX(HwyTransitModelGroup,A178,1)=Hwy,0.00000110231131*(C201*(1-M201)*VLOOKUP(K201,EmAuto20,7)-D201*(1-N201)*VLOOKUP(L201,EmAuto20,7)+(O201*(1-M201)-P201*(1-N201))*VLOOKUP(0,EmAuto20,7))+0.00000110231131*(C201*M201*VLOOKUP(K201,EmTruck20,7)-D201*N201*VLOOKUP(L201,EmTruck20,7)+(O201*M201-P201*N201)*VLOOKUP(0,EmTruck20,7)),0)</f>
        <v>2.2336769257171554E-2</v>
      </c>
      <c r="AJ201" s="861">
        <f>IF(INDEX(HwyTransitModelGroup,A178,1)=Hwy,0.00000110231131*(C201*(1-M201)*VLOOKUP(K201,EmAuto20,8)-D201*(1-N201)*VLOOKUP(L201,EmAuto20,8)+(O201*(1-M201)-P201*(1-N201))*VLOOKUP(0,EmAuto20,8))+0.00000110231131*(C201*M201*VLOOKUP(K201,EmTruck20,8)-D201*N201*VLOOKUP(L201,EmTruck20,8)+(O201*M201-P201*N201)*VLOOKUP(0,EmTruck20,8)),0)</f>
        <v>1.6974505101448847E-2</v>
      </c>
      <c r="AK201" s="401">
        <f>IF(INDEX(HwyTransitModelGroup,A178,1)=PARAMETERS!$J$9,0.00000110231131*(C201*VLOOKUP(K201,EmBus20,2)-D201*VLOOKUP(L201,EmBus20,2)+(O201-P201)*VLOOKUP(0,EmBus20,2)),0)</f>
        <v>0</v>
      </c>
      <c r="AL201" s="863">
        <f>IF(INDEX(HwyTransitModelGroup,A178,1)=PARAMETERS!$J$9,0.00000110231131*(C201*VLOOKUP(K201,EmBus20,3)-D201*VLOOKUP(L201,EmBus20,3)+(O201-P201)*VLOOKUP(0,EmBus20,3)),0)</f>
        <v>0</v>
      </c>
      <c r="AM201" s="861">
        <f>IF(INDEX(HwyTransitModelGroup,A178,1)=PARAMETERS!$J$9,0.00000110231131*(C201*VLOOKUP(K201,EmBus20,4)-D201*VLOOKUP(L201,EmBus20,4)+(O201-P201)*VLOOKUP(0,EmBus20,4)),0)</f>
        <v>0</v>
      </c>
      <c r="AN201" s="863">
        <f>IF(INDEX(HwyTransitModelGroup,A178,1)=PARAMETERS!$J$9,0.00000110231131*(C201*VLOOKUP(K201,EmBus20,5)-D201*VLOOKUP(L201,EmBus20,5)+(O201-P201)*VLOOKUP(0,EmBus20,5)),0)</f>
        <v>0</v>
      </c>
      <c r="AO201" s="861">
        <f>IF(INDEX(HwyTransitModelGroup,A178,1)=PARAMETERS!$J$9,0.00000110231131*(C201*VLOOKUP(K201,EmBus20,6)-D201*VLOOKUP(L201,EmBus20,6)+(O201-P201)*VLOOKUP(0,EmBus20,6)),0)</f>
        <v>0</v>
      </c>
      <c r="AP201" s="863">
        <f>IF(INDEX(HwyTransitModelGroup,A178,1)=PARAMETERS!$J$9,0.00000110231131*(C201*VLOOKUP(K201,EmBus20,7)-D201*VLOOKUP(L201,EmBus20,7)+(O201-P201)*VLOOKUP(0,EmBus20,7)),0)</f>
        <v>0</v>
      </c>
      <c r="AQ201" s="861">
        <f>IF(INDEX(HwyTransitModelGroup,A178,1)=PARAMETERS!$J$9,0.00000110231131*(C201*VLOOKUP(K201,EmBus20,8)-D201*VLOOKUP(L201,EmBus20,8)+(O201-P201)*VLOOKUP(0,EmBus20,8)),0)</f>
        <v>0</v>
      </c>
      <c r="AR201" s="401">
        <f>IF(INDEX(HwyTransitModelGroup,A178,1)=PARAMETERS!$J$10,0.00000110231131*((C201-D201)*PARAMETERS!$CQ$29),0)</f>
        <v>0</v>
      </c>
      <c r="AS201" s="863">
        <f>IF(INDEX(HwyTransitModelGroup,A178,1)=PARAMETERS!$J$10,0.00000110231131*((C201-D201)*PARAMETERS!$CR$29),0)</f>
        <v>0</v>
      </c>
      <c r="AT201" s="861">
        <f>IF(INDEX(HwyTransitModelGroup,A178,1)=PARAMETERS!$J$10,0.00000110231131*((C201-D201)*PARAMETERS!$CS$29),0)</f>
        <v>0</v>
      </c>
      <c r="AU201" s="863">
        <f>IF(INDEX(HwyTransitModelGroup,A178,1)=PARAMETERS!$J$10,0.00000110231131*((C201-D201)*PARAMETERS!$CT$29),0)</f>
        <v>0</v>
      </c>
      <c r="AV201" s="861">
        <f>IF(INDEX(HwyTransitModelGroup,A178,1)=PARAMETERS!$J$10,0.00000110231131*((C201-D201)*PARAMETERS!$CU$29),0)</f>
        <v>0</v>
      </c>
      <c r="AW201" s="863">
        <f>IF(INDEX(HwyTransitModelGroup,A178,1)=PARAMETERS!$J$10,0.00000110231131*((C201-D201)*PARAMETERS!$CV$29),0)</f>
        <v>0</v>
      </c>
      <c r="AX201" s="861">
        <f>IF(INDEX(HwyTransitModelGroup,A178,1)=PARAMETERS!$J$10,0.00000110231131*((C201-D201)*PARAMETERS!$CW$29),0)</f>
        <v>0</v>
      </c>
      <c r="AY201" s="401">
        <f>IF(INDEX(HwyTransitModelGroup,A178,1)=PARAMETERS!$J$11,0.00000110231131*((C201-D201)*PARAMETERS!$CQ$37),0)</f>
        <v>0</v>
      </c>
      <c r="AZ201" s="863">
        <f>IF(INDEX(HwyTransitModelGroup,A178,1)=PARAMETERS!$J$11,0.00000110231131*((C201-D201)*PARAMETERS!$CR$37),0)</f>
        <v>0</v>
      </c>
      <c r="BA201" s="861">
        <f>IF(INDEX(HwyTransitModelGroup,A178,1)=PARAMETERS!$J$11,0.00000110231131*((C201-D201)*PARAMETERS!$CS$37),0)</f>
        <v>0</v>
      </c>
      <c r="BB201" s="863">
        <f>IF(INDEX(HwyTransitModelGroup,A178,1)=PARAMETERS!$J$11,0.00000110231131*((C201-D201)*PARAMETERS!$CT$37),0)</f>
        <v>0</v>
      </c>
      <c r="BC201" s="861">
        <f>IF(INDEX(HwyTransitModelGroup,A178,1)=PARAMETERS!$J$11,0.00000110231131*((C201-D201)*PARAMETERS!$CU$37),0)</f>
        <v>0</v>
      </c>
      <c r="BD201" s="863">
        <f>IF(INDEX(HwyTransitModelGroup,A178,1)=PARAMETERS!$J$11,0.00000110231131*((C201-D201)*PARAMETERS!$CV$37),0)</f>
        <v>0</v>
      </c>
      <c r="BE201" s="865">
        <f>IF(INDEX(HwyTransitModelGroup,A178,1)=PARAMETERS!$J$11,0.00000110231131*((C201-D201)*PARAMETERS!$CW$37),0)</f>
        <v>0</v>
      </c>
      <c r="BF201" s="729">
        <f t="shared" si="82"/>
        <v>40.079896435313323</v>
      </c>
      <c r="BG201" s="867">
        <f t="shared" si="83"/>
        <v>44715.196060523667</v>
      </c>
      <c r="BH201" s="867">
        <f t="shared" si="84"/>
        <v>4903.5098033957565</v>
      </c>
      <c r="BI201" s="867">
        <f t="shared" si="85"/>
        <v>1019.3033468990566</v>
      </c>
      <c r="BJ201" s="867">
        <f t="shared" si="86"/>
        <v>370.33814831636664</v>
      </c>
      <c r="BK201" s="869">
        <f t="shared" si="87"/>
        <v>12.238923756047862</v>
      </c>
      <c r="BN201" s="375">
        <f t="shared" si="92"/>
        <v>2033</v>
      </c>
      <c r="BO201" s="871">
        <f t="shared" ca="1" si="90"/>
        <v>-5.6936451506762681E-5</v>
      </c>
      <c r="BP201" s="871">
        <f t="shared" ca="1" si="91"/>
        <v>-1.7642776141250081E-4</v>
      </c>
      <c r="BQ201" s="871">
        <f t="shared" ca="1" si="91"/>
        <v>-3.4833221481988704E-5</v>
      </c>
      <c r="BR201" s="871">
        <f t="shared" ca="1" si="91"/>
        <v>-4.7520532327129393E-4</v>
      </c>
      <c r="BS201" s="871">
        <f t="shared" ca="1" si="91"/>
        <v>8.3308579613698454E-3</v>
      </c>
      <c r="BT201" s="871">
        <f t="shared" ca="1" si="91"/>
        <v>1.0807025492711092E-2</v>
      </c>
    </row>
    <row r="202" spans="2:72" x14ac:dyDescent="0.25">
      <c r="B202" s="375">
        <f t="shared" si="88"/>
        <v>2041</v>
      </c>
      <c r="C202" s="401">
        <f>MAX(TREND(C184:C185,B184:B185,B202),0)</f>
        <v>21330508.75</v>
      </c>
      <c r="D202" s="402">
        <f>MAX(TREND(D184:D185,B184:B185,B202),0)</f>
        <v>18551490</v>
      </c>
      <c r="E202" s="401">
        <f>MAX(TREND(E184:E185,B184:B185,B202),0)</f>
        <v>308333.75</v>
      </c>
      <c r="F202" s="402">
        <f>MAX(TREND(F184:F185,B184:B185,B202),0)</f>
        <v>267453.75</v>
      </c>
      <c r="G202" s="401">
        <f>MAX(TREND(G184:G185,B184:B185,B202),0)</f>
        <v>0</v>
      </c>
      <c r="H202" s="402">
        <f>MAX(TREND(H184:H185,B184:B185,B202),0)</f>
        <v>0</v>
      </c>
      <c r="I202" s="401">
        <f>MAX(TREND(I184:I185,B184:B185,B202),0)</f>
        <v>0</v>
      </c>
      <c r="J202" s="402">
        <f>MAX(TREND(J184:J185,B184:B185,B202),0)</f>
        <v>0</v>
      </c>
      <c r="K202" s="435">
        <f>IFERROR(IF(INDEX(HwyTransitModelGroup,A178,1)=Hwy,MAX(5,ROUND(C202/E202,1)),MAX(5,ROUND(G202/I202,1))),55)</f>
        <v>69.2</v>
      </c>
      <c r="L202" s="436">
        <f>IFERROR(IF(INDEX(HwyTransitModelGroup,A178,1)=Hwy,MAX(5,ROUND(D202/F202,1)),MAX(5,ROUND(H202/J202,1))),55)</f>
        <v>69.400000000000006</v>
      </c>
      <c r="M202" s="405">
        <f>MIN(MAX(TREND(M184:M185,B184:B185,B202),0),1)</f>
        <v>0.24</v>
      </c>
      <c r="N202" s="406">
        <f>MIN(MAX(TREND(N184:N185,B184:B185,B202),0),1)</f>
        <v>0.24</v>
      </c>
      <c r="O202" s="401">
        <f>MAX(TREND(O184:O185,B184:B185,B202),0)</f>
        <v>0</v>
      </c>
      <c r="P202" s="402">
        <f>MAX(TREND(P184:P185,B184:B185,B202),0)</f>
        <v>0</v>
      </c>
      <c r="Q202" s="729">
        <f>IF(INDEX(HwyTransitModelGroup,A178,1)=Hwy,C202*(1-M202)*0.00000110231131*(VLOOKUP(K202,EmAuto20,2)*VLOOKUP(ProjLoc,EmCost,2)+VLOOKUP(K202,EmAuto20,3)*VLOOKUP(ProjLoc,EmCost,3)*(1+CO2Uprater)^($B202-YearCurrent)+VLOOKUP(K202,EmAuto20,4)*VLOOKUP(ProjLoc,EmCost,4)+VLOOKUP(K202,EmAuto20,5)*VLOOKUP(ProjLoc,EmCost,5)+VLOOKUP(K202,EmAuto20,6)*VLOOKUP(ProjLoc,EmCost,6)+VLOOKUP(K202,EmAuto20,7)*VLOOKUP(ProjLoc,EmCost,7))+C202*M202*0.00000110231131*(VLOOKUP(K202,EmTruck20,2)*VLOOKUP(ProjLoc,EmCost,2)+VLOOKUP(K202,EmTruck20,3)*VLOOKUP(ProjLoc,EmCost,3)*(1+CO2Uprater)^($B202-YearCurrent)+VLOOKUP(K202,EmTruck20,4)*VLOOKUP(ProjLoc,EmCost,4)+VLOOKUP(K202,EmTruck20,5)*VLOOKUP(ProjLoc,EmCost,5)+VLOOKUP(K202,EmTruck20,6)*VLOOKUP(ProjLoc,EmCost,6)+VLOOKUP(K202,EmTruck20,7)*VLOOKUP(ProjLoc,EmCost,7)),0)</f>
        <v>825186.27126915334</v>
      </c>
      <c r="R202" s="802">
        <f>IF(INDEX(HwyTransitModelGroup,A178,1)=Hwy,D202*(1-N202)*0.00000110231131*(VLOOKUP(L202,EmAuto20,2)*VLOOKUP(ProjLoc,EmCost,2)+VLOOKUP(L202,EmAuto20,3)*VLOOKUP(ProjLoc,EmCost,3)*(1+CO2Uprater)^($B202-YearCurrent)+VLOOKUP(L202,EmAuto20,4)*VLOOKUP(ProjLoc,EmCost,4)+VLOOKUP(L202,EmAuto20,5)*VLOOKUP(ProjLoc,EmCost,5)+VLOOKUP(L202,EmAuto20,6)*VLOOKUP(ProjLoc,EmCost,6)+VLOOKUP(L202,EmAuto20,7)*VLOOKUP(ProjLoc,EmCost,7))+D202*N202*0.00000110231131*(VLOOKUP(L202,EmTruck20,2)*VLOOKUP(ProjLoc,EmCost,2)+VLOOKUP(L202,EmTruck20,3)*VLOOKUP(ProjLoc,EmCost,3)*(1+CO2Uprater)^($B202-YearCurrent)+VLOOKUP(L202,EmTruck20,4)*VLOOKUP(ProjLoc,EmCost,4)+VLOOKUP(L202,EmTruck20,5)*VLOOKUP(ProjLoc,EmCost,5)+VLOOKUP(L202,EmTruck20,6)*VLOOKUP(ProjLoc,EmCost,6)+VLOOKUP(L202,EmTruck20,7)*VLOOKUP(ProjLoc,EmCost,7)),0)</f>
        <v>717677.90627998905</v>
      </c>
      <c r="S202" s="729">
        <f>IF(INDEX(HwyTransitModelGroup,A178,1)=Hwy,O202*(1-M202)*0.00000110231131*(VLOOKUP(0,EmAuto20,2)*VLOOKUP(ProjLoc,EmCost,2)+VLOOKUP(0,EmAuto20,3)*VLOOKUP(ProjLoc,EmCost,3)*(1+CO2Uprater)^($B202-YearCurrent)+VLOOKUP(0,EmAuto20,4)*VLOOKUP(ProjLoc,EmCost,4)+VLOOKUP(0,EmAuto20,5)*VLOOKUP(ProjLoc,EmCost,5)+VLOOKUP(0,EmAuto20,6)*VLOOKUP(ProjLoc,EmCost,6)+VLOOKUP(0,EmAuto20,7)*VLOOKUP(ProjLoc,EmCost,7))+O202*M202*0.00000110231131*(VLOOKUP(0,EmTruck20,2)*VLOOKUP(ProjLoc,EmCost,2)+VLOOKUP(0,EmTruck20,3)*VLOOKUP(ProjLoc,EmCost,3)*(1+CO2Uprater)^($B202-YearCurrent)+VLOOKUP(0,EmTruck20,4)*VLOOKUP(ProjLoc,EmCost,4)+VLOOKUP(0,EmTruck20,5)*VLOOKUP(ProjLoc,EmCost,5)+VLOOKUP(0,EmTruck20,6)*VLOOKUP(ProjLoc,EmCost,6)+VLOOKUP(0,EmTruck20,7)*VLOOKUP(ProjLoc,EmCost,7)),0)</f>
        <v>0</v>
      </c>
      <c r="T202" s="802">
        <f>IF(INDEX(HwyTransitModelGroup,A178,1)=Hwy,P202*(1-N202)*0.00000110231131*(VLOOKUP(0,EmAuto20,2)*VLOOKUP(ProjLoc,EmCost,2)+VLOOKUP(0,EmAuto20,3)*VLOOKUP(ProjLoc,EmCost,3)*(1+CO2Uprater)^($B202-YearCurrent)+VLOOKUP(0,EmAuto20,4)*VLOOKUP(ProjLoc,EmCost,4)+VLOOKUP(0,EmAuto20,5)*VLOOKUP(ProjLoc,EmCost,5)+VLOOKUP(0,EmAuto20,6)*VLOOKUP(ProjLoc,EmCost,6)+VLOOKUP(0,EmAuto20,7)*VLOOKUP(ProjLoc,EmCost,7))+P202*N202*0.00000110231131*(VLOOKUP(0,EmTruck20,2)*VLOOKUP(ProjLoc,EmCost,2)+VLOOKUP(0,EmTruck20,3)*VLOOKUP(ProjLoc,EmCost,3)*(1+CO2Uprater)^($B202-YearCurrent)+VLOOKUP(0,EmTruck20,4)*VLOOKUP(ProjLoc,EmCost,4)+VLOOKUP(0,EmTruck20,5)*VLOOKUP(ProjLoc,EmCost,5)+VLOOKUP(0,EmTruck20,6)*VLOOKUP(ProjLoc,EmCost,6)+VLOOKUP(0,EmTruck20,7)*VLOOKUP(ProjLoc,EmCost,7)),0)</f>
        <v>0</v>
      </c>
      <c r="U202" s="729">
        <f>IF(INDEX(HwyTransitModelGroup,A178,1)=PARAMETERS!$J$9,C202*0.00000110231131*(VLOOKUP(K202,EmBus20,2)*VLOOKUP(ProjLoc,EmCost,2)+VLOOKUP(K202,EmBus20,3)*VLOOKUP(ProjLoc,EmCost,3)*(1+CO2Uprater)^($B202-YearCurrent)+VLOOKUP(K202,EmBus20,4)*VLOOKUP(ProjLoc,EmCost,4)+VLOOKUP(K202,EmBus20,5)*VLOOKUP(ProjLoc,EmCost,5)+VLOOKUP(K202,EmBus20,6)*VLOOKUP(ProjLoc,EmCost,6)+VLOOKUP(K202,EmBus20,7)*VLOOKUP(ProjLoc,EmCost,7)),0)</f>
        <v>0</v>
      </c>
      <c r="V202" s="802">
        <f>IF(INDEX(HwyTransitModelGroup,A178,1)=PARAMETERS!$J$9,D202*0.00000110231131*(VLOOKUP(L202,EmBus20,2)*VLOOKUP(ProjLoc,EmCost,2)+VLOOKUP(L202,EmBus20,3)*VLOOKUP(ProjLoc,EmCost,3)*(1+CO2Uprater)^($B202-YearCurrent)+VLOOKUP(L202,EmBus20,4)*VLOOKUP(ProjLoc,EmCost,4)+VLOOKUP(L202,EmBus20,5)*VLOOKUP(ProjLoc,EmCost,5)+VLOOKUP(L202,EmBus20,6)*VLOOKUP(ProjLoc,EmCost,6)+VLOOKUP(L202,EmBus20,7)*VLOOKUP(ProjLoc,EmCost,7)),0)</f>
        <v>0</v>
      </c>
      <c r="W202" s="808">
        <f>IF(INDEX(HwyTransitModelGroup,A178,1)=PARAMETERS!$J$10,C202*0.00000110231131*(PARAMETERS!$CQ$29*VLOOKUP(ProjLoc,EmCost,2)+PARAMETERS!$CR$29*VLOOKUP(ProjLoc,EmCost,3)*(1+CO2Uprater)^($B202-YearCurrent)+PARAMETERS!$CS$29*VLOOKUP(ProjLoc,EmCost,4)+PARAMETERS!$CT$29*VLOOKUP(ProjLoc,EmCost,5)+PARAMETERS!$CU$29*VLOOKUP(ProjLoc,EmCost,6)+PARAMETERS!$CV$29*VLOOKUP(ProjLoc,EmCost,7)),0)</f>
        <v>0</v>
      </c>
      <c r="X202" s="844">
        <f>IF(INDEX(HwyTransitModelGroup,A178,1)=PARAMETERS!$J$10,D202*0.00000110231131*(PARAMETERS!$CQ$29*VLOOKUP(ProjLoc,EmCost,2)+PARAMETERS!$CR$29*VLOOKUP(ProjLoc,EmCost,3)*(1+CO2Uprater)^($B202-YearCurrent)+PARAMETERS!$CS$29*VLOOKUP(ProjLoc,EmCost,4)+PARAMETERS!$CT$29*VLOOKUP(ProjLoc,EmCost,5)+PARAMETERS!$CU$29*VLOOKUP(ProjLoc,EmCost,6)+PARAMETERS!$CV$29*VLOOKUP(ProjLoc,EmCost,7)),0)</f>
        <v>0</v>
      </c>
      <c r="Y202" s="808">
        <f>IF(INDEX(HwyTransitModelGroup,A178,1)=PARAMETERS!$J$11,C202*0.00000110231131*(PARAMETERS!$CQ$37*VLOOKUP(ProjLoc,EmCost,2)+PARAMETERS!$CR$37*VLOOKUP(ProjLoc,EmCost,3)*(1+CO2Uprater)^($B202-YearCurrent)+PARAMETERS!$CS$37*VLOOKUP(ProjLoc,EmCost,4)+PARAMETERS!$CT$37*VLOOKUP(ProjLoc,EmCost,5)+PARAMETERS!$CU$37*VLOOKUP(ProjLoc,EmCost,6)+PARAMETERS!$CV$37*VLOOKUP(ProjLoc,EmCost,7)),0)</f>
        <v>0</v>
      </c>
      <c r="Z202" s="844">
        <f>IF(INDEX(HwyTransitModelGroup,A178,1)=PARAMETERS!$J$11,D202*0.00000110231131*(PARAMETERS!$CQ$37*VLOOKUP(ProjLoc,EmCost,2)+PARAMETERS!$CR$37*VLOOKUP(ProjLoc,EmCost,3)*(1+CO2Uprater)^($B202-YearCurrent)+PARAMETERS!$CS$37*VLOOKUP(ProjLoc,EmCost,4)+PARAMETERS!$CT$37*VLOOKUP(ProjLoc,EmCost,5)+PARAMETERS!$CU$37*VLOOKUP(ProjLoc,EmCost,6)+PARAMETERS!$CV$37*VLOOKUP(ProjLoc,EmCost,7)),0)</f>
        <v>0</v>
      </c>
      <c r="AA202" s="369">
        <f t="shared" si="80"/>
        <v>107508.36498916429</v>
      </c>
      <c r="AB202" s="370">
        <f t="shared" si="81"/>
        <v>51028.030964038539</v>
      </c>
      <c r="AC202" s="371"/>
      <c r="AD202" s="401">
        <f>IF(INDEX(HwyTransitModelGroup,A178,1)=Hwy,0.00000110231131*(C202*(1-M202)*VLOOKUP(K202,EmAuto20,2)-D202*(1-N202)*VLOOKUP(L202,EmAuto20,2)+(O202*(1-M202)-P202*(1-N202))*VLOOKUP(0,EmAuto20,2))+0.00000110231131*(C202*M202*VLOOKUP(K202,EmTruck20,2)-D202*N202*VLOOKUP(L202,EmTruck20,2)+(O202*M202-P202*N202)*VLOOKUP(0,EmTruck20,2)),0)</f>
        <v>1.0366968083990542</v>
      </c>
      <c r="AE202" s="863">
        <f>IF(INDEX(HwyTransitModelGroup,A178,1)=Hwy,0.00000110231131*(C202*(1-M202)*VLOOKUP(K202,EmAuto20,3)-D202*(1-N202)*VLOOKUP(L202,EmAuto20,3)+(O202*(1-M202)-P202*(1-N202))*VLOOKUP(0,EmAuto20,3))+0.00000110231131*(C202*M202*VLOOKUP(K202,EmTruck20,3)-D202*N202*VLOOKUP(L202,EmTruck20,3)+(O202*M202-P202*N202)*VLOOKUP(0,EmTruck20,3)),0)</f>
        <v>1349.6649450517475</v>
      </c>
      <c r="AF202" s="861">
        <f>IF(INDEX(HwyTransitModelGroup,A178,1)=Hwy,0.00000110231131*(C202*(1-M202)*VLOOKUP(K202,EmAuto20,4)-D202*(1-N202)*VLOOKUP(L202,EmAuto20,4)+(O202*(1-M202)-P202*(1-N202))*VLOOKUP(0,EmAuto20,4))+0.00000110231131*(C202*M202*VLOOKUP(K202,EmTruck20,4)-D202*N202*VLOOKUP(L202,EmTruck20,4)+(O202*M202-P202*N202)*VLOOKUP(0,EmTruck20,4)),0)</f>
        <v>0.67196284233550929</v>
      </c>
      <c r="AG202" s="863">
        <f>IF(INDEX(HwyTransitModelGroup,A178,1)=Hwy,0.00000110231131*(C202*(1-M202)*VLOOKUP(K202,EmAuto20,5)-D202*(1-N202)*VLOOKUP(L202,EmAuto20,5)+(O202*(1-M202)-P202*(1-N202))*VLOOKUP(0,EmAuto20,5))+0.00000110231131*(C202*M202*VLOOKUP(K202,EmTruck20,5)-D202*N202*VLOOKUP(L202,EmTruck20,5)+(O202*M202-P202*N202)*VLOOKUP(0,EmTruck20,5)),0)</f>
        <v>1.8073728413079665E-2</v>
      </c>
      <c r="AH202" s="861">
        <f>IF(INDEX(HwyTransitModelGroup,A178,1)=Hwy,0.00000110231131*(C202*(1-M202)*VLOOKUP(K202,EmAuto20,6)-D202*(1-N202)*VLOOKUP(L202,EmAuto20,6)+(O202*(1-M202)-P202*(1-N202))*VLOOKUP(0,EmAuto20,6))+0.00000110231131*(C202*M202*VLOOKUP(K202,EmTruck20,6)-D202*N202*VLOOKUP(L202,EmTruck20,6)+(O202*M202-P202*N202)*VLOOKUP(0,EmTruck20,6)),0)</f>
        <v>1.2988577707026744E-2</v>
      </c>
      <c r="AI202" s="863">
        <f>IF(INDEX(HwyTransitModelGroup,A178,1)=Hwy,0.00000110231131*(C202*(1-M202)*VLOOKUP(K202,EmAuto20,7)-D202*(1-N202)*VLOOKUP(L202,EmAuto20,7)+(O202*(1-M202)-P202*(1-N202))*VLOOKUP(0,EmAuto20,7))+0.00000110231131*(C202*M202*VLOOKUP(K202,EmTruck20,7)-D202*N202*VLOOKUP(L202,EmTruck20,7)+(O202*M202-P202*N202)*VLOOKUP(0,EmTruck20,7)),0)</f>
        <v>2.2815784613663955E-2</v>
      </c>
      <c r="AJ202" s="861">
        <f>IF(INDEX(HwyTransitModelGroup,A178,1)=Hwy,0.00000110231131*(C202*(1-M202)*VLOOKUP(K202,EmAuto20,8)-D202*(1-N202)*VLOOKUP(L202,EmAuto20,8)+(O202*(1-M202)-P202*(1-N202))*VLOOKUP(0,EmAuto20,8))+0.00000110231131*(C202*M202*VLOOKUP(K202,EmTruck20,8)-D202*N202*VLOOKUP(L202,EmTruck20,8)+(O202*M202-P202*N202)*VLOOKUP(0,EmTruck20,8)),0)</f>
        <v>1.7338525901361174E-2</v>
      </c>
      <c r="AK202" s="401">
        <f>IF(INDEX(HwyTransitModelGroup,A178,1)=PARAMETERS!$J$9,0.00000110231131*(C202*VLOOKUP(K202,EmBus20,2)-D202*VLOOKUP(L202,EmBus20,2)+(O202-P202)*VLOOKUP(0,EmBus20,2)),0)</f>
        <v>0</v>
      </c>
      <c r="AL202" s="863">
        <f>IF(INDEX(HwyTransitModelGroup,A178,1)=PARAMETERS!$J$9,0.00000110231131*(C202*VLOOKUP(K202,EmBus20,3)-D202*VLOOKUP(L202,EmBus20,3)+(O202-P202)*VLOOKUP(0,EmBus20,3)),0)</f>
        <v>0</v>
      </c>
      <c r="AM202" s="861">
        <f>IF(INDEX(HwyTransitModelGroup,A178,1)=PARAMETERS!$J$9,0.00000110231131*(C202*VLOOKUP(K202,EmBus20,4)-D202*VLOOKUP(L202,EmBus20,4)+(O202-P202)*VLOOKUP(0,EmBus20,4)),0)</f>
        <v>0</v>
      </c>
      <c r="AN202" s="863">
        <f>IF(INDEX(HwyTransitModelGroup,A178,1)=PARAMETERS!$J$9,0.00000110231131*(C202*VLOOKUP(K202,EmBus20,5)-D202*VLOOKUP(L202,EmBus20,5)+(O202-P202)*VLOOKUP(0,EmBus20,5)),0)</f>
        <v>0</v>
      </c>
      <c r="AO202" s="861">
        <f>IF(INDEX(HwyTransitModelGroup,A178,1)=PARAMETERS!$J$9,0.00000110231131*(C202*VLOOKUP(K202,EmBus20,6)-D202*VLOOKUP(L202,EmBus20,6)+(O202-P202)*VLOOKUP(0,EmBus20,6)),0)</f>
        <v>0</v>
      </c>
      <c r="AP202" s="863">
        <f>IF(INDEX(HwyTransitModelGroup,A178,1)=PARAMETERS!$J$9,0.00000110231131*(C202*VLOOKUP(K202,EmBus20,7)-D202*VLOOKUP(L202,EmBus20,7)+(O202-P202)*VLOOKUP(0,EmBus20,7)),0)</f>
        <v>0</v>
      </c>
      <c r="AQ202" s="861">
        <f>IF(INDEX(HwyTransitModelGroup,A178,1)=PARAMETERS!$J$9,0.00000110231131*(C202*VLOOKUP(K202,EmBus20,8)-D202*VLOOKUP(L202,EmBus20,8)+(O202-P202)*VLOOKUP(0,EmBus20,8)),0)</f>
        <v>0</v>
      </c>
      <c r="AR202" s="401">
        <f>IF(INDEX(HwyTransitModelGroup,A178,1)=PARAMETERS!$J$10,0.00000110231131*((C202-D202)*PARAMETERS!$CQ$29),0)</f>
        <v>0</v>
      </c>
      <c r="AS202" s="863">
        <f>IF(INDEX(HwyTransitModelGroup,A178,1)=PARAMETERS!$J$10,0.00000110231131*((C202-D202)*PARAMETERS!$CR$29),0)</f>
        <v>0</v>
      </c>
      <c r="AT202" s="861">
        <f>IF(INDEX(HwyTransitModelGroup,A178,1)=PARAMETERS!$J$10,0.00000110231131*((C202-D202)*PARAMETERS!$CS$29),0)</f>
        <v>0</v>
      </c>
      <c r="AU202" s="863">
        <f>IF(INDEX(HwyTransitModelGroup,A178,1)=PARAMETERS!$J$10,0.00000110231131*((C202-D202)*PARAMETERS!$CT$29),0)</f>
        <v>0</v>
      </c>
      <c r="AV202" s="861">
        <f>IF(INDEX(HwyTransitModelGroup,A178,1)=PARAMETERS!$J$10,0.00000110231131*((C202-D202)*PARAMETERS!$CU$29),0)</f>
        <v>0</v>
      </c>
      <c r="AW202" s="863">
        <f>IF(INDEX(HwyTransitModelGroup,A178,1)=PARAMETERS!$J$10,0.00000110231131*((C202-D202)*PARAMETERS!$CV$29),0)</f>
        <v>0</v>
      </c>
      <c r="AX202" s="861">
        <f>IF(INDEX(HwyTransitModelGroup,A178,1)=PARAMETERS!$J$10,0.00000110231131*((C202-D202)*PARAMETERS!$CW$29),0)</f>
        <v>0</v>
      </c>
      <c r="AY202" s="401">
        <f>IF(INDEX(HwyTransitModelGroup,A178,1)=PARAMETERS!$J$11,0.00000110231131*((C202-D202)*PARAMETERS!$CQ$37),0)</f>
        <v>0</v>
      </c>
      <c r="AZ202" s="863">
        <f>IF(INDEX(HwyTransitModelGroup,A178,1)=PARAMETERS!$J$11,0.00000110231131*((C202-D202)*PARAMETERS!$CR$37),0)</f>
        <v>0</v>
      </c>
      <c r="BA202" s="861">
        <f>IF(INDEX(HwyTransitModelGroup,A178,1)=PARAMETERS!$J$11,0.00000110231131*((C202-D202)*PARAMETERS!$CS$37),0)</f>
        <v>0</v>
      </c>
      <c r="BB202" s="863">
        <f>IF(INDEX(HwyTransitModelGroup,A178,1)=PARAMETERS!$J$11,0.00000110231131*((C202-D202)*PARAMETERS!$CT$37),0)</f>
        <v>0</v>
      </c>
      <c r="BC202" s="861">
        <f>IF(INDEX(HwyTransitModelGroup,A178,1)=PARAMETERS!$J$11,0.00000110231131*((C202-D202)*PARAMETERS!$CU$37),0)</f>
        <v>0</v>
      </c>
      <c r="BD202" s="863">
        <f>IF(INDEX(HwyTransitModelGroup,A178,1)=PARAMETERS!$J$11,0.00000110231131*((C202-D202)*PARAMETERS!$CV$37),0)</f>
        <v>0</v>
      </c>
      <c r="BE202" s="865">
        <f>IF(INDEX(HwyTransitModelGroup,A178,1)=PARAMETERS!$J$11,0.00000110231131*((C202-D202)*PARAMETERS!$CW$37),0)</f>
        <v>0</v>
      </c>
      <c r="BF202" s="729">
        <f t="shared" si="82"/>
        <v>39.364822891419614</v>
      </c>
      <c r="BG202" s="867">
        <f t="shared" si="83"/>
        <v>44795.771661856961</v>
      </c>
      <c r="BH202" s="867">
        <f t="shared" si="84"/>
        <v>4816.0252925939176</v>
      </c>
      <c r="BI202" s="867">
        <f t="shared" si="85"/>
        <v>1001.1177495947768</v>
      </c>
      <c r="BJ202" s="867">
        <f t="shared" si="86"/>
        <v>363.73087046116996</v>
      </c>
      <c r="BK202" s="869">
        <f t="shared" si="87"/>
        <v>12.020566640335069</v>
      </c>
      <c r="BN202" s="375">
        <f t="shared" si="92"/>
        <v>2034</v>
      </c>
      <c r="BO202" s="871">
        <f t="shared" ca="1" si="90"/>
        <v>-7.8524601218778927E-5</v>
      </c>
      <c r="BP202" s="871">
        <f t="shared" ca="1" si="91"/>
        <v>-1.7940373629247519E-4</v>
      </c>
      <c r="BQ202" s="871">
        <f t="shared" ca="1" si="91"/>
        <v>-3.5452589263162535E-5</v>
      </c>
      <c r="BR202" s="871">
        <f t="shared" ca="1" si="91"/>
        <v>-4.8070278566888353E-4</v>
      </c>
      <c r="BS202" s="871">
        <f t="shared" ca="1" si="91"/>
        <v>8.6658186880518191E-3</v>
      </c>
      <c r="BT202" s="871">
        <f t="shared" ca="1" si="91"/>
        <v>1.1079719519500549E-2</v>
      </c>
    </row>
    <row r="203" spans="2:72" x14ac:dyDescent="0.25">
      <c r="B203" s="375">
        <f t="shared" si="88"/>
        <v>2042</v>
      </c>
      <c r="C203" s="401">
        <f>MAX(TREND(C184:C185,B184:B185,B203),0)</f>
        <v>21569529</v>
      </c>
      <c r="D203" s="402">
        <f>MAX(TREND(D184:D185,B184:B185,B203),0)</f>
        <v>18732165</v>
      </c>
      <c r="E203" s="401">
        <f>MAX(TREND(E184:E185,B184:B185,B203),0)</f>
        <v>311856</v>
      </c>
      <c r="F203" s="402">
        <f>MAX(TREND(F184:F185,B184:B185,B203),0)</f>
        <v>270100</v>
      </c>
      <c r="G203" s="401">
        <f>MAX(TREND(G184:G185,B184:B185,B203),0)</f>
        <v>0</v>
      </c>
      <c r="H203" s="402">
        <f>MAX(TREND(H184:H185,B184:B185,B203),0)</f>
        <v>0</v>
      </c>
      <c r="I203" s="401">
        <f>MAX(TREND(I184:I185,B184:B185,B203),0)</f>
        <v>0</v>
      </c>
      <c r="J203" s="402">
        <f>MAX(TREND(J184:J185,B184:B185,B203),0)</f>
        <v>0</v>
      </c>
      <c r="K203" s="435">
        <f>IFERROR(IF(INDEX(HwyTransitModelGroup,A178,1)=Hwy,MAX(5,ROUND(C203/E203,1)),MAX(5,ROUND(G203/I203,1))),55)</f>
        <v>69.2</v>
      </c>
      <c r="L203" s="436">
        <f>IFERROR(IF(INDEX(HwyTransitModelGroup,A178,1)=Hwy,MAX(5,ROUND(D203/F203,1)),MAX(5,ROUND(H203/J203,1))),55)</f>
        <v>69.400000000000006</v>
      </c>
      <c r="M203" s="405">
        <f>MIN(MAX(TREND(M184:M185,B184:B185,B203),0),1)</f>
        <v>0.24</v>
      </c>
      <c r="N203" s="406">
        <f>MIN(MAX(TREND(N184:N185,B184:B185,B203),0),1)</f>
        <v>0.24</v>
      </c>
      <c r="O203" s="401">
        <f>MAX(TREND(O184:O185,B184:B185,B203),0)</f>
        <v>0</v>
      </c>
      <c r="P203" s="402">
        <f>MAX(TREND(P184:P185,B184:B185,B203),0)</f>
        <v>0</v>
      </c>
      <c r="Q203" s="729">
        <f>IF(INDEX(HwyTransitModelGroup,A178,1)=Hwy,C203*(1-M203)*0.00000110231131*(VLOOKUP(K203,EmAuto20,2)*VLOOKUP(ProjLoc,EmCost,2)+VLOOKUP(K203,EmAuto20,3)*VLOOKUP(ProjLoc,EmCost,3)*(1+CO2Uprater)^($B203-YearCurrent)+VLOOKUP(K203,EmAuto20,4)*VLOOKUP(ProjLoc,EmCost,4)+VLOOKUP(K203,EmAuto20,5)*VLOOKUP(ProjLoc,EmCost,5)+VLOOKUP(K203,EmAuto20,6)*VLOOKUP(ProjLoc,EmCost,6)+VLOOKUP(K203,EmAuto20,7)*VLOOKUP(ProjLoc,EmCost,7))+C203*M203*0.00000110231131*(VLOOKUP(K203,EmTruck20,2)*VLOOKUP(ProjLoc,EmCost,2)+VLOOKUP(K203,EmTruck20,3)*VLOOKUP(ProjLoc,EmCost,3)*(1+CO2Uprater)^($B203-YearCurrent)+VLOOKUP(K203,EmTruck20,4)*VLOOKUP(ProjLoc,EmCost,4)+VLOOKUP(K203,EmTruck20,5)*VLOOKUP(ProjLoc,EmCost,5)+VLOOKUP(K203,EmTruck20,6)*VLOOKUP(ProjLoc,EmCost,6)+VLOOKUP(K203,EmTruck20,7)*VLOOKUP(ProjLoc,EmCost,7)),0)</f>
        <v>849083.34941194905</v>
      </c>
      <c r="R203" s="802">
        <f>IF(INDEX(HwyTransitModelGroup,A178,1)=Hwy,D203*(1-N203)*0.00000110231131*(VLOOKUP(L203,EmAuto20,2)*VLOOKUP(ProjLoc,EmCost,2)+VLOOKUP(L203,EmAuto20,3)*VLOOKUP(ProjLoc,EmCost,3)*(1+CO2Uprater)^($B203-YearCurrent)+VLOOKUP(L203,EmAuto20,4)*VLOOKUP(ProjLoc,EmCost,4)+VLOOKUP(L203,EmAuto20,5)*VLOOKUP(ProjLoc,EmCost,5)+VLOOKUP(L203,EmAuto20,6)*VLOOKUP(ProjLoc,EmCost,6)+VLOOKUP(L203,EmAuto20,7)*VLOOKUP(ProjLoc,EmCost,7))+D203*N203*0.00000110231131*(VLOOKUP(L203,EmTruck20,2)*VLOOKUP(ProjLoc,EmCost,2)+VLOOKUP(L203,EmTruck20,3)*VLOOKUP(ProjLoc,EmCost,3)*(1+CO2Uprater)^($B203-YearCurrent)+VLOOKUP(L203,EmTruck20,4)*VLOOKUP(ProjLoc,EmCost,4)+VLOOKUP(L203,EmTruck20,5)*VLOOKUP(ProjLoc,EmCost,5)+VLOOKUP(L203,EmTruck20,6)*VLOOKUP(ProjLoc,EmCost,6)+VLOOKUP(L203,EmTruck20,7)*VLOOKUP(ProjLoc,EmCost,7)),0)</f>
        <v>737390.66810115695</v>
      </c>
      <c r="S203" s="729">
        <f>IF(INDEX(HwyTransitModelGroup,A178,1)=Hwy,O203*(1-M203)*0.00000110231131*(VLOOKUP(0,EmAuto20,2)*VLOOKUP(ProjLoc,EmCost,2)+VLOOKUP(0,EmAuto20,3)*VLOOKUP(ProjLoc,EmCost,3)*(1+CO2Uprater)^($B203-YearCurrent)+VLOOKUP(0,EmAuto20,4)*VLOOKUP(ProjLoc,EmCost,4)+VLOOKUP(0,EmAuto20,5)*VLOOKUP(ProjLoc,EmCost,5)+VLOOKUP(0,EmAuto20,6)*VLOOKUP(ProjLoc,EmCost,6)+VLOOKUP(0,EmAuto20,7)*VLOOKUP(ProjLoc,EmCost,7))+O203*M203*0.00000110231131*(VLOOKUP(0,EmTruck20,2)*VLOOKUP(ProjLoc,EmCost,2)+VLOOKUP(0,EmTruck20,3)*VLOOKUP(ProjLoc,EmCost,3)*(1+CO2Uprater)^($B203-YearCurrent)+VLOOKUP(0,EmTruck20,4)*VLOOKUP(ProjLoc,EmCost,4)+VLOOKUP(0,EmTruck20,5)*VLOOKUP(ProjLoc,EmCost,5)+VLOOKUP(0,EmTruck20,6)*VLOOKUP(ProjLoc,EmCost,6)+VLOOKUP(0,EmTruck20,7)*VLOOKUP(ProjLoc,EmCost,7)),0)</f>
        <v>0</v>
      </c>
      <c r="T203" s="802">
        <f>IF(INDEX(HwyTransitModelGroup,A178,1)=Hwy,P203*(1-N203)*0.00000110231131*(VLOOKUP(0,EmAuto20,2)*VLOOKUP(ProjLoc,EmCost,2)+VLOOKUP(0,EmAuto20,3)*VLOOKUP(ProjLoc,EmCost,3)*(1+CO2Uprater)^($B203-YearCurrent)+VLOOKUP(0,EmAuto20,4)*VLOOKUP(ProjLoc,EmCost,4)+VLOOKUP(0,EmAuto20,5)*VLOOKUP(ProjLoc,EmCost,5)+VLOOKUP(0,EmAuto20,6)*VLOOKUP(ProjLoc,EmCost,6)+VLOOKUP(0,EmAuto20,7)*VLOOKUP(ProjLoc,EmCost,7))+P203*N203*0.00000110231131*(VLOOKUP(0,EmTruck20,2)*VLOOKUP(ProjLoc,EmCost,2)+VLOOKUP(0,EmTruck20,3)*VLOOKUP(ProjLoc,EmCost,3)*(1+CO2Uprater)^($B203-YearCurrent)+VLOOKUP(0,EmTruck20,4)*VLOOKUP(ProjLoc,EmCost,4)+VLOOKUP(0,EmTruck20,5)*VLOOKUP(ProjLoc,EmCost,5)+VLOOKUP(0,EmTruck20,6)*VLOOKUP(ProjLoc,EmCost,6)+VLOOKUP(0,EmTruck20,7)*VLOOKUP(ProjLoc,EmCost,7)),0)</f>
        <v>0</v>
      </c>
      <c r="U203" s="729">
        <f>IF(INDEX(HwyTransitModelGroup,A178,1)=PARAMETERS!$J$9,C203*0.00000110231131*(VLOOKUP(K203,EmBus20,2)*VLOOKUP(ProjLoc,EmCost,2)+VLOOKUP(K203,EmBus20,3)*VLOOKUP(ProjLoc,EmCost,3)*(1+CO2Uprater)^($B203-YearCurrent)+VLOOKUP(K203,EmBus20,4)*VLOOKUP(ProjLoc,EmCost,4)+VLOOKUP(K203,EmBus20,5)*VLOOKUP(ProjLoc,EmCost,5)+VLOOKUP(K203,EmBus20,6)*VLOOKUP(ProjLoc,EmCost,6)+VLOOKUP(K203,EmBus20,7)*VLOOKUP(ProjLoc,EmCost,7)),0)</f>
        <v>0</v>
      </c>
      <c r="V203" s="802">
        <f>IF(INDEX(HwyTransitModelGroup,A178,1)=PARAMETERS!$J$9,D203*0.00000110231131*(VLOOKUP(L203,EmBus20,2)*VLOOKUP(ProjLoc,EmCost,2)+VLOOKUP(L203,EmBus20,3)*VLOOKUP(ProjLoc,EmCost,3)*(1+CO2Uprater)^($B203-YearCurrent)+VLOOKUP(L203,EmBus20,4)*VLOOKUP(ProjLoc,EmCost,4)+VLOOKUP(L203,EmBus20,5)*VLOOKUP(ProjLoc,EmCost,5)+VLOOKUP(L203,EmBus20,6)*VLOOKUP(ProjLoc,EmCost,6)+VLOOKUP(L203,EmBus20,7)*VLOOKUP(ProjLoc,EmCost,7)),0)</f>
        <v>0</v>
      </c>
      <c r="W203" s="808">
        <f>IF(INDEX(HwyTransitModelGroup,A178,1)=PARAMETERS!$J$10,C203*0.00000110231131*(PARAMETERS!$CQ$29*VLOOKUP(ProjLoc,EmCost,2)+PARAMETERS!$CR$29*VLOOKUP(ProjLoc,EmCost,3)*(1+CO2Uprater)^($B203-YearCurrent)+PARAMETERS!$CS$29*VLOOKUP(ProjLoc,EmCost,4)+PARAMETERS!$CT$29*VLOOKUP(ProjLoc,EmCost,5)+PARAMETERS!$CU$29*VLOOKUP(ProjLoc,EmCost,6)+PARAMETERS!$CV$29*VLOOKUP(ProjLoc,EmCost,7)),0)</f>
        <v>0</v>
      </c>
      <c r="X203" s="844">
        <f>IF(INDEX(HwyTransitModelGroup,A178,1)=PARAMETERS!$J$10,D203*0.00000110231131*(PARAMETERS!$CQ$29*VLOOKUP(ProjLoc,EmCost,2)+PARAMETERS!$CR$29*VLOOKUP(ProjLoc,EmCost,3)*(1+CO2Uprater)^($B203-YearCurrent)+PARAMETERS!$CS$29*VLOOKUP(ProjLoc,EmCost,4)+PARAMETERS!$CT$29*VLOOKUP(ProjLoc,EmCost,5)+PARAMETERS!$CU$29*VLOOKUP(ProjLoc,EmCost,6)+PARAMETERS!$CV$29*VLOOKUP(ProjLoc,EmCost,7)),0)</f>
        <v>0</v>
      </c>
      <c r="Y203" s="808">
        <f>IF(INDEX(HwyTransitModelGroup,A178,1)=PARAMETERS!$J$11,C203*0.00000110231131*(PARAMETERS!$CQ$37*VLOOKUP(ProjLoc,EmCost,2)+PARAMETERS!$CR$37*VLOOKUP(ProjLoc,EmCost,3)*(1+CO2Uprater)^($B203-YearCurrent)+PARAMETERS!$CS$37*VLOOKUP(ProjLoc,EmCost,4)+PARAMETERS!$CT$37*VLOOKUP(ProjLoc,EmCost,5)+PARAMETERS!$CU$37*VLOOKUP(ProjLoc,EmCost,6)+PARAMETERS!$CV$37*VLOOKUP(ProjLoc,EmCost,7)),0)</f>
        <v>0</v>
      </c>
      <c r="Z203" s="844">
        <f>IF(INDEX(HwyTransitModelGroup,A178,1)=PARAMETERS!$J$11,D203*0.00000110231131*(PARAMETERS!$CQ$37*VLOOKUP(ProjLoc,EmCost,2)+PARAMETERS!$CR$37*VLOOKUP(ProjLoc,EmCost,3)*(1+CO2Uprater)^($B203-YearCurrent)+PARAMETERS!$CS$37*VLOOKUP(ProjLoc,EmCost,4)+PARAMETERS!$CT$37*VLOOKUP(ProjLoc,EmCost,5)+PARAMETERS!$CU$37*VLOOKUP(ProjLoc,EmCost,6)+PARAMETERS!$CV$37*VLOOKUP(ProjLoc,EmCost,7)),0)</f>
        <v>0</v>
      </c>
      <c r="AA203" s="369">
        <f t="shared" si="80"/>
        <v>111692.6813107921</v>
      </c>
      <c r="AB203" s="370">
        <f t="shared" si="81"/>
        <v>50975.081736466534</v>
      </c>
      <c r="AC203" s="371"/>
      <c r="AD203" s="401">
        <f>IF(INDEX(HwyTransitModelGroup,A178,1)=Hwy,0.00000110231131*(C203*(1-M203)*VLOOKUP(K203,EmAuto20,2)-D203*(1-N203)*VLOOKUP(L203,EmAuto20,2)+(O203*(1-M203)-P203*(1-N203))*VLOOKUP(0,EmAuto20,2))+0.00000110231131*(C203*M203*VLOOKUP(K203,EmTruck20,2)-D203*N203*VLOOKUP(L203,EmTruck20,2)+(O203*M203-P203*N203)*VLOOKUP(0,EmTruck20,2)),0)</f>
        <v>1.0584621651316228</v>
      </c>
      <c r="AE203" s="863">
        <f>IF(INDEX(HwyTransitModelGroup,A178,1)=Hwy,0.00000110231131*(C203*(1-M203)*VLOOKUP(K203,EmAuto20,3)-D203*(1-N203)*VLOOKUP(L203,EmAuto20,3)+(O203*(1-M203)-P203*(1-N203))*VLOOKUP(0,EmAuto20,3))+0.00000110231131*(C203*M203*VLOOKUP(K203,EmTruck20,3)-D203*N203*VLOOKUP(L203,EmTruck20,3)+(O203*M203-P203*N203)*VLOOKUP(0,EmTruck20,3)),0)</f>
        <v>1378.0010398101158</v>
      </c>
      <c r="AF203" s="861">
        <f>IF(INDEX(HwyTransitModelGroup,A178,1)=Hwy,0.00000110231131*(C203*(1-M203)*VLOOKUP(K203,EmAuto20,4)-D203*(1-N203)*VLOOKUP(L203,EmAuto20,4)+(O203*(1-M203)-P203*(1-N203))*VLOOKUP(0,EmAuto20,4))+0.00000110231131*(C203*M203*VLOOKUP(K203,EmTruck20,4)-D203*N203*VLOOKUP(L203,EmTruck20,4)+(O203*M203-P203*N203)*VLOOKUP(0,EmTruck20,4)),0)</f>
        <v>0.68607064208561019</v>
      </c>
      <c r="AG203" s="863">
        <f>IF(INDEX(HwyTransitModelGroup,A178,1)=Hwy,0.00000110231131*(C203*(1-M203)*VLOOKUP(K203,EmAuto20,5)-D203*(1-N203)*VLOOKUP(L203,EmAuto20,5)+(O203*(1-M203)-P203*(1-N203))*VLOOKUP(0,EmAuto20,5))+0.00000110231131*(C203*M203*VLOOKUP(K203,EmTruck20,5)-D203*N203*VLOOKUP(L203,EmTruck20,5)+(O203*M203-P203*N203)*VLOOKUP(0,EmTruck20,5)),0)</f>
        <v>1.8453184723942372E-2</v>
      </c>
      <c r="AH203" s="861">
        <f>IF(INDEX(HwyTransitModelGroup,A178,1)=Hwy,0.00000110231131*(C203*(1-M203)*VLOOKUP(K203,EmAuto20,6)-D203*(1-N203)*VLOOKUP(L203,EmAuto20,6)+(O203*(1-M203)-P203*(1-N203))*VLOOKUP(0,EmAuto20,6))+0.00000110231131*(C203*M203*VLOOKUP(K203,EmTruck20,6)-D203*N203*VLOOKUP(L203,EmTruck20,6)+(O203*M203-P203*N203)*VLOOKUP(0,EmTruck20,6)),0)</f>
        <v>1.3261271733816211E-2</v>
      </c>
      <c r="AI203" s="863">
        <f>IF(INDEX(HwyTransitModelGroup,A178,1)=Hwy,0.00000110231131*(C203*(1-M203)*VLOOKUP(K203,EmAuto20,7)-D203*(1-N203)*VLOOKUP(L203,EmAuto20,7)+(O203*(1-M203)-P203*(1-N203))*VLOOKUP(0,EmAuto20,7))+0.00000110231131*(C203*M203*VLOOKUP(K203,EmTruck20,7)-D203*N203*VLOOKUP(L203,EmTruck20,7)+(O203*M203-P203*N203)*VLOOKUP(0,EmTruck20,7)),0)</f>
        <v>2.3294799970156394E-2</v>
      </c>
      <c r="AJ203" s="861">
        <f>IF(INDEX(HwyTransitModelGroup,A178,1)=Hwy,0.00000110231131*(C203*(1-M203)*VLOOKUP(K203,EmAuto20,8)-D203*(1-N203)*VLOOKUP(L203,EmAuto20,8)+(O203*(1-M203)-P203*(1-N203))*VLOOKUP(0,EmAuto20,8))+0.00000110231131*(C203*M203*VLOOKUP(K203,EmTruck20,8)-D203*N203*VLOOKUP(L203,EmTruck20,8)+(O203*M203-P203*N203)*VLOOKUP(0,EmTruck20,8)),0)</f>
        <v>1.7702546701273521E-2</v>
      </c>
      <c r="AK203" s="401">
        <f>IF(INDEX(HwyTransitModelGroup,A178,1)=PARAMETERS!$J$9,0.00000110231131*(C203*VLOOKUP(K203,EmBus20,2)-D203*VLOOKUP(L203,EmBus20,2)+(O203-P203)*VLOOKUP(0,EmBus20,2)),0)</f>
        <v>0</v>
      </c>
      <c r="AL203" s="863">
        <f>IF(INDEX(HwyTransitModelGroup,A178,1)=PARAMETERS!$J$9,0.00000110231131*(C203*VLOOKUP(K203,EmBus20,3)-D203*VLOOKUP(L203,EmBus20,3)+(O203-P203)*VLOOKUP(0,EmBus20,3)),0)</f>
        <v>0</v>
      </c>
      <c r="AM203" s="861">
        <f>IF(INDEX(HwyTransitModelGroup,A178,1)=PARAMETERS!$J$9,0.00000110231131*(C203*VLOOKUP(K203,EmBus20,4)-D203*VLOOKUP(L203,EmBus20,4)+(O203-P203)*VLOOKUP(0,EmBus20,4)),0)</f>
        <v>0</v>
      </c>
      <c r="AN203" s="863">
        <f>IF(INDEX(HwyTransitModelGroup,A178,1)=PARAMETERS!$J$9,0.00000110231131*(C203*VLOOKUP(K203,EmBus20,5)-D203*VLOOKUP(L203,EmBus20,5)+(O203-P203)*VLOOKUP(0,EmBus20,5)),0)</f>
        <v>0</v>
      </c>
      <c r="AO203" s="861">
        <f>IF(INDEX(HwyTransitModelGroup,A178,1)=PARAMETERS!$J$9,0.00000110231131*(C203*VLOOKUP(K203,EmBus20,6)-D203*VLOOKUP(L203,EmBus20,6)+(O203-P203)*VLOOKUP(0,EmBus20,6)),0)</f>
        <v>0</v>
      </c>
      <c r="AP203" s="863">
        <f>IF(INDEX(HwyTransitModelGroup,A178,1)=PARAMETERS!$J$9,0.00000110231131*(C203*VLOOKUP(K203,EmBus20,7)-D203*VLOOKUP(L203,EmBus20,7)+(O203-P203)*VLOOKUP(0,EmBus20,7)),0)</f>
        <v>0</v>
      </c>
      <c r="AQ203" s="861">
        <f>IF(INDEX(HwyTransitModelGroup,A178,1)=PARAMETERS!$J$9,0.00000110231131*(C203*VLOOKUP(K203,EmBus20,8)-D203*VLOOKUP(L203,EmBus20,8)+(O203-P203)*VLOOKUP(0,EmBus20,8)),0)</f>
        <v>0</v>
      </c>
      <c r="AR203" s="401">
        <f>IF(INDEX(HwyTransitModelGroup,A178,1)=PARAMETERS!$J$10,0.00000110231131*((C203-D203)*PARAMETERS!$CQ$29),0)</f>
        <v>0</v>
      </c>
      <c r="AS203" s="863">
        <f>IF(INDEX(HwyTransitModelGroup,A178,1)=PARAMETERS!$J$10,0.00000110231131*((C203-D203)*PARAMETERS!$CR$29),0)</f>
        <v>0</v>
      </c>
      <c r="AT203" s="861">
        <f>IF(INDEX(HwyTransitModelGroup,A178,1)=PARAMETERS!$J$10,0.00000110231131*((C203-D203)*PARAMETERS!$CS$29),0)</f>
        <v>0</v>
      </c>
      <c r="AU203" s="863">
        <f>IF(INDEX(HwyTransitModelGroup,A178,1)=PARAMETERS!$J$10,0.00000110231131*((C203-D203)*PARAMETERS!$CT$29),0)</f>
        <v>0</v>
      </c>
      <c r="AV203" s="861">
        <f>IF(INDEX(HwyTransitModelGroup,A178,1)=PARAMETERS!$J$10,0.00000110231131*((C203-D203)*PARAMETERS!$CU$29),0)</f>
        <v>0</v>
      </c>
      <c r="AW203" s="863">
        <f>IF(INDEX(HwyTransitModelGroup,A178,1)=PARAMETERS!$J$10,0.00000110231131*((C203-D203)*PARAMETERS!$CV$29),0)</f>
        <v>0</v>
      </c>
      <c r="AX203" s="861">
        <f>IF(INDEX(HwyTransitModelGroup,A178,1)=PARAMETERS!$J$10,0.00000110231131*((C203-D203)*PARAMETERS!$CW$29),0)</f>
        <v>0</v>
      </c>
      <c r="AY203" s="401">
        <f>IF(INDEX(HwyTransitModelGroup,A178,1)=PARAMETERS!$J$11,0.00000110231131*((C203-D203)*PARAMETERS!$CQ$37),0)</f>
        <v>0</v>
      </c>
      <c r="AZ203" s="863">
        <f>IF(INDEX(HwyTransitModelGroup,A178,1)=PARAMETERS!$J$11,0.00000110231131*((C203-D203)*PARAMETERS!$CR$37),0)</f>
        <v>0</v>
      </c>
      <c r="BA203" s="861">
        <f>IF(INDEX(HwyTransitModelGroup,A178,1)=PARAMETERS!$J$11,0.00000110231131*((C203-D203)*PARAMETERS!$CS$37),0)</f>
        <v>0</v>
      </c>
      <c r="BB203" s="863">
        <f>IF(INDEX(HwyTransitModelGroup,A178,1)=PARAMETERS!$J$11,0.00000110231131*((C203-D203)*PARAMETERS!$CT$37),0)</f>
        <v>0</v>
      </c>
      <c r="BC203" s="861">
        <f>IF(INDEX(HwyTransitModelGroup,A178,1)=PARAMETERS!$J$11,0.00000110231131*((C203-D203)*PARAMETERS!$CU$37),0)</f>
        <v>0</v>
      </c>
      <c r="BD203" s="863">
        <f>IF(INDEX(HwyTransitModelGroup,A178,1)=PARAMETERS!$J$11,0.00000110231131*((C203-D203)*PARAMETERS!$CV$37),0)</f>
        <v>0</v>
      </c>
      <c r="BE203" s="865">
        <f>IF(INDEX(HwyTransitModelGroup,A178,1)=PARAMETERS!$J$11,0.00000110231131*((C203-D203)*PARAMETERS!$CW$37),0)</f>
        <v>0</v>
      </c>
      <c r="BF203" s="729">
        <f t="shared" si="82"/>
        <v>38.645465217122322</v>
      </c>
      <c r="BG203" s="867">
        <f t="shared" si="83"/>
        <v>44856.711516666925</v>
      </c>
      <c r="BH203" s="867">
        <f t="shared" si="84"/>
        <v>4728.0166468191501</v>
      </c>
      <c r="BI203" s="867">
        <f t="shared" si="85"/>
        <v>982.82319920310727</v>
      </c>
      <c r="BJ203" s="867">
        <f t="shared" si="86"/>
        <v>357.08400725117173</v>
      </c>
      <c r="BK203" s="869">
        <f t="shared" si="87"/>
        <v>11.800901309032085</v>
      </c>
      <c r="BL203" s="2"/>
      <c r="BN203" s="375">
        <f t="shared" si="92"/>
        <v>2035</v>
      </c>
      <c r="BO203" s="871">
        <f t="shared" ca="1" si="90"/>
        <v>-1.0011275093079592E-4</v>
      </c>
      <c r="BP203" s="871">
        <f t="shared" ca="1" si="91"/>
        <v>-1.8237971117244931E-4</v>
      </c>
      <c r="BQ203" s="871">
        <f t="shared" ca="1" si="91"/>
        <v>-3.6071957044336732E-5</v>
      </c>
      <c r="BR203" s="871">
        <f t="shared" ca="1" si="91"/>
        <v>-4.8620024806647459E-4</v>
      </c>
      <c r="BS203" s="871">
        <f t="shared" ca="1" si="91"/>
        <v>9.000779414733753E-3</v>
      </c>
      <c r="BT203" s="871">
        <f t="shared" ca="1" si="91"/>
        <v>1.1352413546290008E-2</v>
      </c>
    </row>
    <row r="204" spans="2:72" x14ac:dyDescent="0.25">
      <c r="B204" s="375">
        <f t="shared" si="88"/>
        <v>2043</v>
      </c>
      <c r="C204" s="401">
        <f>MAX(TREND(C184:C185,B184:B185,B204),0)</f>
        <v>21808549.25</v>
      </c>
      <c r="D204" s="402">
        <f>MAX(TREND(D184:D185,B184:B185,B204),0)</f>
        <v>18912840</v>
      </c>
      <c r="E204" s="401">
        <f>MAX(TREND(E184:E185,B184:B185,B204),0)</f>
        <v>315378.25</v>
      </c>
      <c r="F204" s="402">
        <f>MAX(TREND(F184:F185,B184:B185,B204),0)</f>
        <v>272746.25</v>
      </c>
      <c r="G204" s="401">
        <f>MAX(TREND(G184:G185,B184:B185,B204),0)</f>
        <v>0</v>
      </c>
      <c r="H204" s="402">
        <f>MAX(TREND(H184:H185,B184:B185,B204),0)</f>
        <v>0</v>
      </c>
      <c r="I204" s="401">
        <f>MAX(TREND(I184:I185,B184:B185,B204),0)</f>
        <v>0</v>
      </c>
      <c r="J204" s="402">
        <f>MAX(TREND(J184:J185,B184:B185,B204),0)</f>
        <v>0</v>
      </c>
      <c r="K204" s="435">
        <f>IFERROR(IF(INDEX(HwyTransitModelGroup,A178,1)=Hwy,MAX(5,ROUND(C204/E204,1)),MAX(5,ROUND(G204/I204,1))),55)</f>
        <v>69.2</v>
      </c>
      <c r="L204" s="436">
        <f>IFERROR(IF(INDEX(HwyTransitModelGroup,A178,1)=Hwy,MAX(5,ROUND(D204/F204,1)),MAX(5,ROUND(H204/J204,1))),55)</f>
        <v>69.3</v>
      </c>
      <c r="M204" s="405">
        <f>MIN(MAX(TREND(M184:M185,B184:B185,B204),0),1)</f>
        <v>0.24</v>
      </c>
      <c r="N204" s="406">
        <f>MIN(MAX(TREND(N184:N185,B184:B185,B204),0),1)</f>
        <v>0.24</v>
      </c>
      <c r="O204" s="401">
        <f>MAX(TREND(O184:O185,B184:B185,B204),0)</f>
        <v>0</v>
      </c>
      <c r="P204" s="402">
        <f>MAX(TREND(P184:P185,B184:B185,B204),0)</f>
        <v>0</v>
      </c>
      <c r="Q204" s="729">
        <f>IF(INDEX(HwyTransitModelGroup,A178,1)=Hwy,C204*(1-M204)*0.00000110231131*(VLOOKUP(K204,EmAuto20,2)*VLOOKUP(ProjLoc,EmCost,2)+VLOOKUP(K204,EmAuto20,3)*VLOOKUP(ProjLoc,EmCost,3)*(1+CO2Uprater)^($B204-YearCurrent)+VLOOKUP(K204,EmAuto20,4)*VLOOKUP(ProjLoc,EmCost,4)+VLOOKUP(K204,EmAuto20,5)*VLOOKUP(ProjLoc,EmCost,5)+VLOOKUP(K204,EmAuto20,6)*VLOOKUP(ProjLoc,EmCost,6)+VLOOKUP(K204,EmAuto20,7)*VLOOKUP(ProjLoc,EmCost,7))+C204*M204*0.00000110231131*(VLOOKUP(K204,EmTruck20,2)*VLOOKUP(ProjLoc,EmCost,2)+VLOOKUP(K204,EmTruck20,3)*VLOOKUP(ProjLoc,EmCost,3)*(1+CO2Uprater)^($B204-YearCurrent)+VLOOKUP(K204,EmTruck20,4)*VLOOKUP(ProjLoc,EmCost,4)+VLOOKUP(K204,EmTruck20,5)*VLOOKUP(ProjLoc,EmCost,5)+VLOOKUP(K204,EmTruck20,6)*VLOOKUP(ProjLoc,EmCost,6)+VLOOKUP(K204,EmTruck20,7)*VLOOKUP(ProjLoc,EmCost,7)),0)</f>
        <v>873601.3761665842</v>
      </c>
      <c r="R204" s="802">
        <f>IF(INDEX(HwyTransitModelGroup,A178,1)=Hwy,D204*(1-N204)*0.00000110231131*(VLOOKUP(L204,EmAuto20,2)*VLOOKUP(ProjLoc,EmCost,2)+VLOOKUP(L204,EmAuto20,3)*VLOOKUP(ProjLoc,EmCost,3)*(1+CO2Uprater)^($B204-YearCurrent)+VLOOKUP(L204,EmAuto20,4)*VLOOKUP(ProjLoc,EmCost,4)+VLOOKUP(L204,EmAuto20,5)*VLOOKUP(ProjLoc,EmCost,5)+VLOOKUP(L204,EmAuto20,6)*VLOOKUP(ProjLoc,EmCost,6)+VLOOKUP(L204,EmAuto20,7)*VLOOKUP(ProjLoc,EmCost,7))+D204*N204*0.00000110231131*(VLOOKUP(L204,EmTruck20,2)*VLOOKUP(ProjLoc,EmCost,2)+VLOOKUP(L204,EmTruck20,3)*VLOOKUP(ProjLoc,EmCost,3)*(1+CO2Uprater)^($B204-YearCurrent)+VLOOKUP(L204,EmTruck20,4)*VLOOKUP(ProjLoc,EmCost,4)+VLOOKUP(L204,EmTruck20,5)*VLOOKUP(ProjLoc,EmCost,5)+VLOOKUP(L204,EmTruck20,6)*VLOOKUP(ProjLoc,EmCost,6)+VLOOKUP(L204,EmTruck20,7)*VLOOKUP(ProjLoc,EmCost,7)),0)</f>
        <v>757605.78394358</v>
      </c>
      <c r="S204" s="729">
        <f>IF(INDEX(HwyTransitModelGroup,A178,1)=Hwy,O204*(1-M204)*0.00000110231131*(VLOOKUP(0,EmAuto20,2)*VLOOKUP(ProjLoc,EmCost,2)+VLOOKUP(0,EmAuto20,3)*VLOOKUP(ProjLoc,EmCost,3)*(1+CO2Uprater)^($B204-YearCurrent)+VLOOKUP(0,EmAuto20,4)*VLOOKUP(ProjLoc,EmCost,4)+VLOOKUP(0,EmAuto20,5)*VLOOKUP(ProjLoc,EmCost,5)+VLOOKUP(0,EmAuto20,6)*VLOOKUP(ProjLoc,EmCost,6)+VLOOKUP(0,EmAuto20,7)*VLOOKUP(ProjLoc,EmCost,7))+O204*M204*0.00000110231131*(VLOOKUP(0,EmTruck20,2)*VLOOKUP(ProjLoc,EmCost,2)+VLOOKUP(0,EmTruck20,3)*VLOOKUP(ProjLoc,EmCost,3)*(1+CO2Uprater)^($B204-YearCurrent)+VLOOKUP(0,EmTruck20,4)*VLOOKUP(ProjLoc,EmCost,4)+VLOOKUP(0,EmTruck20,5)*VLOOKUP(ProjLoc,EmCost,5)+VLOOKUP(0,EmTruck20,6)*VLOOKUP(ProjLoc,EmCost,6)+VLOOKUP(0,EmTruck20,7)*VLOOKUP(ProjLoc,EmCost,7)),0)</f>
        <v>0</v>
      </c>
      <c r="T204" s="802">
        <f>IF(INDEX(HwyTransitModelGroup,A178,1)=Hwy,P204*(1-N204)*0.00000110231131*(VLOOKUP(0,EmAuto20,2)*VLOOKUP(ProjLoc,EmCost,2)+VLOOKUP(0,EmAuto20,3)*VLOOKUP(ProjLoc,EmCost,3)*(1+CO2Uprater)^($B204-YearCurrent)+VLOOKUP(0,EmAuto20,4)*VLOOKUP(ProjLoc,EmCost,4)+VLOOKUP(0,EmAuto20,5)*VLOOKUP(ProjLoc,EmCost,5)+VLOOKUP(0,EmAuto20,6)*VLOOKUP(ProjLoc,EmCost,6)+VLOOKUP(0,EmAuto20,7)*VLOOKUP(ProjLoc,EmCost,7))+P204*N204*0.00000110231131*(VLOOKUP(0,EmTruck20,2)*VLOOKUP(ProjLoc,EmCost,2)+VLOOKUP(0,EmTruck20,3)*VLOOKUP(ProjLoc,EmCost,3)*(1+CO2Uprater)^($B204-YearCurrent)+VLOOKUP(0,EmTruck20,4)*VLOOKUP(ProjLoc,EmCost,4)+VLOOKUP(0,EmTruck20,5)*VLOOKUP(ProjLoc,EmCost,5)+VLOOKUP(0,EmTruck20,6)*VLOOKUP(ProjLoc,EmCost,6)+VLOOKUP(0,EmTruck20,7)*VLOOKUP(ProjLoc,EmCost,7)),0)</f>
        <v>0</v>
      </c>
      <c r="U204" s="729">
        <f>IF(INDEX(HwyTransitModelGroup,A178,1)=PARAMETERS!$J$9,C204*0.00000110231131*(VLOOKUP(K204,EmBus20,2)*VLOOKUP(ProjLoc,EmCost,2)+VLOOKUP(K204,EmBus20,3)*VLOOKUP(ProjLoc,EmCost,3)*(1+CO2Uprater)^($B204-YearCurrent)+VLOOKUP(K204,EmBus20,4)*VLOOKUP(ProjLoc,EmCost,4)+VLOOKUP(K204,EmBus20,5)*VLOOKUP(ProjLoc,EmCost,5)+VLOOKUP(K204,EmBus20,6)*VLOOKUP(ProjLoc,EmCost,6)+VLOOKUP(K204,EmBus20,7)*VLOOKUP(ProjLoc,EmCost,7)),0)</f>
        <v>0</v>
      </c>
      <c r="V204" s="802">
        <f>IF(INDEX(HwyTransitModelGroup,A178,1)=PARAMETERS!$J$9,D204*0.00000110231131*(VLOOKUP(L204,EmBus20,2)*VLOOKUP(ProjLoc,EmCost,2)+VLOOKUP(L204,EmBus20,3)*VLOOKUP(ProjLoc,EmCost,3)*(1+CO2Uprater)^($B204-YearCurrent)+VLOOKUP(L204,EmBus20,4)*VLOOKUP(ProjLoc,EmCost,4)+VLOOKUP(L204,EmBus20,5)*VLOOKUP(ProjLoc,EmCost,5)+VLOOKUP(L204,EmBus20,6)*VLOOKUP(ProjLoc,EmCost,6)+VLOOKUP(L204,EmBus20,7)*VLOOKUP(ProjLoc,EmCost,7)),0)</f>
        <v>0</v>
      </c>
      <c r="W204" s="808">
        <f>IF(INDEX(HwyTransitModelGroup,A178,1)=PARAMETERS!$J$10,C204*0.00000110231131*(PARAMETERS!$CQ$29*VLOOKUP(ProjLoc,EmCost,2)+PARAMETERS!$CR$29*VLOOKUP(ProjLoc,EmCost,3)*(1+CO2Uprater)^($B204-YearCurrent)+PARAMETERS!$CS$29*VLOOKUP(ProjLoc,EmCost,4)+PARAMETERS!$CT$29*VLOOKUP(ProjLoc,EmCost,5)+PARAMETERS!$CU$29*VLOOKUP(ProjLoc,EmCost,6)+PARAMETERS!$CV$29*VLOOKUP(ProjLoc,EmCost,7)),0)</f>
        <v>0</v>
      </c>
      <c r="X204" s="844">
        <f>IF(INDEX(HwyTransitModelGroup,A178,1)=PARAMETERS!$J$10,D204*0.00000110231131*(PARAMETERS!$CQ$29*VLOOKUP(ProjLoc,EmCost,2)+PARAMETERS!$CR$29*VLOOKUP(ProjLoc,EmCost,3)*(1+CO2Uprater)^($B204-YearCurrent)+PARAMETERS!$CS$29*VLOOKUP(ProjLoc,EmCost,4)+PARAMETERS!$CT$29*VLOOKUP(ProjLoc,EmCost,5)+PARAMETERS!$CU$29*VLOOKUP(ProjLoc,EmCost,6)+PARAMETERS!$CV$29*VLOOKUP(ProjLoc,EmCost,7)),0)</f>
        <v>0</v>
      </c>
      <c r="Y204" s="808">
        <f>IF(INDEX(HwyTransitModelGroup,A178,1)=PARAMETERS!$J$11,C204*0.00000110231131*(PARAMETERS!$CQ$37*VLOOKUP(ProjLoc,EmCost,2)+PARAMETERS!$CR$37*VLOOKUP(ProjLoc,EmCost,3)*(1+CO2Uprater)^($B204-YearCurrent)+PARAMETERS!$CS$37*VLOOKUP(ProjLoc,EmCost,4)+PARAMETERS!$CT$37*VLOOKUP(ProjLoc,EmCost,5)+PARAMETERS!$CU$37*VLOOKUP(ProjLoc,EmCost,6)+PARAMETERS!$CV$37*VLOOKUP(ProjLoc,EmCost,7)),0)</f>
        <v>0</v>
      </c>
      <c r="Z204" s="844">
        <f>IF(INDEX(HwyTransitModelGroup,A178,1)=PARAMETERS!$J$11,D204*0.00000110231131*(PARAMETERS!$CQ$37*VLOOKUP(ProjLoc,EmCost,2)+PARAMETERS!$CR$37*VLOOKUP(ProjLoc,EmCost,3)*(1+CO2Uprater)^($B204-YearCurrent)+PARAMETERS!$CS$37*VLOOKUP(ProjLoc,EmCost,4)+PARAMETERS!$CT$37*VLOOKUP(ProjLoc,EmCost,5)+PARAMETERS!$CU$37*VLOOKUP(ProjLoc,EmCost,6)+PARAMETERS!$CV$37*VLOOKUP(ProjLoc,EmCost,7)),0)</f>
        <v>0</v>
      </c>
      <c r="AA204" s="369">
        <f t="shared" si="80"/>
        <v>115995.59222300421</v>
      </c>
      <c r="AB204" s="370">
        <f t="shared" si="81"/>
        <v>50902.763564872323</v>
      </c>
      <c r="AC204" s="371"/>
      <c r="AD204" s="401">
        <f>IF(INDEX(HwyTransitModelGroup,A178,1)=Hwy,0.00000110231131*(C204*(1-M204)*VLOOKUP(K204,EmAuto20,2)-D204*(1-N204)*VLOOKUP(L204,EmAuto20,2)+(O204*(1-M204)-P204*(1-N204))*VLOOKUP(0,EmAuto20,2))+0.00000110231131*(C204*M204*VLOOKUP(K204,EmTruck20,2)-D204*N204*VLOOKUP(L204,EmTruck20,2)+(O204*M204-P204*N204)*VLOOKUP(0,EmTruck20,2)),0)</f>
        <v>1.0802275218641892</v>
      </c>
      <c r="AE204" s="863">
        <f>IF(INDEX(HwyTransitModelGroup,A178,1)=Hwy,0.00000110231131*(C204*(1-M204)*VLOOKUP(K204,EmAuto20,3)-D204*(1-N204)*VLOOKUP(L204,EmAuto20,3)+(O204*(1-M204)-P204*(1-N204))*VLOOKUP(0,EmAuto20,3))+0.00000110231131*(C204*M204*VLOOKUP(K204,EmTruck20,3)-D204*N204*VLOOKUP(L204,EmTruck20,3)+(O204*M204-P204*N204)*VLOOKUP(0,EmTruck20,3)),0)</f>
        <v>1406.3371345684825</v>
      </c>
      <c r="AF204" s="861">
        <f>IF(INDEX(HwyTransitModelGroup,A178,1)=Hwy,0.00000110231131*(C204*(1-M204)*VLOOKUP(K204,EmAuto20,4)-D204*(1-N204)*VLOOKUP(L204,EmAuto20,4)+(O204*(1-M204)-P204*(1-N204))*VLOOKUP(0,EmAuto20,4))+0.00000110231131*(C204*M204*VLOOKUP(K204,EmTruck20,4)-D204*N204*VLOOKUP(L204,EmTruck20,4)+(O204*M204-P204*N204)*VLOOKUP(0,EmTruck20,4)),0)</f>
        <v>0.70017844183571121</v>
      </c>
      <c r="AG204" s="863">
        <f>IF(INDEX(HwyTransitModelGroup,A178,1)=Hwy,0.00000110231131*(C204*(1-M204)*VLOOKUP(K204,EmAuto20,5)-D204*(1-N204)*VLOOKUP(L204,EmAuto20,5)+(O204*(1-M204)-P204*(1-N204))*VLOOKUP(0,EmAuto20,5))+0.00000110231131*(C204*M204*VLOOKUP(K204,EmTruck20,5)-D204*N204*VLOOKUP(L204,EmTruck20,5)+(O204*M204-P204*N204)*VLOOKUP(0,EmTruck20,5)),0)</f>
        <v>1.8832641034805035E-2</v>
      </c>
      <c r="AH204" s="861">
        <f>IF(INDEX(HwyTransitModelGroup,A178,1)=Hwy,0.00000110231131*(C204*(1-M204)*VLOOKUP(K204,EmAuto20,6)-D204*(1-N204)*VLOOKUP(L204,EmAuto20,6)+(O204*(1-M204)-P204*(1-N204))*VLOOKUP(0,EmAuto20,6))+0.00000110231131*(C204*M204*VLOOKUP(K204,EmTruck20,6)-D204*N204*VLOOKUP(L204,EmTruck20,6)+(O204*M204-P204*N204)*VLOOKUP(0,EmTruck20,6)),0)</f>
        <v>1.353396576060566E-2</v>
      </c>
      <c r="AI204" s="863">
        <f>IF(INDEX(HwyTransitModelGroup,A178,1)=Hwy,0.00000110231131*(C204*(1-M204)*VLOOKUP(K204,EmAuto20,7)-D204*(1-N204)*VLOOKUP(L204,EmAuto20,7)+(O204*(1-M204)-P204*(1-N204))*VLOOKUP(0,EmAuto20,7))+0.00000110231131*(C204*M204*VLOOKUP(K204,EmTruck20,7)-D204*N204*VLOOKUP(L204,EmTruck20,7)+(O204*M204-P204*N204)*VLOOKUP(0,EmTruck20,7)),0)</f>
        <v>2.3773815326648805E-2</v>
      </c>
      <c r="AJ204" s="861">
        <f>IF(INDEX(HwyTransitModelGroup,A178,1)=Hwy,0.00000110231131*(C204*(1-M204)*VLOOKUP(K204,EmAuto20,8)-D204*(1-N204)*VLOOKUP(L204,EmAuto20,8)+(O204*(1-M204)-P204*(1-N204))*VLOOKUP(0,EmAuto20,8))+0.00000110231131*(C204*M204*VLOOKUP(K204,EmTruck20,8)-D204*N204*VLOOKUP(L204,EmTruck20,8)+(O204*M204-P204*N204)*VLOOKUP(0,EmTruck20,8)),0)</f>
        <v>1.8066567501185841E-2</v>
      </c>
      <c r="AK204" s="401">
        <f>IF(INDEX(HwyTransitModelGroup,A178,1)=PARAMETERS!$J$9,0.00000110231131*(C204*VLOOKUP(K204,EmBus20,2)-D204*VLOOKUP(L204,EmBus20,2)+(O204-P204)*VLOOKUP(0,EmBus20,2)),0)</f>
        <v>0</v>
      </c>
      <c r="AL204" s="863">
        <f>IF(INDEX(HwyTransitModelGroup,A178,1)=PARAMETERS!$J$9,0.00000110231131*(C204*VLOOKUP(K204,EmBus20,3)-D204*VLOOKUP(L204,EmBus20,3)+(O204-P204)*VLOOKUP(0,EmBus20,3)),0)</f>
        <v>0</v>
      </c>
      <c r="AM204" s="861">
        <f>IF(INDEX(HwyTransitModelGroup,A178,1)=PARAMETERS!$J$9,0.00000110231131*(C204*VLOOKUP(K204,EmBus20,4)-D204*VLOOKUP(L204,EmBus20,4)+(O204-P204)*VLOOKUP(0,EmBus20,4)),0)</f>
        <v>0</v>
      </c>
      <c r="AN204" s="863">
        <f>IF(INDEX(HwyTransitModelGroup,A178,1)=PARAMETERS!$J$9,0.00000110231131*(C204*VLOOKUP(K204,EmBus20,5)-D204*VLOOKUP(L204,EmBus20,5)+(O204-P204)*VLOOKUP(0,EmBus20,5)),0)</f>
        <v>0</v>
      </c>
      <c r="AO204" s="861">
        <f>IF(INDEX(HwyTransitModelGroup,A178,1)=PARAMETERS!$J$9,0.00000110231131*(C204*VLOOKUP(K204,EmBus20,6)-D204*VLOOKUP(L204,EmBus20,6)+(O204-P204)*VLOOKUP(0,EmBus20,6)),0)</f>
        <v>0</v>
      </c>
      <c r="AP204" s="863">
        <f>IF(INDEX(HwyTransitModelGroup,A178,1)=PARAMETERS!$J$9,0.00000110231131*(C204*VLOOKUP(K204,EmBus20,7)-D204*VLOOKUP(L204,EmBus20,7)+(O204-P204)*VLOOKUP(0,EmBus20,7)),0)</f>
        <v>0</v>
      </c>
      <c r="AQ204" s="861">
        <f>IF(INDEX(HwyTransitModelGroup,A178,1)=PARAMETERS!$J$9,0.00000110231131*(C204*VLOOKUP(K204,EmBus20,8)-D204*VLOOKUP(L204,EmBus20,8)+(O204-P204)*VLOOKUP(0,EmBus20,8)),0)</f>
        <v>0</v>
      </c>
      <c r="AR204" s="401">
        <f>IF(INDEX(HwyTransitModelGroup,A178,1)=PARAMETERS!$J$10,0.00000110231131*((C204-D204)*PARAMETERS!$CQ$29),0)</f>
        <v>0</v>
      </c>
      <c r="AS204" s="863">
        <f>IF(INDEX(HwyTransitModelGroup,A178,1)=PARAMETERS!$J$10,0.00000110231131*((C204-D204)*PARAMETERS!$CR$29),0)</f>
        <v>0</v>
      </c>
      <c r="AT204" s="861">
        <f>IF(INDEX(HwyTransitModelGroup,A178,1)=PARAMETERS!$J$10,0.00000110231131*((C204-D204)*PARAMETERS!$CS$29),0)</f>
        <v>0</v>
      </c>
      <c r="AU204" s="863">
        <f>IF(INDEX(HwyTransitModelGroup,A178,1)=PARAMETERS!$J$10,0.00000110231131*((C204-D204)*PARAMETERS!$CT$29),0)</f>
        <v>0</v>
      </c>
      <c r="AV204" s="861">
        <f>IF(INDEX(HwyTransitModelGroup,A178,1)=PARAMETERS!$J$10,0.00000110231131*((C204-D204)*PARAMETERS!$CU$29),0)</f>
        <v>0</v>
      </c>
      <c r="AW204" s="863">
        <f>IF(INDEX(HwyTransitModelGroup,A178,1)=PARAMETERS!$J$10,0.00000110231131*((C204-D204)*PARAMETERS!$CV$29),0)</f>
        <v>0</v>
      </c>
      <c r="AX204" s="861">
        <f>IF(INDEX(HwyTransitModelGroup,A178,1)=PARAMETERS!$J$10,0.00000110231131*((C204-D204)*PARAMETERS!$CW$29),0)</f>
        <v>0</v>
      </c>
      <c r="AY204" s="401">
        <f>IF(INDEX(HwyTransitModelGroup,A178,1)=PARAMETERS!$J$11,0.00000110231131*((C204-D204)*PARAMETERS!$CQ$37),0)</f>
        <v>0</v>
      </c>
      <c r="AZ204" s="863">
        <f>IF(INDEX(HwyTransitModelGroup,A178,1)=PARAMETERS!$J$11,0.00000110231131*((C204-D204)*PARAMETERS!$CR$37),0)</f>
        <v>0</v>
      </c>
      <c r="BA204" s="861">
        <f>IF(INDEX(HwyTransitModelGroup,A178,1)=PARAMETERS!$J$11,0.00000110231131*((C204-D204)*PARAMETERS!$CS$37),0)</f>
        <v>0</v>
      </c>
      <c r="BB204" s="863">
        <f>IF(INDEX(HwyTransitModelGroup,A178,1)=PARAMETERS!$J$11,0.00000110231131*((C204-D204)*PARAMETERS!$CT$37),0)</f>
        <v>0</v>
      </c>
      <c r="BC204" s="861">
        <f>IF(INDEX(HwyTransitModelGroup,A178,1)=PARAMETERS!$J$11,0.00000110231131*((C204-D204)*PARAMETERS!$CU$37),0)</f>
        <v>0</v>
      </c>
      <c r="BD204" s="863">
        <f>IF(INDEX(HwyTransitModelGroup,A178,1)=PARAMETERS!$J$11,0.00000110231131*((C204-D204)*PARAMETERS!$CV$37),0)</f>
        <v>0</v>
      </c>
      <c r="BE204" s="865">
        <f>IF(INDEX(HwyTransitModelGroup,A178,1)=PARAMETERS!$J$11,0.00000110231131*((C204-D204)*PARAMETERS!$CW$37),0)</f>
        <v>0</v>
      </c>
      <c r="BF204" s="729">
        <f t="shared" si="82"/>
        <v>37.923210762014357</v>
      </c>
      <c r="BG204" s="867">
        <f t="shared" si="83"/>
        <v>44898.741047304444</v>
      </c>
      <c r="BH204" s="867">
        <f t="shared" si="84"/>
        <v>4639.6535991031014</v>
      </c>
      <c r="BI204" s="867">
        <f t="shared" si="85"/>
        <v>964.45497850192658</v>
      </c>
      <c r="BJ204" s="867">
        <f t="shared" si="86"/>
        <v>350.41037779333089</v>
      </c>
      <c r="BK204" s="869">
        <f t="shared" si="87"/>
        <v>11.580351407592131</v>
      </c>
      <c r="BL204" s="321"/>
      <c r="BN204" s="375">
        <f t="shared" si="92"/>
        <v>2036</v>
      </c>
      <c r="BO204" s="871">
        <f t="shared" ca="1" si="90"/>
        <v>-1.2170090064281215E-4</v>
      </c>
      <c r="BP204" s="871">
        <f t="shared" ref="BP204:BT213" ca="1" si="93">OFFSET($AH19,MATCH(BP$190,$A:$A),0)+OFFSET($AO19,MATCH(BP$190,$A:$A),0)+OFFSET($AV19,MATCH(BP$190,$A:$A),0)+OFFSET($BC19,MATCH(BP$190,$A:$A),0)</f>
        <v>-1.8535568605242332E-4</v>
      </c>
      <c r="BQ204" s="871">
        <f t="shared" ca="1" si="93"/>
        <v>-3.6691324825511064E-5</v>
      </c>
      <c r="BR204" s="871">
        <f t="shared" ca="1" si="93"/>
        <v>-4.9169771046406446E-4</v>
      </c>
      <c r="BS204" s="871">
        <f t="shared" ca="1" si="93"/>
        <v>9.3357401414157111E-3</v>
      </c>
      <c r="BT204" s="871">
        <f t="shared" ca="1" si="93"/>
        <v>1.1625107573079467E-2</v>
      </c>
    </row>
    <row r="205" spans="2:72" ht="15.75" x14ac:dyDescent="0.25">
      <c r="B205" s="375">
        <f t="shared" si="88"/>
        <v>2044</v>
      </c>
      <c r="C205" s="401">
        <f>MAX(TREND(C184:C185,B184:B185,B205),0)</f>
        <v>22047569.5</v>
      </c>
      <c r="D205" s="402">
        <f>MAX(TREND(D184:D185,B184:B185,B205),0)</f>
        <v>19093515</v>
      </c>
      <c r="E205" s="401">
        <f>MAX(TREND(E184:E185,B184:B185,B205),0)</f>
        <v>318900.5</v>
      </c>
      <c r="F205" s="402">
        <f>MAX(TREND(F184:F185,B184:B185,B205),0)</f>
        <v>275392.5</v>
      </c>
      <c r="G205" s="401">
        <f>MAX(TREND(G184:G185,B184:B185,B205),0)</f>
        <v>0</v>
      </c>
      <c r="H205" s="402">
        <f>MAX(TREND(H184:H185,B184:B185,B205),0)</f>
        <v>0</v>
      </c>
      <c r="I205" s="401">
        <f>MAX(TREND(I184:I185,B184:B185,B205),0)</f>
        <v>0</v>
      </c>
      <c r="J205" s="402">
        <f>MAX(TREND(J184:J185,B184:B185,B205),0)</f>
        <v>0</v>
      </c>
      <c r="K205" s="435">
        <f>IFERROR(IF(INDEX(HwyTransitModelGroup,A178,1)=Hwy,MAX(5,ROUND(C205/E205,1)),MAX(5,ROUND(G205/I205,1))),55)</f>
        <v>69.099999999999994</v>
      </c>
      <c r="L205" s="436">
        <f>IFERROR(IF(INDEX(HwyTransitModelGroup,A178,1)=Hwy,MAX(5,ROUND(D205/F205,1)),MAX(5,ROUND(H205/J205,1))),55)</f>
        <v>69.3</v>
      </c>
      <c r="M205" s="405">
        <f>MIN(MAX(TREND(M184:M185,B184:B185,B205),0),1)</f>
        <v>0.24</v>
      </c>
      <c r="N205" s="406">
        <f>MIN(MAX(TREND(N184:N185,B184:B185,B205),0),1)</f>
        <v>0.24</v>
      </c>
      <c r="O205" s="401">
        <f>MAX(TREND(O184:O185,B184:B185,B205),0)</f>
        <v>0</v>
      </c>
      <c r="P205" s="402">
        <f>MAX(TREND(P184:P185,B184:B185,B205),0)</f>
        <v>0</v>
      </c>
      <c r="Q205" s="729">
        <f>IF(INDEX(HwyTransitModelGroup,A178,1)=Hwy,C205*(1-M205)*0.00000110231131*(VLOOKUP(K205,EmAuto20,2)*VLOOKUP(ProjLoc,EmCost,2)+VLOOKUP(K205,EmAuto20,3)*VLOOKUP(ProjLoc,EmCost,3)*(1+CO2Uprater)^($B205-YearCurrent)+VLOOKUP(K205,EmAuto20,4)*VLOOKUP(ProjLoc,EmCost,4)+VLOOKUP(K205,EmAuto20,5)*VLOOKUP(ProjLoc,EmCost,5)+VLOOKUP(K205,EmAuto20,6)*VLOOKUP(ProjLoc,EmCost,6)+VLOOKUP(K205,EmAuto20,7)*VLOOKUP(ProjLoc,EmCost,7))+C205*M205*0.00000110231131*(VLOOKUP(K205,EmTruck20,2)*VLOOKUP(ProjLoc,EmCost,2)+VLOOKUP(K205,EmTruck20,3)*VLOOKUP(ProjLoc,EmCost,3)*(1+CO2Uprater)^($B205-YearCurrent)+VLOOKUP(K205,EmTruck20,4)*VLOOKUP(ProjLoc,EmCost,4)+VLOOKUP(K205,EmTruck20,5)*VLOOKUP(ProjLoc,EmCost,5)+VLOOKUP(K205,EmTruck20,6)*VLOOKUP(ProjLoc,EmCost,6)+VLOOKUP(K205,EmTruck20,7)*VLOOKUP(ProjLoc,EmCost,7)),0)</f>
        <v>898756.08237964474</v>
      </c>
      <c r="R205" s="802">
        <f>IF(INDEX(HwyTransitModelGroup,A178,1)=Hwy,D205*(1-N205)*0.00000110231131*(VLOOKUP(L205,EmAuto20,2)*VLOOKUP(ProjLoc,EmCost,2)+VLOOKUP(L205,EmAuto20,3)*VLOOKUP(ProjLoc,EmCost,3)*(1+CO2Uprater)^($B205-YearCurrent)+VLOOKUP(L205,EmAuto20,4)*VLOOKUP(ProjLoc,EmCost,4)+VLOOKUP(L205,EmAuto20,5)*VLOOKUP(ProjLoc,EmCost,5)+VLOOKUP(L205,EmAuto20,6)*VLOOKUP(ProjLoc,EmCost,6)+VLOOKUP(L205,EmAuto20,7)*VLOOKUP(ProjLoc,EmCost,7))+D205*N205*0.00000110231131*(VLOOKUP(L205,EmTruck20,2)*VLOOKUP(ProjLoc,EmCost,2)+VLOOKUP(L205,EmTruck20,3)*VLOOKUP(ProjLoc,EmCost,3)*(1+CO2Uprater)^($B205-YearCurrent)+VLOOKUP(L205,EmTruck20,4)*VLOOKUP(ProjLoc,EmCost,4)+VLOOKUP(L205,EmTruck20,5)*VLOOKUP(ProjLoc,EmCost,5)+VLOOKUP(L205,EmTruck20,6)*VLOOKUP(ProjLoc,EmCost,6)+VLOOKUP(L205,EmTruck20,7)*VLOOKUP(ProjLoc,EmCost,7)),0)</f>
        <v>778335.80432786397</v>
      </c>
      <c r="S205" s="729">
        <f>IF(INDEX(HwyTransitModelGroup,A178,1)=Hwy,O205*(1-M205)*0.00000110231131*(VLOOKUP(0,EmAuto20,2)*VLOOKUP(ProjLoc,EmCost,2)+VLOOKUP(0,EmAuto20,3)*VLOOKUP(ProjLoc,EmCost,3)*(1+CO2Uprater)^($B205-YearCurrent)+VLOOKUP(0,EmAuto20,4)*VLOOKUP(ProjLoc,EmCost,4)+VLOOKUP(0,EmAuto20,5)*VLOOKUP(ProjLoc,EmCost,5)+VLOOKUP(0,EmAuto20,6)*VLOOKUP(ProjLoc,EmCost,6)+VLOOKUP(0,EmAuto20,7)*VLOOKUP(ProjLoc,EmCost,7))+O205*M205*0.00000110231131*(VLOOKUP(0,EmTruck20,2)*VLOOKUP(ProjLoc,EmCost,2)+VLOOKUP(0,EmTruck20,3)*VLOOKUP(ProjLoc,EmCost,3)*(1+CO2Uprater)^($B205-YearCurrent)+VLOOKUP(0,EmTruck20,4)*VLOOKUP(ProjLoc,EmCost,4)+VLOOKUP(0,EmTruck20,5)*VLOOKUP(ProjLoc,EmCost,5)+VLOOKUP(0,EmTruck20,6)*VLOOKUP(ProjLoc,EmCost,6)+VLOOKUP(0,EmTruck20,7)*VLOOKUP(ProjLoc,EmCost,7)),0)</f>
        <v>0</v>
      </c>
      <c r="T205" s="802">
        <f>IF(INDEX(HwyTransitModelGroup,A178,1)=Hwy,P205*(1-N205)*0.00000110231131*(VLOOKUP(0,EmAuto20,2)*VLOOKUP(ProjLoc,EmCost,2)+VLOOKUP(0,EmAuto20,3)*VLOOKUP(ProjLoc,EmCost,3)*(1+CO2Uprater)^($B205-YearCurrent)+VLOOKUP(0,EmAuto20,4)*VLOOKUP(ProjLoc,EmCost,4)+VLOOKUP(0,EmAuto20,5)*VLOOKUP(ProjLoc,EmCost,5)+VLOOKUP(0,EmAuto20,6)*VLOOKUP(ProjLoc,EmCost,6)+VLOOKUP(0,EmAuto20,7)*VLOOKUP(ProjLoc,EmCost,7))+P205*N205*0.00000110231131*(VLOOKUP(0,EmTruck20,2)*VLOOKUP(ProjLoc,EmCost,2)+VLOOKUP(0,EmTruck20,3)*VLOOKUP(ProjLoc,EmCost,3)*(1+CO2Uprater)^($B205-YearCurrent)+VLOOKUP(0,EmTruck20,4)*VLOOKUP(ProjLoc,EmCost,4)+VLOOKUP(0,EmTruck20,5)*VLOOKUP(ProjLoc,EmCost,5)+VLOOKUP(0,EmTruck20,6)*VLOOKUP(ProjLoc,EmCost,6)+VLOOKUP(0,EmTruck20,7)*VLOOKUP(ProjLoc,EmCost,7)),0)</f>
        <v>0</v>
      </c>
      <c r="U205" s="729">
        <f>IF(INDEX(HwyTransitModelGroup,A178,1)=PARAMETERS!$J$9,C205*0.00000110231131*(VLOOKUP(K205,EmBus20,2)*VLOOKUP(ProjLoc,EmCost,2)+VLOOKUP(K205,EmBus20,3)*VLOOKUP(ProjLoc,EmCost,3)*(1+CO2Uprater)^($B205-YearCurrent)+VLOOKUP(K205,EmBus20,4)*VLOOKUP(ProjLoc,EmCost,4)+VLOOKUP(K205,EmBus20,5)*VLOOKUP(ProjLoc,EmCost,5)+VLOOKUP(K205,EmBus20,6)*VLOOKUP(ProjLoc,EmCost,6)+VLOOKUP(K205,EmBus20,7)*VLOOKUP(ProjLoc,EmCost,7)),0)</f>
        <v>0</v>
      </c>
      <c r="V205" s="802">
        <f>IF(INDEX(HwyTransitModelGroup,A178,1)=PARAMETERS!$J$9,D205*0.00000110231131*(VLOOKUP(L205,EmBus20,2)*VLOOKUP(ProjLoc,EmCost,2)+VLOOKUP(L205,EmBus20,3)*VLOOKUP(ProjLoc,EmCost,3)*(1+CO2Uprater)^($B205-YearCurrent)+VLOOKUP(L205,EmBus20,4)*VLOOKUP(ProjLoc,EmCost,4)+VLOOKUP(L205,EmBus20,5)*VLOOKUP(ProjLoc,EmCost,5)+VLOOKUP(L205,EmBus20,6)*VLOOKUP(ProjLoc,EmCost,6)+VLOOKUP(L205,EmBus20,7)*VLOOKUP(ProjLoc,EmCost,7)),0)</f>
        <v>0</v>
      </c>
      <c r="W205" s="808">
        <f>IF(INDEX(HwyTransitModelGroup,A178,1)=PARAMETERS!$J$10,C205*0.00000110231131*(PARAMETERS!$CQ$29*VLOOKUP(ProjLoc,EmCost,2)+PARAMETERS!$CR$29*VLOOKUP(ProjLoc,EmCost,3)*(1+CO2Uprater)^($B205-YearCurrent)+PARAMETERS!$CS$29*VLOOKUP(ProjLoc,EmCost,4)+PARAMETERS!$CT$29*VLOOKUP(ProjLoc,EmCost,5)+PARAMETERS!$CU$29*VLOOKUP(ProjLoc,EmCost,6)+PARAMETERS!$CV$29*VLOOKUP(ProjLoc,EmCost,7)),0)</f>
        <v>0</v>
      </c>
      <c r="X205" s="844">
        <f>IF(INDEX(HwyTransitModelGroup,A178,1)=PARAMETERS!$J$10,D205*0.00000110231131*(PARAMETERS!$CQ$29*VLOOKUP(ProjLoc,EmCost,2)+PARAMETERS!$CR$29*VLOOKUP(ProjLoc,EmCost,3)*(1+CO2Uprater)^($B205-YearCurrent)+PARAMETERS!$CS$29*VLOOKUP(ProjLoc,EmCost,4)+PARAMETERS!$CT$29*VLOOKUP(ProjLoc,EmCost,5)+PARAMETERS!$CU$29*VLOOKUP(ProjLoc,EmCost,6)+PARAMETERS!$CV$29*VLOOKUP(ProjLoc,EmCost,7)),0)</f>
        <v>0</v>
      </c>
      <c r="Y205" s="808">
        <f>IF(INDEX(HwyTransitModelGroup,A178,1)=PARAMETERS!$J$11,C205*0.00000110231131*(PARAMETERS!$CQ$37*VLOOKUP(ProjLoc,EmCost,2)+PARAMETERS!$CR$37*VLOOKUP(ProjLoc,EmCost,3)*(1+CO2Uprater)^($B205-YearCurrent)+PARAMETERS!$CS$37*VLOOKUP(ProjLoc,EmCost,4)+PARAMETERS!$CT$37*VLOOKUP(ProjLoc,EmCost,5)+PARAMETERS!$CU$37*VLOOKUP(ProjLoc,EmCost,6)+PARAMETERS!$CV$37*VLOOKUP(ProjLoc,EmCost,7)),0)</f>
        <v>0</v>
      </c>
      <c r="Z205" s="844">
        <f>IF(INDEX(HwyTransitModelGroup,A178,1)=PARAMETERS!$J$11,D205*0.00000110231131*(PARAMETERS!$CQ$37*VLOOKUP(ProjLoc,EmCost,2)+PARAMETERS!$CR$37*VLOOKUP(ProjLoc,EmCost,3)*(1+CO2Uprater)^($B205-YearCurrent)+PARAMETERS!$CS$37*VLOOKUP(ProjLoc,EmCost,4)+PARAMETERS!$CT$37*VLOOKUP(ProjLoc,EmCost,5)+PARAMETERS!$CU$37*VLOOKUP(ProjLoc,EmCost,6)+PARAMETERS!$CV$37*VLOOKUP(ProjLoc,EmCost,7)),0)</f>
        <v>0</v>
      </c>
      <c r="AA205" s="369">
        <f t="shared" si="80"/>
        <v>120420.27805178077</v>
      </c>
      <c r="AB205" s="370">
        <f t="shared" si="81"/>
        <v>50811.984985912248</v>
      </c>
      <c r="AC205" s="371"/>
      <c r="AD205" s="401">
        <f>IF(INDEX(HwyTransitModelGroup,A178,1)=Hwy,0.00000110231131*(C205*(1-M205)*VLOOKUP(K205,EmAuto20,2)-D205*(1-N205)*VLOOKUP(L205,EmAuto20,2)+(O205*(1-M205)-P205*(1-N205))*VLOOKUP(0,EmAuto20,2))+0.00000110231131*(C205*M205*VLOOKUP(K205,EmTruck20,2)-D205*N205*VLOOKUP(L205,EmTruck20,2)+(O205*M205-P205*N205)*VLOOKUP(0,EmTruck20,2)),0)</f>
        <v>1.1019928785967579</v>
      </c>
      <c r="AE205" s="863">
        <f>IF(INDEX(HwyTransitModelGroup,A178,1)=Hwy,0.00000110231131*(C205*(1-M205)*VLOOKUP(K205,EmAuto20,3)-D205*(1-N205)*VLOOKUP(L205,EmAuto20,3)+(O205*(1-M205)-P205*(1-N205))*VLOOKUP(0,EmAuto20,3))+0.00000110231131*(C205*M205*VLOOKUP(K205,EmTruck20,3)-D205*N205*VLOOKUP(L205,EmTruck20,3)+(O205*M205-P205*N205)*VLOOKUP(0,EmTruck20,3)),0)</f>
        <v>1434.673229326851</v>
      </c>
      <c r="AF205" s="861">
        <f>IF(INDEX(HwyTransitModelGroup,A178,1)=Hwy,0.00000110231131*(C205*(1-M205)*VLOOKUP(K205,EmAuto20,4)-D205*(1-N205)*VLOOKUP(L205,EmAuto20,4)+(O205*(1-M205)-P205*(1-N205))*VLOOKUP(0,EmAuto20,4))+0.00000110231131*(C205*M205*VLOOKUP(K205,EmTruck20,4)-D205*N205*VLOOKUP(L205,EmTruck20,4)+(O205*M205-P205*N205)*VLOOKUP(0,EmTruck20,4)),0)</f>
        <v>0.71428624158581211</v>
      </c>
      <c r="AG205" s="863">
        <f>IF(INDEX(HwyTransitModelGroup,A178,1)=Hwy,0.00000110231131*(C205*(1-M205)*VLOOKUP(K205,EmAuto20,5)-D205*(1-N205)*VLOOKUP(L205,EmAuto20,5)+(O205*(1-M205)-P205*(1-N205))*VLOOKUP(0,EmAuto20,5))+0.00000110231131*(C205*M205*VLOOKUP(K205,EmTruck20,5)-D205*N205*VLOOKUP(L205,EmTruck20,5)+(O205*M205-P205*N205)*VLOOKUP(0,EmTruck20,5)),0)</f>
        <v>1.9212097345667742E-2</v>
      </c>
      <c r="AH205" s="861">
        <f>IF(INDEX(HwyTransitModelGroup,A178,1)=Hwy,0.00000110231131*(C205*(1-M205)*VLOOKUP(K205,EmAuto20,6)-D205*(1-N205)*VLOOKUP(L205,EmAuto20,6)+(O205*(1-M205)-P205*(1-N205))*VLOOKUP(0,EmAuto20,6))+0.00000110231131*(C205*M205*VLOOKUP(K205,EmTruck20,6)-D205*N205*VLOOKUP(L205,EmTruck20,6)+(O205*M205-P205*N205)*VLOOKUP(0,EmTruck20,6)),0)</f>
        <v>1.380665978739511E-2</v>
      </c>
      <c r="AI205" s="863">
        <f>IF(INDEX(HwyTransitModelGroup,A178,1)=Hwy,0.00000110231131*(C205*(1-M205)*VLOOKUP(K205,EmAuto20,7)-D205*(1-N205)*VLOOKUP(L205,EmAuto20,7)+(O205*(1-M205)-P205*(1-N205))*VLOOKUP(0,EmAuto20,7))+0.00000110231131*(C205*M205*VLOOKUP(K205,EmTruck20,7)-D205*N205*VLOOKUP(L205,EmTruck20,7)+(O205*M205-P205*N205)*VLOOKUP(0,EmTruck20,7)),0)</f>
        <v>2.4252830683141234E-2</v>
      </c>
      <c r="AJ205" s="861">
        <f>IF(INDEX(HwyTransitModelGroup,A178,1)=Hwy,0.00000110231131*(C205*(1-M205)*VLOOKUP(K205,EmAuto20,8)-D205*(1-N205)*VLOOKUP(L205,EmAuto20,8)+(O205*(1-M205)-P205*(1-N205))*VLOOKUP(0,EmAuto20,8))+0.00000110231131*(C205*M205*VLOOKUP(K205,EmTruck20,8)-D205*N205*VLOOKUP(L205,EmTruck20,8)+(O205*M205-P205*N205)*VLOOKUP(0,EmTruck20,8)),0)</f>
        <v>1.8430588301098196E-2</v>
      </c>
      <c r="AK205" s="401">
        <f>IF(INDEX(HwyTransitModelGroup,A178,1)=PARAMETERS!$J$9,0.00000110231131*(C205*VLOOKUP(K205,EmBus20,2)-D205*VLOOKUP(L205,EmBus20,2)+(O205-P205)*VLOOKUP(0,EmBus20,2)),0)</f>
        <v>0</v>
      </c>
      <c r="AL205" s="863">
        <f>IF(INDEX(HwyTransitModelGroup,A178,1)=PARAMETERS!$J$9,0.00000110231131*(C205*VLOOKUP(K205,EmBus20,3)-D205*VLOOKUP(L205,EmBus20,3)+(O205-P205)*VLOOKUP(0,EmBus20,3)),0)</f>
        <v>0</v>
      </c>
      <c r="AM205" s="861">
        <f>IF(INDEX(HwyTransitModelGroup,A178,1)=PARAMETERS!$J$9,0.00000110231131*(C205*VLOOKUP(K205,EmBus20,4)-D205*VLOOKUP(L205,EmBus20,4)+(O205-P205)*VLOOKUP(0,EmBus20,4)),0)</f>
        <v>0</v>
      </c>
      <c r="AN205" s="863">
        <f>IF(INDEX(HwyTransitModelGroup,A178,1)=PARAMETERS!$J$9,0.00000110231131*(C205*VLOOKUP(K205,EmBus20,5)-D205*VLOOKUP(L205,EmBus20,5)+(O205-P205)*VLOOKUP(0,EmBus20,5)),0)</f>
        <v>0</v>
      </c>
      <c r="AO205" s="861">
        <f>IF(INDEX(HwyTransitModelGroup,A178,1)=PARAMETERS!$J$9,0.00000110231131*(C205*VLOOKUP(K205,EmBus20,6)-D205*VLOOKUP(L205,EmBus20,6)+(O205-P205)*VLOOKUP(0,EmBus20,6)),0)</f>
        <v>0</v>
      </c>
      <c r="AP205" s="863">
        <f>IF(INDEX(HwyTransitModelGroup,A178,1)=PARAMETERS!$J$9,0.00000110231131*(C205*VLOOKUP(K205,EmBus20,7)-D205*VLOOKUP(L205,EmBus20,7)+(O205-P205)*VLOOKUP(0,EmBus20,7)),0)</f>
        <v>0</v>
      </c>
      <c r="AQ205" s="861">
        <f>IF(INDEX(HwyTransitModelGroup,A178,1)=PARAMETERS!$J$9,0.00000110231131*(C205*VLOOKUP(K205,EmBus20,8)-D205*VLOOKUP(L205,EmBus20,8)+(O205-P205)*VLOOKUP(0,EmBus20,8)),0)</f>
        <v>0</v>
      </c>
      <c r="AR205" s="401">
        <f>IF(INDEX(HwyTransitModelGroup,A178,1)=PARAMETERS!$J$10,0.00000110231131*((C205-D205)*PARAMETERS!$CQ$29),0)</f>
        <v>0</v>
      </c>
      <c r="AS205" s="863">
        <f>IF(INDEX(HwyTransitModelGroup,A178,1)=PARAMETERS!$J$10,0.00000110231131*((C205-D205)*PARAMETERS!$CR$29),0)</f>
        <v>0</v>
      </c>
      <c r="AT205" s="861">
        <f>IF(INDEX(HwyTransitModelGroup,A178,1)=PARAMETERS!$J$10,0.00000110231131*((C205-D205)*PARAMETERS!$CS$29),0)</f>
        <v>0</v>
      </c>
      <c r="AU205" s="863">
        <f>IF(INDEX(HwyTransitModelGroup,A178,1)=PARAMETERS!$J$10,0.00000110231131*((C205-D205)*PARAMETERS!$CT$29),0)</f>
        <v>0</v>
      </c>
      <c r="AV205" s="861">
        <f>IF(INDEX(HwyTransitModelGroup,A178,1)=PARAMETERS!$J$10,0.00000110231131*((C205-D205)*PARAMETERS!$CU$29),0)</f>
        <v>0</v>
      </c>
      <c r="AW205" s="863">
        <f>IF(INDEX(HwyTransitModelGroup,A178,1)=PARAMETERS!$J$10,0.00000110231131*((C205-D205)*PARAMETERS!$CV$29),0)</f>
        <v>0</v>
      </c>
      <c r="AX205" s="861">
        <f>IF(INDEX(HwyTransitModelGroup,A178,1)=PARAMETERS!$J$10,0.00000110231131*((C205-D205)*PARAMETERS!$CW$29),0)</f>
        <v>0</v>
      </c>
      <c r="AY205" s="401">
        <f>IF(INDEX(HwyTransitModelGroup,A178,1)=PARAMETERS!$J$11,0.00000110231131*((C205-D205)*PARAMETERS!$CQ$37),0)</f>
        <v>0</v>
      </c>
      <c r="AZ205" s="863">
        <f>IF(INDEX(HwyTransitModelGroup,A178,1)=PARAMETERS!$J$11,0.00000110231131*((C205-D205)*PARAMETERS!$CR$37),0)</f>
        <v>0</v>
      </c>
      <c r="BA205" s="861">
        <f>IF(INDEX(HwyTransitModelGroup,A178,1)=PARAMETERS!$J$11,0.00000110231131*((C205-D205)*PARAMETERS!$CS$37),0)</f>
        <v>0</v>
      </c>
      <c r="BB205" s="863">
        <f>IF(INDEX(HwyTransitModelGroup,A178,1)=PARAMETERS!$J$11,0.00000110231131*((C205-D205)*PARAMETERS!$CT$37),0)</f>
        <v>0</v>
      </c>
      <c r="BC205" s="861">
        <f>IF(INDEX(HwyTransitModelGroup,A178,1)=PARAMETERS!$J$11,0.00000110231131*((C205-D205)*PARAMETERS!$CU$37),0)</f>
        <v>0</v>
      </c>
      <c r="BD205" s="863">
        <f>IF(INDEX(HwyTransitModelGroup,A178,1)=PARAMETERS!$J$11,0.00000110231131*((C205-D205)*PARAMETERS!$CV$37),0)</f>
        <v>0</v>
      </c>
      <c r="BE205" s="865">
        <f>IF(INDEX(HwyTransitModelGroup,A178,1)=PARAMETERS!$J$11,0.00000110231131*((C205-D205)*PARAMETERS!$CW$37),0)</f>
        <v>0</v>
      </c>
      <c r="BF205" s="729">
        <f t="shared" si="82"/>
        <v>37.199346493960462</v>
      </c>
      <c r="BG205" s="867">
        <f t="shared" si="83"/>
        <v>44922.565037001601</v>
      </c>
      <c r="BH205" s="867">
        <f t="shared" si="84"/>
        <v>4551.0936014379631</v>
      </c>
      <c r="BI205" s="867">
        <f t="shared" si="85"/>
        <v>946.04581738249146</v>
      </c>
      <c r="BJ205" s="867">
        <f t="shared" si="86"/>
        <v>343.72187366767434</v>
      </c>
      <c r="BK205" s="869">
        <f t="shared" si="87"/>
        <v>11.359309928586873</v>
      </c>
      <c r="BL205" s="20"/>
      <c r="BN205" s="375">
        <f t="shared" si="92"/>
        <v>2037</v>
      </c>
      <c r="BO205" s="871">
        <f t="shared" ca="1" si="90"/>
        <v>-1.4328905035482838E-4</v>
      </c>
      <c r="BP205" s="871">
        <f t="shared" ca="1" si="93"/>
        <v>-1.8833166093239797E-4</v>
      </c>
      <c r="BQ205" s="871">
        <f t="shared" ca="1" si="93"/>
        <v>-3.7310692606685017E-5</v>
      </c>
      <c r="BR205" s="871">
        <f t="shared" ca="1" si="93"/>
        <v>-5.2489749728449003E-4</v>
      </c>
      <c r="BS205" s="871">
        <f t="shared" ca="1" si="93"/>
        <v>9.6707008680976623E-3</v>
      </c>
      <c r="BT205" s="871">
        <f t="shared" ca="1" si="93"/>
        <v>1.1897801599868925E-2</v>
      </c>
    </row>
    <row r="206" spans="2:72" x14ac:dyDescent="0.25">
      <c r="B206" s="375">
        <f t="shared" si="88"/>
        <v>2045</v>
      </c>
      <c r="C206" s="401">
        <f>MAX(TREND(C184:C185,B184:B185,B206),0)</f>
        <v>22286589.75</v>
      </c>
      <c r="D206" s="402">
        <f>MAX(TREND(D184:D185,B184:B185,B206),0)</f>
        <v>19274190</v>
      </c>
      <c r="E206" s="401">
        <f>MAX(TREND(E184:E185,B184:B185,B206),0)</f>
        <v>322422.75</v>
      </c>
      <c r="F206" s="402">
        <f>MAX(TREND(F184:F185,B184:B185,B206),0)</f>
        <v>278038.75</v>
      </c>
      <c r="G206" s="401">
        <f>MAX(TREND(G184:G185,B184:B185,B206),0)</f>
        <v>0</v>
      </c>
      <c r="H206" s="402">
        <f>MAX(TREND(H184:H185,B184:B185,B206),0)</f>
        <v>0</v>
      </c>
      <c r="I206" s="401">
        <f>MAX(TREND(I184:I185,B184:B185,B206),0)</f>
        <v>0</v>
      </c>
      <c r="J206" s="402">
        <f>MAX(TREND(J184:J185,B184:B185,B206),0)</f>
        <v>0</v>
      </c>
      <c r="K206" s="435">
        <f>IFERROR(IF(INDEX(HwyTransitModelGroup,A178,1)=Hwy,MAX(5,ROUND(C206/E206,1)),MAX(5,ROUND(G206/I206,1))),55)</f>
        <v>69.099999999999994</v>
      </c>
      <c r="L206" s="436">
        <f>IFERROR(IF(INDEX(HwyTransitModelGroup,A178,1)=Hwy,MAX(5,ROUND(D206/F206,1)),MAX(5,ROUND(H206/J206,1))),55)</f>
        <v>69.3</v>
      </c>
      <c r="M206" s="405">
        <f>MIN(MAX(TREND(M184:M185,B184:B185,B206),0),1)</f>
        <v>0.24</v>
      </c>
      <c r="N206" s="406">
        <f>MIN(MAX(TREND(N184:N185,B184:B185,B206),0),1)</f>
        <v>0.24</v>
      </c>
      <c r="O206" s="401">
        <f>MAX(TREND(O184:O185,B184:B185,B206),0)</f>
        <v>0</v>
      </c>
      <c r="P206" s="402">
        <f>MAX(TREND(P184:P185,B184:B185,B206),0)</f>
        <v>0</v>
      </c>
      <c r="Q206" s="729">
        <f>IF(INDEX(HwyTransitModelGroup,A178,1)=Hwy,C206*(1-M206)*0.00000110231131*(VLOOKUP(K206,EmAuto20,2)*VLOOKUP(ProjLoc,EmCost,2)+VLOOKUP(K206,EmAuto20,3)*VLOOKUP(ProjLoc,EmCost,3)*(1+CO2Uprater)^($B206-YearCurrent)+VLOOKUP(K206,EmAuto20,4)*VLOOKUP(ProjLoc,EmCost,4)+VLOOKUP(K206,EmAuto20,5)*VLOOKUP(ProjLoc,EmCost,5)+VLOOKUP(K206,EmAuto20,6)*VLOOKUP(ProjLoc,EmCost,6)+VLOOKUP(K206,EmAuto20,7)*VLOOKUP(ProjLoc,EmCost,7))+C206*M206*0.00000110231131*(VLOOKUP(K206,EmTruck20,2)*VLOOKUP(ProjLoc,EmCost,2)+VLOOKUP(K206,EmTruck20,3)*VLOOKUP(ProjLoc,EmCost,3)*(1+CO2Uprater)^($B206-YearCurrent)+VLOOKUP(K206,EmTruck20,4)*VLOOKUP(ProjLoc,EmCost,4)+VLOOKUP(K206,EmTruck20,5)*VLOOKUP(ProjLoc,EmCost,5)+VLOOKUP(K206,EmTruck20,6)*VLOOKUP(ProjLoc,EmCost,6)+VLOOKUP(K206,EmTruck20,7)*VLOOKUP(ProjLoc,EmCost,7)),0)</f>
        <v>924563.579752133</v>
      </c>
      <c r="R206" s="802">
        <f>IF(INDEX(HwyTransitModelGroup,A178,1)=Hwy,D206*(1-N206)*0.00000110231131*(VLOOKUP(L206,EmAuto20,2)*VLOOKUP(ProjLoc,EmCost,2)+VLOOKUP(L206,EmAuto20,3)*VLOOKUP(ProjLoc,EmCost,3)*(1+CO2Uprater)^($B206-YearCurrent)+VLOOKUP(L206,EmAuto20,4)*VLOOKUP(ProjLoc,EmCost,4)+VLOOKUP(L206,EmAuto20,5)*VLOOKUP(ProjLoc,EmCost,5)+VLOOKUP(L206,EmAuto20,6)*VLOOKUP(ProjLoc,EmCost,6)+VLOOKUP(L206,EmAuto20,7)*VLOOKUP(ProjLoc,EmCost,7))+D206*N206*0.00000110231131*(VLOOKUP(L206,EmTruck20,2)*VLOOKUP(ProjLoc,EmCost,2)+VLOOKUP(L206,EmTruck20,3)*VLOOKUP(ProjLoc,EmCost,3)*(1+CO2Uprater)^($B206-YearCurrent)+VLOOKUP(L206,EmTruck20,4)*VLOOKUP(ProjLoc,EmCost,4)+VLOOKUP(L206,EmTruck20,5)*VLOOKUP(ProjLoc,EmCost,5)+VLOOKUP(L206,EmTruck20,6)*VLOOKUP(ProjLoc,EmCost,6)+VLOOKUP(L206,EmTruck20,7)*VLOOKUP(ProjLoc,EmCost,7)),0)</f>
        <v>799593.58085383009</v>
      </c>
      <c r="S206" s="729">
        <f>IF(INDEX(HwyTransitModelGroup,A178,1)=Hwy,O206*(1-M206)*0.00000110231131*(VLOOKUP(0,EmAuto20,2)*VLOOKUP(ProjLoc,EmCost,2)+VLOOKUP(0,EmAuto20,3)*VLOOKUP(ProjLoc,EmCost,3)*(1+CO2Uprater)^($B206-YearCurrent)+VLOOKUP(0,EmAuto20,4)*VLOOKUP(ProjLoc,EmCost,4)+VLOOKUP(0,EmAuto20,5)*VLOOKUP(ProjLoc,EmCost,5)+VLOOKUP(0,EmAuto20,6)*VLOOKUP(ProjLoc,EmCost,6)+VLOOKUP(0,EmAuto20,7)*VLOOKUP(ProjLoc,EmCost,7))+O206*M206*0.00000110231131*(VLOOKUP(0,EmTruck20,2)*VLOOKUP(ProjLoc,EmCost,2)+VLOOKUP(0,EmTruck20,3)*VLOOKUP(ProjLoc,EmCost,3)*(1+CO2Uprater)^($B206-YearCurrent)+VLOOKUP(0,EmTruck20,4)*VLOOKUP(ProjLoc,EmCost,4)+VLOOKUP(0,EmTruck20,5)*VLOOKUP(ProjLoc,EmCost,5)+VLOOKUP(0,EmTruck20,6)*VLOOKUP(ProjLoc,EmCost,6)+VLOOKUP(0,EmTruck20,7)*VLOOKUP(ProjLoc,EmCost,7)),0)</f>
        <v>0</v>
      </c>
      <c r="T206" s="802">
        <f>IF(INDEX(HwyTransitModelGroup,A178,1)=Hwy,P206*(1-N206)*0.00000110231131*(VLOOKUP(0,EmAuto20,2)*VLOOKUP(ProjLoc,EmCost,2)+VLOOKUP(0,EmAuto20,3)*VLOOKUP(ProjLoc,EmCost,3)*(1+CO2Uprater)^($B206-YearCurrent)+VLOOKUP(0,EmAuto20,4)*VLOOKUP(ProjLoc,EmCost,4)+VLOOKUP(0,EmAuto20,5)*VLOOKUP(ProjLoc,EmCost,5)+VLOOKUP(0,EmAuto20,6)*VLOOKUP(ProjLoc,EmCost,6)+VLOOKUP(0,EmAuto20,7)*VLOOKUP(ProjLoc,EmCost,7))+P206*N206*0.00000110231131*(VLOOKUP(0,EmTruck20,2)*VLOOKUP(ProjLoc,EmCost,2)+VLOOKUP(0,EmTruck20,3)*VLOOKUP(ProjLoc,EmCost,3)*(1+CO2Uprater)^($B206-YearCurrent)+VLOOKUP(0,EmTruck20,4)*VLOOKUP(ProjLoc,EmCost,4)+VLOOKUP(0,EmTruck20,5)*VLOOKUP(ProjLoc,EmCost,5)+VLOOKUP(0,EmTruck20,6)*VLOOKUP(ProjLoc,EmCost,6)+VLOOKUP(0,EmTruck20,7)*VLOOKUP(ProjLoc,EmCost,7)),0)</f>
        <v>0</v>
      </c>
      <c r="U206" s="729">
        <f>IF(INDEX(HwyTransitModelGroup,A178,1)=PARAMETERS!$J$9,C206*0.00000110231131*(VLOOKUP(K206,EmBus20,2)*VLOOKUP(ProjLoc,EmCost,2)+VLOOKUP(K206,EmBus20,3)*VLOOKUP(ProjLoc,EmCost,3)*(1+CO2Uprater)^($B206-YearCurrent)+VLOOKUP(K206,EmBus20,4)*VLOOKUP(ProjLoc,EmCost,4)+VLOOKUP(K206,EmBus20,5)*VLOOKUP(ProjLoc,EmCost,5)+VLOOKUP(K206,EmBus20,6)*VLOOKUP(ProjLoc,EmCost,6)+VLOOKUP(K206,EmBus20,7)*VLOOKUP(ProjLoc,EmCost,7)),0)</f>
        <v>0</v>
      </c>
      <c r="V206" s="802">
        <f>IF(INDEX(HwyTransitModelGroup,A178,1)=PARAMETERS!$J$9,D206*0.00000110231131*(VLOOKUP(L206,EmBus20,2)*VLOOKUP(ProjLoc,EmCost,2)+VLOOKUP(L206,EmBus20,3)*VLOOKUP(ProjLoc,EmCost,3)*(1+CO2Uprater)^($B206-YearCurrent)+VLOOKUP(L206,EmBus20,4)*VLOOKUP(ProjLoc,EmCost,4)+VLOOKUP(L206,EmBus20,5)*VLOOKUP(ProjLoc,EmCost,5)+VLOOKUP(L206,EmBus20,6)*VLOOKUP(ProjLoc,EmCost,6)+VLOOKUP(L206,EmBus20,7)*VLOOKUP(ProjLoc,EmCost,7)),0)</f>
        <v>0</v>
      </c>
      <c r="W206" s="808">
        <f>IF(INDEX(HwyTransitModelGroup,A178,1)=PARAMETERS!$J$10,C206*0.00000110231131*(PARAMETERS!$CQ$29*VLOOKUP(ProjLoc,EmCost,2)+PARAMETERS!$CR$29*VLOOKUP(ProjLoc,EmCost,3)*(1+CO2Uprater)^($B206-YearCurrent)+PARAMETERS!$CS$29*VLOOKUP(ProjLoc,EmCost,4)+PARAMETERS!$CT$29*VLOOKUP(ProjLoc,EmCost,5)+PARAMETERS!$CU$29*VLOOKUP(ProjLoc,EmCost,6)+PARAMETERS!$CV$29*VLOOKUP(ProjLoc,EmCost,7)),0)</f>
        <v>0</v>
      </c>
      <c r="X206" s="844">
        <f>IF(INDEX(HwyTransitModelGroup,A178,1)=PARAMETERS!$J$10,D206*0.00000110231131*(PARAMETERS!$CQ$29*VLOOKUP(ProjLoc,EmCost,2)+PARAMETERS!$CR$29*VLOOKUP(ProjLoc,EmCost,3)*(1+CO2Uprater)^($B206-YearCurrent)+PARAMETERS!$CS$29*VLOOKUP(ProjLoc,EmCost,4)+PARAMETERS!$CT$29*VLOOKUP(ProjLoc,EmCost,5)+PARAMETERS!$CU$29*VLOOKUP(ProjLoc,EmCost,6)+PARAMETERS!$CV$29*VLOOKUP(ProjLoc,EmCost,7)),0)</f>
        <v>0</v>
      </c>
      <c r="Y206" s="808">
        <f>IF(INDEX(HwyTransitModelGroup,A178,1)=PARAMETERS!$J$11,C206*0.00000110231131*(PARAMETERS!$CQ$37*VLOOKUP(ProjLoc,EmCost,2)+PARAMETERS!$CR$37*VLOOKUP(ProjLoc,EmCost,3)*(1+CO2Uprater)^($B206-YearCurrent)+PARAMETERS!$CS$37*VLOOKUP(ProjLoc,EmCost,4)+PARAMETERS!$CT$37*VLOOKUP(ProjLoc,EmCost,5)+PARAMETERS!$CU$37*VLOOKUP(ProjLoc,EmCost,6)+PARAMETERS!$CV$37*VLOOKUP(ProjLoc,EmCost,7)),0)</f>
        <v>0</v>
      </c>
      <c r="Z206" s="844">
        <f>IF(INDEX(HwyTransitModelGroup,A178,1)=PARAMETERS!$J$11,D206*0.00000110231131*(PARAMETERS!$CQ$37*VLOOKUP(ProjLoc,EmCost,2)+PARAMETERS!$CR$37*VLOOKUP(ProjLoc,EmCost,3)*(1+CO2Uprater)^($B206-YearCurrent)+PARAMETERS!$CS$37*VLOOKUP(ProjLoc,EmCost,4)+PARAMETERS!$CT$37*VLOOKUP(ProjLoc,EmCost,5)+PARAMETERS!$CU$37*VLOOKUP(ProjLoc,EmCost,6)+PARAMETERS!$CV$37*VLOOKUP(ProjLoc,EmCost,7)),0)</f>
        <v>0</v>
      </c>
      <c r="AA206" s="369">
        <f t="shared" si="80"/>
        <v>124969.9988983029</v>
      </c>
      <c r="AB206" s="370">
        <f t="shared" si="81"/>
        <v>50703.619427748854</v>
      </c>
      <c r="AC206" s="371"/>
      <c r="AD206" s="401">
        <f>IF(INDEX(HwyTransitModelGroup,A178,1)=Hwy,0.00000110231131*(C206*(1-M206)*VLOOKUP(K206,EmAuto20,2)-D206*(1-N206)*VLOOKUP(L206,EmAuto20,2)+(O206*(1-M206)-P206*(1-N206))*VLOOKUP(0,EmAuto20,2))+0.00000110231131*(C206*M206*VLOOKUP(K206,EmTruck20,2)-D206*N206*VLOOKUP(L206,EmTruck20,2)+(O206*M206-P206*N206)*VLOOKUP(0,EmTruck20,2)),0)</f>
        <v>1.1237582353293256</v>
      </c>
      <c r="AE206" s="863">
        <f>IF(INDEX(HwyTransitModelGroup,A178,1)=Hwy,0.00000110231131*(C206*(1-M206)*VLOOKUP(K206,EmAuto20,3)-D206*(1-N206)*VLOOKUP(L206,EmAuto20,3)+(O206*(1-M206)-P206*(1-N206))*VLOOKUP(0,EmAuto20,3))+0.00000110231131*(C206*M206*VLOOKUP(K206,EmTruck20,3)-D206*N206*VLOOKUP(L206,EmTruck20,3)+(O206*M206-P206*N206)*VLOOKUP(0,EmTruck20,3)),0)</f>
        <v>1463.0093240852179</v>
      </c>
      <c r="AF206" s="861">
        <f>IF(INDEX(HwyTransitModelGroup,A178,1)=Hwy,0.00000110231131*(C206*(1-M206)*VLOOKUP(K206,EmAuto20,4)-D206*(1-N206)*VLOOKUP(L206,EmAuto20,4)+(O206*(1-M206)-P206*(1-N206))*VLOOKUP(0,EmAuto20,4))+0.00000110231131*(C206*M206*VLOOKUP(K206,EmTruck20,4)-D206*N206*VLOOKUP(L206,EmTruck20,4)+(O206*M206-P206*N206)*VLOOKUP(0,EmTruck20,4)),0)</f>
        <v>0.7283940413359139</v>
      </c>
      <c r="AG206" s="863">
        <f>IF(INDEX(HwyTransitModelGroup,A178,1)=Hwy,0.00000110231131*(C206*(1-M206)*VLOOKUP(K206,EmAuto20,5)-D206*(1-N206)*VLOOKUP(L206,EmAuto20,5)+(O206*(1-M206)-P206*(1-N206))*VLOOKUP(0,EmAuto20,5))+0.00000110231131*(C206*M206*VLOOKUP(K206,EmTruck20,5)-D206*N206*VLOOKUP(L206,EmTruck20,5)+(O206*M206-P206*N206)*VLOOKUP(0,EmTruck20,5)),0)</f>
        <v>1.9591553656530435E-2</v>
      </c>
      <c r="AH206" s="861">
        <f>IF(INDEX(HwyTransitModelGroup,A178,1)=Hwy,0.00000110231131*(C206*(1-M206)*VLOOKUP(K206,EmAuto20,6)-D206*(1-N206)*VLOOKUP(L206,EmAuto20,6)+(O206*(1-M206)-P206*(1-N206))*VLOOKUP(0,EmAuto20,6))+0.00000110231131*(C206*M206*VLOOKUP(K206,EmTruck20,6)-D206*N206*VLOOKUP(L206,EmTruck20,6)+(O206*M206-P206*N206)*VLOOKUP(0,EmTruck20,6)),0)</f>
        <v>1.407935381418457E-2</v>
      </c>
      <c r="AI206" s="863">
        <f>IF(INDEX(HwyTransitModelGroup,A178,1)=Hwy,0.00000110231131*(C206*(1-M206)*VLOOKUP(K206,EmAuto20,7)-D206*(1-N206)*VLOOKUP(L206,EmAuto20,7)+(O206*(1-M206)-P206*(1-N206))*VLOOKUP(0,EmAuto20,7))+0.00000110231131*(C206*M206*VLOOKUP(K206,EmTruck20,7)-D206*N206*VLOOKUP(L206,EmTruck20,7)+(O206*M206-P206*N206)*VLOOKUP(0,EmTruck20,7)),0)</f>
        <v>2.473184603963367E-2</v>
      </c>
      <c r="AJ206" s="861">
        <f>IF(INDEX(HwyTransitModelGroup,A178,1)=Hwy,0.00000110231131*(C206*(1-M206)*VLOOKUP(K206,EmAuto20,8)-D206*(1-N206)*VLOOKUP(L206,EmAuto20,8)+(O206*(1-M206)-P206*(1-N206))*VLOOKUP(0,EmAuto20,8))+0.00000110231131*(C206*M206*VLOOKUP(K206,EmTruck20,8)-D206*N206*VLOOKUP(L206,EmTruck20,8)+(O206*M206-P206*N206)*VLOOKUP(0,EmTruck20,8)),0)</f>
        <v>1.8794609101010534E-2</v>
      </c>
      <c r="AK206" s="401">
        <f>IF(INDEX(HwyTransitModelGroup,A178,1)=PARAMETERS!$J$9,0.00000110231131*(C206*VLOOKUP(K206,EmBus20,2)-D206*VLOOKUP(L206,EmBus20,2)+(O206-P206)*VLOOKUP(0,EmBus20,2)),0)</f>
        <v>0</v>
      </c>
      <c r="AL206" s="863">
        <f>IF(INDEX(HwyTransitModelGroup,A178,1)=PARAMETERS!$J$9,0.00000110231131*(C206*VLOOKUP(K206,EmBus20,3)-D206*VLOOKUP(L206,EmBus20,3)+(O206-P206)*VLOOKUP(0,EmBus20,3)),0)</f>
        <v>0</v>
      </c>
      <c r="AM206" s="861">
        <f>IF(INDEX(HwyTransitModelGroup,A178,1)=PARAMETERS!$J$9,0.00000110231131*(C206*VLOOKUP(K206,EmBus20,4)-D206*VLOOKUP(L206,EmBus20,4)+(O206-P206)*VLOOKUP(0,EmBus20,4)),0)</f>
        <v>0</v>
      </c>
      <c r="AN206" s="863">
        <f>IF(INDEX(HwyTransitModelGroup,A178,1)=PARAMETERS!$J$9,0.00000110231131*(C206*VLOOKUP(K206,EmBus20,5)-D206*VLOOKUP(L206,EmBus20,5)+(O206-P206)*VLOOKUP(0,EmBus20,5)),0)</f>
        <v>0</v>
      </c>
      <c r="AO206" s="861">
        <f>IF(INDEX(HwyTransitModelGroup,A178,1)=PARAMETERS!$J$9,0.00000110231131*(C206*VLOOKUP(K206,EmBus20,6)-D206*VLOOKUP(L206,EmBus20,6)+(O206-P206)*VLOOKUP(0,EmBus20,6)),0)</f>
        <v>0</v>
      </c>
      <c r="AP206" s="863">
        <f>IF(INDEX(HwyTransitModelGroup,A178,1)=PARAMETERS!$J$9,0.00000110231131*(C206*VLOOKUP(K206,EmBus20,7)-D206*VLOOKUP(L206,EmBus20,7)+(O206-P206)*VLOOKUP(0,EmBus20,7)),0)</f>
        <v>0</v>
      </c>
      <c r="AQ206" s="861">
        <f>IF(INDEX(HwyTransitModelGroup,A178,1)=PARAMETERS!$J$9,0.00000110231131*(C206*VLOOKUP(K206,EmBus20,8)-D206*VLOOKUP(L206,EmBus20,8)+(O206-P206)*VLOOKUP(0,EmBus20,8)),0)</f>
        <v>0</v>
      </c>
      <c r="AR206" s="401">
        <f>IF(INDEX(HwyTransitModelGroup,A178,1)=PARAMETERS!$J$10,0.00000110231131*((C206-D206)*PARAMETERS!$CQ$29),0)</f>
        <v>0</v>
      </c>
      <c r="AS206" s="863">
        <f>IF(INDEX(HwyTransitModelGroup,A178,1)=PARAMETERS!$J$10,0.00000110231131*((C206-D206)*PARAMETERS!$CR$29),0)</f>
        <v>0</v>
      </c>
      <c r="AT206" s="861">
        <f>IF(INDEX(HwyTransitModelGroup,A178,1)=PARAMETERS!$J$10,0.00000110231131*((C206-D206)*PARAMETERS!$CS$29),0)</f>
        <v>0</v>
      </c>
      <c r="AU206" s="863">
        <f>IF(INDEX(HwyTransitModelGroup,A178,1)=PARAMETERS!$J$10,0.00000110231131*((C206-D206)*PARAMETERS!$CT$29),0)</f>
        <v>0</v>
      </c>
      <c r="AV206" s="861">
        <f>IF(INDEX(HwyTransitModelGroup,A178,1)=PARAMETERS!$J$10,0.00000110231131*((C206-D206)*PARAMETERS!$CU$29),0)</f>
        <v>0</v>
      </c>
      <c r="AW206" s="863">
        <f>IF(INDEX(HwyTransitModelGroup,A178,1)=PARAMETERS!$J$10,0.00000110231131*((C206-D206)*PARAMETERS!$CV$29),0)</f>
        <v>0</v>
      </c>
      <c r="AX206" s="861">
        <f>IF(INDEX(HwyTransitModelGroup,A178,1)=PARAMETERS!$J$10,0.00000110231131*((C206-D206)*PARAMETERS!$CW$29),0)</f>
        <v>0</v>
      </c>
      <c r="AY206" s="401">
        <f>IF(INDEX(HwyTransitModelGroup,A178,1)=PARAMETERS!$J$11,0.00000110231131*((C206-D206)*PARAMETERS!$CQ$37),0)</f>
        <v>0</v>
      </c>
      <c r="AZ206" s="863">
        <f>IF(INDEX(HwyTransitModelGroup,A178,1)=PARAMETERS!$J$11,0.00000110231131*((C206-D206)*PARAMETERS!$CR$37),0)</f>
        <v>0</v>
      </c>
      <c r="BA206" s="861">
        <f>IF(INDEX(HwyTransitModelGroup,A178,1)=PARAMETERS!$J$11,0.00000110231131*((C206-D206)*PARAMETERS!$CS$37),0)</f>
        <v>0</v>
      </c>
      <c r="BB206" s="863">
        <f>IF(INDEX(HwyTransitModelGroup,A178,1)=PARAMETERS!$J$11,0.00000110231131*((C206-D206)*PARAMETERS!$CT$37),0)</f>
        <v>0</v>
      </c>
      <c r="BC206" s="861">
        <f>IF(INDEX(HwyTransitModelGroup,A178,1)=PARAMETERS!$J$11,0.00000110231131*((C206-D206)*PARAMETERS!$CU$37),0)</f>
        <v>0</v>
      </c>
      <c r="BD206" s="863">
        <f>IF(INDEX(HwyTransitModelGroup,A178,1)=PARAMETERS!$J$11,0.00000110231131*((C206-D206)*PARAMETERS!$CV$37),0)</f>
        <v>0</v>
      </c>
      <c r="BE206" s="865">
        <f>IF(INDEX(HwyTransitModelGroup,A178,1)=PARAMETERS!$J$11,0.00000110231131*((C206-D206)*PARAMETERS!$CW$37),0)</f>
        <v>0</v>
      </c>
      <c r="BF206" s="729">
        <f t="shared" si="82"/>
        <v>36.475064668475746</v>
      </c>
      <c r="BG206" s="867">
        <f t="shared" si="83"/>
        <v>44928.868155405849</v>
      </c>
      <c r="BH206" s="867">
        <f t="shared" si="84"/>
        <v>4462.4825183874518</v>
      </c>
      <c r="BI206" s="867">
        <f t="shared" si="85"/>
        <v>927.62603703185528</v>
      </c>
      <c r="BJ206" s="867">
        <f t="shared" si="86"/>
        <v>337.02951131234471</v>
      </c>
      <c r="BK206" s="869">
        <f t="shared" si="87"/>
        <v>11.138140942925821</v>
      </c>
      <c r="BL206" s="440"/>
      <c r="BN206" s="375">
        <f t="shared" si="92"/>
        <v>2038</v>
      </c>
      <c r="BO206" s="871">
        <f t="shared" ca="1" si="90"/>
        <v>-1.6487720006684489E-4</v>
      </c>
      <c r="BP206" s="871">
        <f t="shared" ca="1" si="93"/>
        <v>-1.9130763581237209E-4</v>
      </c>
      <c r="BQ206" s="871">
        <f t="shared" ca="1" si="93"/>
        <v>-3.7930060387858848E-5</v>
      </c>
      <c r="BR206" s="871">
        <f t="shared" ca="1" si="93"/>
        <v>-5.307073392749759E-4</v>
      </c>
      <c r="BS206" s="871">
        <f t="shared" ca="1" si="93"/>
        <v>1.000566159477962E-2</v>
      </c>
      <c r="BT206" s="871">
        <f t="shared" ca="1" si="93"/>
        <v>1.2170495626658385E-2</v>
      </c>
    </row>
    <row r="207" spans="2:72" x14ac:dyDescent="0.25">
      <c r="B207" s="385"/>
      <c r="C207" s="386"/>
      <c r="D207" s="386"/>
      <c r="E207" s="386"/>
      <c r="F207" s="386"/>
      <c r="G207" s="386"/>
      <c r="H207" s="386"/>
      <c r="I207" s="386"/>
      <c r="J207" s="386"/>
      <c r="K207" s="388"/>
      <c r="L207" s="388"/>
      <c r="M207" s="386"/>
      <c r="N207" s="386"/>
      <c r="O207" s="388"/>
      <c r="P207" s="388"/>
      <c r="Q207" s="388"/>
      <c r="R207" s="388"/>
      <c r="S207" s="388"/>
      <c r="T207" s="388"/>
      <c r="U207" s="388"/>
      <c r="V207" s="388"/>
      <c r="W207" s="388"/>
      <c r="X207" s="388"/>
      <c r="Y207" s="388"/>
      <c r="Z207" s="388"/>
      <c r="AA207" s="388"/>
      <c r="AB207" s="389"/>
      <c r="AC207" s="390"/>
      <c r="AD207" s="847"/>
      <c r="AE207" s="389"/>
      <c r="AF207" s="389"/>
      <c r="AG207" s="389"/>
      <c r="AH207" s="389"/>
      <c r="AI207" s="389"/>
      <c r="AJ207" s="848"/>
      <c r="AK207" s="390"/>
      <c r="AL207" s="390"/>
      <c r="AM207" s="390"/>
      <c r="AN207" s="390"/>
      <c r="AO207" s="390"/>
      <c r="AP207" s="390"/>
      <c r="AQ207" s="390"/>
      <c r="AR207" s="390"/>
      <c r="AS207" s="390"/>
      <c r="AT207" s="390"/>
      <c r="AU207" s="390"/>
      <c r="AV207" s="390"/>
      <c r="AW207" s="390"/>
      <c r="AX207" s="390"/>
      <c r="AY207" s="390"/>
      <c r="AZ207" s="390"/>
      <c r="BA207" s="390"/>
      <c r="BB207" s="390"/>
      <c r="BC207" s="390"/>
      <c r="BD207" s="390"/>
      <c r="BE207" s="390"/>
      <c r="BF207" s="390"/>
      <c r="BG207" s="390"/>
      <c r="BH207" s="390"/>
      <c r="BI207" s="390"/>
      <c r="BJ207" s="390"/>
      <c r="BK207" s="390"/>
      <c r="BL207" s="440"/>
      <c r="BN207" s="375">
        <f t="shared" si="92"/>
        <v>2039</v>
      </c>
      <c r="BO207" s="871">
        <f t="shared" ca="1" si="90"/>
        <v>-1.8646534977886115E-4</v>
      </c>
      <c r="BP207" s="871">
        <f t="shared" ca="1" si="93"/>
        <v>-1.9428361069234626E-4</v>
      </c>
      <c r="BQ207" s="871">
        <f t="shared" ca="1" si="93"/>
        <v>-3.8549428169033174E-5</v>
      </c>
      <c r="BR207" s="871">
        <f t="shared" ca="1" si="93"/>
        <v>-5.3651718126546198E-4</v>
      </c>
      <c r="BS207" s="871">
        <f t="shared" ca="1" si="93"/>
        <v>1.0340622321461563E-2</v>
      </c>
      <c r="BT207" s="871">
        <f t="shared" ca="1" si="93"/>
        <v>1.2443189653447834E-2</v>
      </c>
    </row>
    <row r="208" spans="2:72" x14ac:dyDescent="0.25">
      <c r="B208" s="407" t="s">
        <v>56</v>
      </c>
      <c r="C208" s="413"/>
      <c r="D208" s="414"/>
      <c r="E208" s="414"/>
      <c r="F208" s="414"/>
      <c r="G208" s="414"/>
      <c r="H208" s="414"/>
      <c r="I208" s="414"/>
      <c r="J208" s="414"/>
      <c r="K208" s="414"/>
      <c r="L208" s="414"/>
      <c r="M208" s="414"/>
      <c r="N208" s="414"/>
      <c r="O208" s="414"/>
      <c r="P208" s="414"/>
      <c r="Q208" s="414"/>
      <c r="R208" s="415"/>
      <c r="S208" s="414"/>
      <c r="T208" s="415"/>
      <c r="U208" s="415"/>
      <c r="V208" s="415"/>
      <c r="W208" s="415"/>
      <c r="X208" s="415"/>
      <c r="Y208" s="415"/>
      <c r="Z208" s="415"/>
      <c r="AA208" s="414"/>
      <c r="AB208" s="409">
        <f>SUM(AB187:AB206)</f>
        <v>1133183.415577644</v>
      </c>
      <c r="AC208" s="416"/>
      <c r="AD208" s="438">
        <f t="shared" ref="AD208:BK208" si="94">SUM(AD187:AD206)</f>
        <v>23.033786167108463</v>
      </c>
      <c r="AE208" s="699">
        <f t="shared" si="94"/>
        <v>25988.738467351915</v>
      </c>
      <c r="AF208" s="699">
        <f t="shared" si="94"/>
        <v>14.581449006895848</v>
      </c>
      <c r="AG208" s="699">
        <f t="shared" si="94"/>
        <v>0.35111052656363073</v>
      </c>
      <c r="AH208" s="699">
        <f t="shared" si="94"/>
        <v>0.25056431836957666</v>
      </c>
      <c r="AI208" s="699">
        <f t="shared" si="94"/>
        <v>0.59034098417582981</v>
      </c>
      <c r="AJ208" s="700">
        <f t="shared" si="94"/>
        <v>0.33611530129166206</v>
      </c>
      <c r="AK208" s="438">
        <f t="shared" si="94"/>
        <v>0</v>
      </c>
      <c r="AL208" s="699">
        <f t="shared" si="94"/>
        <v>0</v>
      </c>
      <c r="AM208" s="699">
        <f t="shared" si="94"/>
        <v>0</v>
      </c>
      <c r="AN208" s="699">
        <f t="shared" si="94"/>
        <v>0</v>
      </c>
      <c r="AO208" s="699">
        <f t="shared" si="94"/>
        <v>0</v>
      </c>
      <c r="AP208" s="699">
        <f t="shared" si="94"/>
        <v>0</v>
      </c>
      <c r="AQ208" s="700">
        <f t="shared" si="94"/>
        <v>0</v>
      </c>
      <c r="AR208" s="438">
        <f t="shared" si="94"/>
        <v>0</v>
      </c>
      <c r="AS208" s="699">
        <f t="shared" si="94"/>
        <v>0</v>
      </c>
      <c r="AT208" s="699">
        <f t="shared" si="94"/>
        <v>0</v>
      </c>
      <c r="AU208" s="699">
        <f t="shared" si="94"/>
        <v>0</v>
      </c>
      <c r="AV208" s="699">
        <f t="shared" si="94"/>
        <v>0</v>
      </c>
      <c r="AW208" s="699">
        <f t="shared" si="94"/>
        <v>0</v>
      </c>
      <c r="AX208" s="700">
        <f t="shared" si="94"/>
        <v>0</v>
      </c>
      <c r="AY208" s="438">
        <f t="shared" si="94"/>
        <v>0</v>
      </c>
      <c r="AZ208" s="699">
        <f t="shared" si="94"/>
        <v>0</v>
      </c>
      <c r="BA208" s="699">
        <f t="shared" si="94"/>
        <v>0</v>
      </c>
      <c r="BB208" s="699">
        <f t="shared" si="94"/>
        <v>0</v>
      </c>
      <c r="BC208" s="699">
        <f t="shared" si="94"/>
        <v>0</v>
      </c>
      <c r="BD208" s="699">
        <f t="shared" si="94"/>
        <v>0</v>
      </c>
      <c r="BE208" s="700">
        <f t="shared" si="94"/>
        <v>0</v>
      </c>
      <c r="BF208" s="704">
        <f t="shared" si="94"/>
        <v>1144.1354533871611</v>
      </c>
      <c r="BG208" s="705">
        <f t="shared" si="94"/>
        <v>962138.2055161671</v>
      </c>
      <c r="BH208" s="705">
        <f t="shared" si="94"/>
        <v>135983.56637534103</v>
      </c>
      <c r="BI208" s="705">
        <f t="shared" si="94"/>
        <v>24628.494302180254</v>
      </c>
      <c r="BJ208" s="705">
        <f t="shared" si="94"/>
        <v>8869.3738783511162</v>
      </c>
      <c r="BK208" s="439">
        <f t="shared" si="94"/>
        <v>419.64005221768355</v>
      </c>
      <c r="BL208" s="440"/>
      <c r="BN208" s="375">
        <f t="shared" si="92"/>
        <v>2040</v>
      </c>
      <c r="BO208" s="871">
        <f t="shared" ca="1" si="90"/>
        <v>-2.0805349949087741E-4</v>
      </c>
      <c r="BP208" s="871">
        <f t="shared" ca="1" si="93"/>
        <v>-1.9725958557232037E-4</v>
      </c>
      <c r="BQ208" s="871">
        <f t="shared" ca="1" si="93"/>
        <v>-3.9168795950207255E-5</v>
      </c>
      <c r="BR208" s="871">
        <f t="shared" ca="1" si="93"/>
        <v>-5.4232702325594827E-4</v>
      </c>
      <c r="BS208" s="871">
        <f t="shared" ca="1" si="93"/>
        <v>1.0675583048143488E-2</v>
      </c>
      <c r="BT208" s="871">
        <f t="shared" ca="1" si="93"/>
        <v>1.2715883680237293E-2</v>
      </c>
    </row>
    <row r="209" spans="2:72" x14ac:dyDescent="0.25">
      <c r="B209" s="2"/>
      <c r="C209" s="418"/>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I209" s="2"/>
      <c r="BJ209" s="418"/>
      <c r="BK209" s="418"/>
      <c r="BL209" s="440"/>
      <c r="BN209" s="375">
        <f t="shared" si="92"/>
        <v>2041</v>
      </c>
      <c r="BO209" s="871">
        <f t="shared" ca="1" si="90"/>
        <v>-2.2964164920289388E-4</v>
      </c>
      <c r="BP209" s="871">
        <f t="shared" ca="1" si="93"/>
        <v>-3.163965916791095E-4</v>
      </c>
      <c r="BQ209" s="871">
        <f t="shared" ca="1" si="93"/>
        <v>-3.9788163731381588E-5</v>
      </c>
      <c r="BR209" s="871">
        <f t="shared" ca="1" si="93"/>
        <v>-5.4813686524643381E-4</v>
      </c>
      <c r="BS209" s="871">
        <f t="shared" ca="1" si="93"/>
        <v>1.1010543774825455E-2</v>
      </c>
      <c r="BT209" s="871">
        <f t="shared" ca="1" si="93"/>
        <v>1.2988577707026744E-2</v>
      </c>
    </row>
    <row r="210" spans="2:72" x14ac:dyDescent="0.25">
      <c r="BI210" s="1"/>
      <c r="BJ210" s="345"/>
      <c r="BK210" s="346"/>
      <c r="BL210" s="440"/>
      <c r="BN210" s="375">
        <f t="shared" si="92"/>
        <v>2042</v>
      </c>
      <c r="BO210" s="871">
        <f t="shared" ca="1" si="90"/>
        <v>-2.512297989149109E-4</v>
      </c>
      <c r="BP210" s="871">
        <f t="shared" ca="1" si="93"/>
        <v>-3.2110240275395202E-4</v>
      </c>
      <c r="BQ210" s="871">
        <f t="shared" ca="1" si="93"/>
        <v>-4.0407531512555412E-5</v>
      </c>
      <c r="BR210" s="871">
        <f t="shared" ca="1" si="93"/>
        <v>-5.5394670723691967E-4</v>
      </c>
      <c r="BS210" s="871">
        <f t="shared" ca="1" si="93"/>
        <v>1.1345504501507408E-2</v>
      </c>
      <c r="BT210" s="871">
        <f t="shared" ca="1" si="93"/>
        <v>1.3261271733816211E-2</v>
      </c>
    </row>
    <row r="211" spans="2:72" x14ac:dyDescent="0.25">
      <c r="BI211" s="1"/>
      <c r="BJ211" s="345"/>
      <c r="BK211" s="346"/>
      <c r="BL211" s="440"/>
      <c r="BN211" s="375">
        <f t="shared" si="92"/>
        <v>2043</v>
      </c>
      <c r="BO211" s="871">
        <f t="shared" ca="1" si="90"/>
        <v>-2.7281794862692686E-4</v>
      </c>
      <c r="BP211" s="871">
        <f t="shared" ca="1" si="93"/>
        <v>-3.2580821382879454E-4</v>
      </c>
      <c r="BQ211" s="871">
        <f t="shared" ca="1" si="93"/>
        <v>-4.1026899293729616E-5</v>
      </c>
      <c r="BR211" s="871">
        <f t="shared" ca="1" si="93"/>
        <v>-5.5975654922740565E-4</v>
      </c>
      <c r="BS211" s="871">
        <f t="shared" ca="1" si="93"/>
        <v>1.1680465228189357E-2</v>
      </c>
      <c r="BT211" s="871">
        <f t="shared" ca="1" si="93"/>
        <v>1.353396576060566E-2</v>
      </c>
    </row>
    <row r="212" spans="2:72" x14ac:dyDescent="0.25">
      <c r="BI212" s="1"/>
      <c r="BJ212" s="345"/>
      <c r="BK212" s="346"/>
      <c r="BL212" s="440"/>
      <c r="BN212" s="375">
        <f t="shared" si="92"/>
        <v>2044</v>
      </c>
      <c r="BO212" s="871">
        <f t="shared" ca="1" si="90"/>
        <v>-2.9440609833894288E-4</v>
      </c>
      <c r="BP212" s="871">
        <f t="shared" ca="1" si="93"/>
        <v>-3.3051402490363673E-4</v>
      </c>
      <c r="BQ212" s="871">
        <f t="shared" ca="1" si="93"/>
        <v>-4.164626707490344E-5</v>
      </c>
      <c r="BR212" s="871">
        <f t="shared" ca="1" si="93"/>
        <v>-5.6556639121789205E-4</v>
      </c>
      <c r="BS212" s="871">
        <f t="shared" ca="1" si="93"/>
        <v>1.2015425954871315E-2</v>
      </c>
      <c r="BT212" s="871">
        <f t="shared" ca="1" si="93"/>
        <v>1.380665978739511E-2</v>
      </c>
    </row>
    <row r="213" spans="2:72" x14ac:dyDescent="0.25">
      <c r="BI213" s="1"/>
      <c r="BJ213" s="345"/>
      <c r="BK213" s="346"/>
      <c r="BL213" s="440"/>
      <c r="BN213" s="375">
        <f t="shared" si="92"/>
        <v>2045</v>
      </c>
      <c r="BO213" s="871">
        <f t="shared" ca="1" si="90"/>
        <v>-3.159942480509596E-4</v>
      </c>
      <c r="BP213" s="871">
        <f t="shared" ca="1" si="93"/>
        <v>-3.352198359784793E-4</v>
      </c>
      <c r="BQ213" s="871">
        <f t="shared" ca="1" si="93"/>
        <v>-4.2265634856078023E-5</v>
      </c>
      <c r="BR213" s="871">
        <f t="shared" ca="1" si="93"/>
        <v>-5.7137623320837781E-4</v>
      </c>
      <c r="BS213" s="871">
        <f t="shared" ca="1" si="93"/>
        <v>1.2350386681553258E-2</v>
      </c>
      <c r="BT213" s="871">
        <f t="shared" ca="1" si="93"/>
        <v>1.407935381418457E-2</v>
      </c>
    </row>
    <row r="214" spans="2:72" x14ac:dyDescent="0.25">
      <c r="BI214" s="1"/>
      <c r="BJ214" s="345"/>
      <c r="BK214" s="346"/>
      <c r="BL214" s="440"/>
      <c r="BN214" s="385"/>
      <c r="BO214" s="389"/>
      <c r="BP214" s="389"/>
      <c r="BQ214" s="389"/>
      <c r="BR214" s="389"/>
      <c r="BS214" s="389"/>
      <c r="BT214" s="389"/>
    </row>
    <row r="215" spans="2:72" x14ac:dyDescent="0.25">
      <c r="BI215" s="1"/>
      <c r="BJ215" s="345"/>
      <c r="BK215" s="346"/>
      <c r="BL215" s="440"/>
      <c r="BN215" s="407" t="s">
        <v>56</v>
      </c>
      <c r="BO215" s="411">
        <f t="shared" ref="BO215:BT215" ca="1" si="95">SUM(BO194:BO213)</f>
        <v>-2.1319781683916822E-3</v>
      </c>
      <c r="BP215" s="411">
        <f t="shared" ca="1" si="95"/>
        <v>-4.2285276467317117E-3</v>
      </c>
      <c r="BQ215" s="411">
        <f t="shared" ca="1" si="95"/>
        <v>2.4240592033723178E-4</v>
      </c>
      <c r="BR215" s="411">
        <f t="shared" ca="1" si="95"/>
        <v>-8.5743033767047734E-3</v>
      </c>
      <c r="BS215" s="411">
        <f t="shared" ca="1" si="95"/>
        <v>0.19832332965954008</v>
      </c>
      <c r="BT215" s="411">
        <f t="shared" ca="1" si="95"/>
        <v>0.25056431836957666</v>
      </c>
    </row>
    <row r="216" spans="2:72" x14ac:dyDescent="0.25">
      <c r="BI216" s="1"/>
      <c r="BJ216" s="345"/>
      <c r="BK216" s="346"/>
      <c r="BL216" s="440"/>
    </row>
    <row r="217" spans="2:72" x14ac:dyDescent="0.25">
      <c r="BI217" s="1"/>
      <c r="BJ217" s="345"/>
      <c r="BK217" s="346"/>
      <c r="BL217" s="440"/>
    </row>
    <row r="218" spans="2:72" x14ac:dyDescent="0.25">
      <c r="BI218" s="1"/>
      <c r="BJ218" s="345"/>
      <c r="BK218" s="346"/>
      <c r="BL218" s="440"/>
    </row>
    <row r="219" spans="2:72" ht="18" x14ac:dyDescent="0.25">
      <c r="BI219" s="1"/>
      <c r="BJ219" s="345"/>
      <c r="BK219" s="346"/>
      <c r="BL219" s="440"/>
      <c r="BN219" s="316" t="s">
        <v>356</v>
      </c>
    </row>
    <row r="220" spans="2:72" x14ac:dyDescent="0.25">
      <c r="BI220" s="1"/>
      <c r="BJ220" s="345"/>
      <c r="BK220" s="346"/>
      <c r="BL220" s="440"/>
      <c r="BN220" s="2"/>
      <c r="BO220" s="310"/>
      <c r="BP220" s="310"/>
      <c r="BQ220" s="310"/>
      <c r="BR220" s="310"/>
      <c r="BS220" s="310"/>
      <c r="BT220" s="310"/>
    </row>
    <row r="221" spans="2:72" x14ac:dyDescent="0.25">
      <c r="BI221" s="1"/>
      <c r="BJ221" s="345"/>
      <c r="BK221" s="346"/>
      <c r="BL221" s="440"/>
    </row>
    <row r="222" spans="2:72" x14ac:dyDescent="0.25">
      <c r="BI222" s="1"/>
      <c r="BJ222" s="345"/>
      <c r="BK222" s="346"/>
      <c r="BL222" s="440"/>
    </row>
    <row r="223" spans="2:72" x14ac:dyDescent="0.25">
      <c r="BI223" s="1"/>
      <c r="BJ223" s="345"/>
      <c r="BK223" s="346"/>
      <c r="BL223" s="440"/>
    </row>
    <row r="224" spans="2:72" x14ac:dyDescent="0.25">
      <c r="BI224" s="1"/>
      <c r="BJ224" s="345"/>
      <c r="BK224" s="346"/>
      <c r="BL224" s="440"/>
      <c r="BN224" s="322"/>
      <c r="BO224" s="52">
        <v>1</v>
      </c>
      <c r="BP224" s="52">
        <v>2</v>
      </c>
      <c r="BQ224" s="52">
        <v>3</v>
      </c>
      <c r="BR224" s="52">
        <v>4</v>
      </c>
      <c r="BS224" s="52">
        <v>5</v>
      </c>
      <c r="BT224" s="52">
        <v>6</v>
      </c>
    </row>
    <row r="225" spans="61:72" x14ac:dyDescent="0.25">
      <c r="BI225" s="1"/>
      <c r="BJ225" s="345"/>
      <c r="BK225" s="346"/>
      <c r="BL225" s="440"/>
      <c r="BN225" s="335"/>
      <c r="BO225" s="1777" t="str">
        <f t="shared" ref="BO225:BT225" si="96">IF(ISBLANK(INDEX(ModelGroup,BO224,1)),"Not Used",INDEX(ModelGroup,BO224,1))</f>
        <v>SB Off-ramp to Ave 280</v>
      </c>
      <c r="BP225" s="1777" t="str">
        <f t="shared" si="96"/>
        <v>SB On-ramp from Ave 280</v>
      </c>
      <c r="BQ225" s="1777" t="str">
        <f t="shared" si="96"/>
        <v>NB Off-ramp to Ave 280</v>
      </c>
      <c r="BR225" s="1777" t="str">
        <f t="shared" si="96"/>
        <v>NB On-ramp from Ave 280</v>
      </c>
      <c r="BS225" s="1777" t="str">
        <f t="shared" si="96"/>
        <v>NB Mainline</v>
      </c>
      <c r="BT225" s="1777" t="str">
        <f t="shared" si="96"/>
        <v>SB Mainline</v>
      </c>
    </row>
    <row r="226" spans="61:72" x14ac:dyDescent="0.25">
      <c r="BI226" s="1"/>
      <c r="BJ226" s="345"/>
      <c r="BK226" s="346"/>
      <c r="BL226" s="440"/>
      <c r="BN226" s="77" t="s">
        <v>34</v>
      </c>
      <c r="BO226" s="1778"/>
      <c r="BP226" s="1778"/>
      <c r="BQ226" s="1778"/>
      <c r="BR226" s="1778"/>
      <c r="BS226" s="1778"/>
      <c r="BT226" s="1778"/>
    </row>
    <row r="227" spans="61:72" x14ac:dyDescent="0.25">
      <c r="BI227" s="1"/>
      <c r="BJ227" s="345"/>
      <c r="BK227" s="346"/>
      <c r="BL227" s="440"/>
      <c r="BN227" s="355"/>
      <c r="BO227" s="1779"/>
      <c r="BP227" s="1779"/>
      <c r="BQ227" s="1779"/>
      <c r="BR227" s="1779"/>
      <c r="BS227" s="1779"/>
      <c r="BT227" s="1779"/>
    </row>
    <row r="228" spans="61:72" x14ac:dyDescent="0.25">
      <c r="BI228" s="1"/>
      <c r="BJ228" s="345"/>
      <c r="BK228" s="346"/>
      <c r="BL228" s="440"/>
      <c r="BN228" s="375">
        <f>YearOpen</f>
        <v>2026</v>
      </c>
      <c r="BO228" s="870">
        <f t="shared" ref="BO228:BO247" ca="1" si="97">OFFSET($AI9,MATCH(BO$224,$A:$A),0)+OFFSET($AP9,MATCH(BO$224,$A:$A),0)+OFFSET($AW9,MATCH(BO$224,$A:$A),0)+OFFSET($BD9,MATCH(BO$224,$A:$A),0)</f>
        <v>6.1713075060159598E-4</v>
      </c>
      <c r="BP228" s="870">
        <f t="shared" ref="BP228:BT237" ca="1" si="98">OFFSET($AI9,MATCH(BP$224,$A:$A),0)+OFFSET($AP9,MATCH(BP$224,$A:$A),0)+OFFSET($AW9,MATCH(BP$224,$A:$A),0)+OFFSET($BD9,MATCH(BP$224,$A:$A),0)</f>
        <v>-2.9868381579341996E-5</v>
      </c>
      <c r="BQ228" s="870">
        <f t="shared" ca="1" si="98"/>
        <v>2.5578191472379955E-3</v>
      </c>
      <c r="BR228" s="870">
        <f t="shared" ca="1" si="98"/>
        <v>3.5534699550795732E-3</v>
      </c>
      <c r="BS228" s="870">
        <f t="shared" ca="1" si="98"/>
        <v>2.6948892526012336E-2</v>
      </c>
      <c r="BT228" s="870">
        <f t="shared" ca="1" si="98"/>
        <v>4.0058541868247484E-2</v>
      </c>
    </row>
    <row r="229" spans="61:72" x14ac:dyDescent="0.25">
      <c r="BI229" s="1"/>
      <c r="BJ229" s="345"/>
      <c r="BK229" s="346"/>
      <c r="BL229" s="440"/>
      <c r="BN229" s="375">
        <f>BN228+1</f>
        <v>2027</v>
      </c>
      <c r="BO229" s="871">
        <f t="shared" ca="1" si="97"/>
        <v>4.7567155906759229E-4</v>
      </c>
      <c r="BP229" s="871">
        <f t="shared" ca="1" si="98"/>
        <v>-3.0392474389372745E-5</v>
      </c>
      <c r="BQ229" s="871">
        <f t="shared" ca="1" si="98"/>
        <v>2.6065720902856385E-3</v>
      </c>
      <c r="BR229" s="871">
        <f t="shared" ca="1" si="98"/>
        <v>3.5997859832402387E-3</v>
      </c>
      <c r="BS229" s="871">
        <f t="shared" ca="1" si="98"/>
        <v>2.8456847797452209E-2</v>
      </c>
      <c r="BT229" s="871">
        <f t="shared" ca="1" si="98"/>
        <v>4.1286179505831702E-2</v>
      </c>
    </row>
    <row r="230" spans="61:72" x14ac:dyDescent="0.25">
      <c r="BI230" s="1"/>
      <c r="BJ230" s="345"/>
      <c r="BK230" s="346"/>
      <c r="BL230" s="440"/>
      <c r="BN230" s="375">
        <f t="shared" ref="BN230:BN247" si="99">BN229+1</f>
        <v>2028</v>
      </c>
      <c r="BO230" s="871">
        <f t="shared" ca="1" si="97"/>
        <v>3.3421236753359261E-4</v>
      </c>
      <c r="BP230" s="871">
        <f t="shared" ca="1" si="98"/>
        <v>-3.0916567199400458E-5</v>
      </c>
      <c r="BQ230" s="871">
        <f t="shared" ca="1" si="98"/>
        <v>2.6553250333332819E-3</v>
      </c>
      <c r="BR230" s="871">
        <f t="shared" ca="1" si="98"/>
        <v>3.6461020114009002E-3</v>
      </c>
      <c r="BS230" s="871">
        <f t="shared" ca="1" si="98"/>
        <v>2.9964803068892078E-2</v>
      </c>
      <c r="BT230" s="871">
        <f t="shared" ca="1" si="98"/>
        <v>4.2513817143415955E-2</v>
      </c>
    </row>
    <row r="231" spans="61:72" x14ac:dyDescent="0.25">
      <c r="BI231" s="1"/>
      <c r="BJ231" s="345"/>
      <c r="BK231" s="346"/>
      <c r="BL231" s="440"/>
      <c r="BN231" s="375">
        <f t="shared" si="99"/>
        <v>2029</v>
      </c>
      <c r="BO231" s="871">
        <f t="shared" ca="1" si="97"/>
        <v>1.9275317599958892E-4</v>
      </c>
      <c r="BP231" s="871">
        <f t="shared" ca="1" si="98"/>
        <v>-3.1440660009428171E-5</v>
      </c>
      <c r="BQ231" s="871">
        <f t="shared" ca="1" si="98"/>
        <v>2.7040779763809254E-3</v>
      </c>
      <c r="BR231" s="871">
        <f t="shared" ca="1" si="98"/>
        <v>3.6924180395615648E-3</v>
      </c>
      <c r="BS231" s="871">
        <f t="shared" ca="1" si="98"/>
        <v>3.1472758340331981E-2</v>
      </c>
      <c r="BT231" s="871">
        <f t="shared" ca="1" si="98"/>
        <v>4.3741454781000194E-2</v>
      </c>
    </row>
    <row r="232" spans="61:72" x14ac:dyDescent="0.25">
      <c r="BI232" s="1"/>
      <c r="BJ232" s="345"/>
      <c r="BK232" s="346"/>
      <c r="BL232" s="440"/>
      <c r="BN232" s="375">
        <f t="shared" si="99"/>
        <v>2030</v>
      </c>
      <c r="BO232" s="871">
        <f t="shared" ca="1" si="97"/>
        <v>5.1293984465589261E-5</v>
      </c>
      <c r="BP232" s="871">
        <f t="shared" ca="1" si="98"/>
        <v>-3.1964752819455883E-5</v>
      </c>
      <c r="BQ232" s="871">
        <f t="shared" ca="1" si="98"/>
        <v>2.7528309194285662E-3</v>
      </c>
      <c r="BR232" s="871">
        <f t="shared" ca="1" si="98"/>
        <v>3.7387340677222302E-3</v>
      </c>
      <c r="BS232" s="871">
        <f t="shared" ca="1" si="98"/>
        <v>3.298071361177185E-2</v>
      </c>
      <c r="BT232" s="871">
        <f t="shared" ca="1" si="98"/>
        <v>4.4969092418584385E-2</v>
      </c>
    </row>
    <row r="233" spans="61:72" x14ac:dyDescent="0.25">
      <c r="BI233" s="1"/>
      <c r="BJ233" s="345"/>
      <c r="BK233" s="346"/>
      <c r="BL233" s="440"/>
      <c r="BN233" s="375">
        <f t="shared" si="99"/>
        <v>2031</v>
      </c>
      <c r="BO233" s="871">
        <f t="shared" ca="1" si="97"/>
        <v>-9.0165207068415408E-5</v>
      </c>
      <c r="BP233" s="871">
        <f t="shared" ca="1" si="98"/>
        <v>-3.2488845629482621E-5</v>
      </c>
      <c r="BQ233" s="871">
        <f t="shared" ca="1" si="98"/>
        <v>3.1397890881755628E-3</v>
      </c>
      <c r="BR233" s="871">
        <f t="shared" ca="1" si="98"/>
        <v>3.7850500958828965E-3</v>
      </c>
      <c r="BS233" s="871">
        <f t="shared" ca="1" si="98"/>
        <v>3.4488668883211726E-2</v>
      </c>
      <c r="BT233" s="871">
        <f t="shared" ca="1" si="98"/>
        <v>4.6196730056168638E-2</v>
      </c>
    </row>
    <row r="234" spans="61:72" x14ac:dyDescent="0.25">
      <c r="BI234" s="1"/>
      <c r="BJ234" s="345"/>
      <c r="BK234" s="346"/>
      <c r="BL234" s="440"/>
      <c r="BN234" s="375">
        <f t="shared" si="99"/>
        <v>2032</v>
      </c>
      <c r="BO234" s="871">
        <f t="shared" ca="1" si="97"/>
        <v>-2.316243986024191E-4</v>
      </c>
      <c r="BP234" s="871">
        <f t="shared" ca="1" si="98"/>
        <v>2.2032675046141447E-4</v>
      </c>
      <c r="BQ234" s="871">
        <f t="shared" ca="1" si="98"/>
        <v>3.1944474700597385E-3</v>
      </c>
      <c r="BR234" s="871">
        <f t="shared" ca="1" si="98"/>
        <v>3.831366124043559E-3</v>
      </c>
      <c r="BS234" s="871">
        <f t="shared" ca="1" si="98"/>
        <v>3.599662415465163E-2</v>
      </c>
      <c r="BT234" s="871">
        <f t="shared" ca="1" si="98"/>
        <v>4.742436769375289E-2</v>
      </c>
    </row>
    <row r="235" spans="61:72" x14ac:dyDescent="0.25">
      <c r="BI235" s="1"/>
      <c r="BJ235" s="345"/>
      <c r="BK235" s="346"/>
      <c r="BL235" s="440"/>
      <c r="BN235" s="375">
        <f t="shared" si="99"/>
        <v>2033</v>
      </c>
      <c r="BO235" s="871">
        <f t="shared" ca="1" si="97"/>
        <v>-1.1432240131489455E-4</v>
      </c>
      <c r="BP235" s="871">
        <f t="shared" ca="1" si="98"/>
        <v>-6.9244545435499693E-5</v>
      </c>
      <c r="BQ235" s="871">
        <f t="shared" ca="1" si="98"/>
        <v>1.0304174816874708E-3</v>
      </c>
      <c r="BR235" s="871">
        <f t="shared" ca="1" si="98"/>
        <v>-2.0478534266814096E-4</v>
      </c>
      <c r="BS235" s="871">
        <f t="shared" ca="1" si="98"/>
        <v>1.4634016532142132E-2</v>
      </c>
      <c r="BT235" s="871">
        <f t="shared" ca="1" si="98"/>
        <v>1.8983661761724571E-2</v>
      </c>
    </row>
    <row r="236" spans="61:72" x14ac:dyDescent="0.25">
      <c r="BI236" s="1"/>
      <c r="BJ236" s="345"/>
      <c r="BK236" s="346"/>
      <c r="BL236" s="440"/>
      <c r="BN236" s="375">
        <f t="shared" si="99"/>
        <v>2034</v>
      </c>
      <c r="BO236" s="871">
        <f t="shared" ca="1" si="97"/>
        <v>-1.5766913349981118E-4</v>
      </c>
      <c r="BP236" s="871">
        <f t="shared" ca="1" si="98"/>
        <v>-7.0402088053687274E-5</v>
      </c>
      <c r="BQ236" s="871">
        <f t="shared" ca="1" si="98"/>
        <v>1.0477549514368084E-3</v>
      </c>
      <c r="BR236" s="871">
        <f t="shared" ca="1" si="98"/>
        <v>-2.0699968106002655E-4</v>
      </c>
      <c r="BS236" s="871">
        <f t="shared" ca="1" si="98"/>
        <v>1.5222409808634412E-2</v>
      </c>
      <c r="BT236" s="871">
        <f t="shared" ca="1" si="98"/>
        <v>1.9462677118217014E-2</v>
      </c>
    </row>
    <row r="237" spans="61:72" x14ac:dyDescent="0.25">
      <c r="BI237" s="1"/>
      <c r="BJ237" s="345"/>
      <c r="BK237" s="346"/>
      <c r="BL237" s="440"/>
      <c r="BN237" s="375">
        <f t="shared" si="99"/>
        <v>2035</v>
      </c>
      <c r="BO237" s="871">
        <f t="shared" ca="1" si="97"/>
        <v>-2.0101586568472928E-4</v>
      </c>
      <c r="BP237" s="871">
        <f t="shared" ca="1" si="98"/>
        <v>-7.1559630671874598E-5</v>
      </c>
      <c r="BQ237" s="871">
        <f t="shared" ca="1" si="98"/>
        <v>1.0650924211861462E-3</v>
      </c>
      <c r="BR237" s="871">
        <f t="shared" ca="1" si="98"/>
        <v>-2.0921401945191387E-4</v>
      </c>
      <c r="BS237" s="871">
        <f t="shared" ca="1" si="98"/>
        <v>1.5810803085126661E-2</v>
      </c>
      <c r="BT237" s="871">
        <f t="shared" ca="1" si="98"/>
        <v>1.9941692474709428E-2</v>
      </c>
    </row>
    <row r="238" spans="61:72" x14ac:dyDescent="0.25">
      <c r="BI238" s="1"/>
      <c r="BJ238" s="345"/>
      <c r="BK238" s="346"/>
      <c r="BL238" s="440"/>
      <c r="BN238" s="375">
        <f t="shared" si="99"/>
        <v>2036</v>
      </c>
      <c r="BO238" s="871">
        <f t="shared" ca="1" si="97"/>
        <v>-2.4436259786964694E-4</v>
      </c>
      <c r="BP238" s="871">
        <f t="shared" ref="BP238:BT247" ca="1" si="100">OFFSET($AI19,MATCH(BP$224,$A:$A),0)+OFFSET($AP19,MATCH(BP$224,$A:$A),0)+OFFSET($AW19,MATCH(BP$224,$A:$A),0)+OFFSET($BD19,MATCH(BP$224,$A:$A),0)</f>
        <v>-7.2717173290062179E-5</v>
      </c>
      <c r="BQ238" s="871">
        <f t="shared" ca="1" si="100"/>
        <v>1.0824298909354829E-3</v>
      </c>
      <c r="BR238" s="871">
        <f t="shared" ca="1" si="100"/>
        <v>-2.1142835784379929E-4</v>
      </c>
      <c r="BS238" s="871">
        <f t="shared" ca="1" si="100"/>
        <v>1.639919636161891E-2</v>
      </c>
      <c r="BT238" s="871">
        <f t="shared" ca="1" si="100"/>
        <v>2.0420707831201854E-2</v>
      </c>
    </row>
    <row r="239" spans="61:72" x14ac:dyDescent="0.25">
      <c r="BI239" s="1"/>
      <c r="BJ239" s="345"/>
      <c r="BK239" s="346"/>
      <c r="BL239" s="440"/>
      <c r="BN239" s="375">
        <f t="shared" si="99"/>
        <v>2037</v>
      </c>
      <c r="BO239" s="871">
        <f t="shared" ca="1" si="97"/>
        <v>-2.8770933005456379E-4</v>
      </c>
      <c r="BP239" s="871">
        <f t="shared" ca="1" si="100"/>
        <v>-7.3874715908249774E-5</v>
      </c>
      <c r="BQ239" s="871">
        <f t="shared" ca="1" si="100"/>
        <v>1.0997673606848199E-3</v>
      </c>
      <c r="BR239" s="871">
        <f t="shared" ca="1" si="100"/>
        <v>-1.5823804739001704E-4</v>
      </c>
      <c r="BS239" s="871">
        <f t="shared" ca="1" si="100"/>
        <v>1.6987589638111186E-2</v>
      </c>
      <c r="BT239" s="871">
        <f t="shared" ca="1" si="100"/>
        <v>2.0899723187694268E-2</v>
      </c>
    </row>
    <row r="240" spans="61:72" x14ac:dyDescent="0.25">
      <c r="BI240" s="1"/>
      <c r="BJ240" s="345"/>
      <c r="BK240" s="346"/>
      <c r="BL240" s="440"/>
      <c r="BN240" s="375">
        <f t="shared" si="99"/>
        <v>2038</v>
      </c>
      <c r="BO240" s="871">
        <f t="shared" ca="1" si="97"/>
        <v>-3.3105606223948064E-4</v>
      </c>
      <c r="BP240" s="871">
        <f t="shared" ca="1" si="100"/>
        <v>-7.5032258526437599E-5</v>
      </c>
      <c r="BQ240" s="871">
        <f t="shared" ca="1" si="100"/>
        <v>1.1171048304341575E-3</v>
      </c>
      <c r="BR240" s="871">
        <f t="shared" ca="1" si="100"/>
        <v>-1.5982762659611102E-4</v>
      </c>
      <c r="BS240" s="871">
        <f t="shared" ca="1" si="100"/>
        <v>1.7575982914603442E-2</v>
      </c>
      <c r="BT240" s="871">
        <f t="shared" ca="1" si="100"/>
        <v>2.1378738544186704E-2</v>
      </c>
    </row>
    <row r="241" spans="61:72" x14ac:dyDescent="0.25">
      <c r="BI241" s="1"/>
      <c r="BJ241" s="345"/>
      <c r="BK241" s="346"/>
      <c r="BL241" s="440"/>
      <c r="BN241" s="375">
        <f t="shared" si="99"/>
        <v>2039</v>
      </c>
      <c r="BO241" s="871">
        <f t="shared" ca="1" si="97"/>
        <v>-3.7440279442439803E-4</v>
      </c>
      <c r="BP241" s="871">
        <f t="shared" ca="1" si="100"/>
        <v>-7.6189801144624678E-5</v>
      </c>
      <c r="BQ241" s="871">
        <f t="shared" ca="1" si="100"/>
        <v>1.1344423001834951E-3</v>
      </c>
      <c r="BR241" s="871">
        <f t="shared" ca="1" si="100"/>
        <v>-1.6141720580220662E-4</v>
      </c>
      <c r="BS241" s="871">
        <f t="shared" ca="1" si="100"/>
        <v>1.8164376191095667E-2</v>
      </c>
      <c r="BT241" s="871">
        <f t="shared" ca="1" si="100"/>
        <v>2.1857753900679115E-2</v>
      </c>
    </row>
    <row r="242" spans="61:72" x14ac:dyDescent="0.25">
      <c r="BI242" s="1"/>
      <c r="BJ242" s="345"/>
      <c r="BK242" s="346"/>
      <c r="BL242" s="440"/>
      <c r="BN242" s="375">
        <f t="shared" si="99"/>
        <v>2040</v>
      </c>
      <c r="BO242" s="871">
        <f t="shared" ca="1" si="97"/>
        <v>-4.177495266093151E-4</v>
      </c>
      <c r="BP242" s="871">
        <f t="shared" ca="1" si="100"/>
        <v>-7.7347343762812016E-5</v>
      </c>
      <c r="BQ242" s="871">
        <f t="shared" ca="1" si="100"/>
        <v>1.1517797699328322E-3</v>
      </c>
      <c r="BR242" s="871">
        <f t="shared" ca="1" si="100"/>
        <v>-1.6300678500830179E-4</v>
      </c>
      <c r="BS242" s="871">
        <f t="shared" ca="1" si="100"/>
        <v>1.8752769467587933E-2</v>
      </c>
      <c r="BT242" s="871">
        <f t="shared" ca="1" si="100"/>
        <v>2.2336769257171554E-2</v>
      </c>
    </row>
    <row r="243" spans="61:72" x14ac:dyDescent="0.25">
      <c r="BI243" s="1"/>
      <c r="BJ243" s="345"/>
      <c r="BK243" s="346"/>
      <c r="BL243" s="440"/>
      <c r="BN243" s="375">
        <f t="shared" si="99"/>
        <v>2041</v>
      </c>
      <c r="BO243" s="871">
        <f t="shared" ca="1" si="97"/>
        <v>-4.6109625879423174E-4</v>
      </c>
      <c r="BP243" s="871">
        <f t="shared" ca="1" si="100"/>
        <v>-2.1994114432820106E-5</v>
      </c>
      <c r="BQ243" s="871">
        <f t="shared" ca="1" si="100"/>
        <v>1.1691172396821694E-3</v>
      </c>
      <c r="BR243" s="871">
        <f t="shared" ca="1" si="100"/>
        <v>-1.6459636421439647E-4</v>
      </c>
      <c r="BS243" s="871">
        <f t="shared" ca="1" si="100"/>
        <v>1.9341162744080199E-2</v>
      </c>
      <c r="BT243" s="871">
        <f t="shared" ca="1" si="100"/>
        <v>2.2815784613663955E-2</v>
      </c>
    </row>
    <row r="244" spans="61:72" x14ac:dyDescent="0.25">
      <c r="BI244" s="1"/>
      <c r="BJ244" s="345"/>
      <c r="BK244" s="346"/>
      <c r="BL244" s="440"/>
      <c r="BN244" s="375">
        <f t="shared" si="99"/>
        <v>2042</v>
      </c>
      <c r="BO244" s="871">
        <f t="shared" ca="1" si="97"/>
        <v>-3.8056460662078985E-4</v>
      </c>
      <c r="BP244" s="871">
        <f t="shared" ca="1" si="100"/>
        <v>-2.2310115118369205E-5</v>
      </c>
      <c r="BQ244" s="871">
        <f t="shared" ca="1" si="100"/>
        <v>1.186454709431507E-3</v>
      </c>
      <c r="BR244" s="871">
        <f t="shared" ca="1" si="100"/>
        <v>-1.6618594342049061E-4</v>
      </c>
      <c r="BS244" s="871">
        <f t="shared" ca="1" si="100"/>
        <v>1.9929556020572441E-2</v>
      </c>
      <c r="BT244" s="871">
        <f t="shared" ca="1" si="100"/>
        <v>2.3294799970156394E-2</v>
      </c>
    </row>
    <row r="245" spans="61:72" x14ac:dyDescent="0.25">
      <c r="BI245" s="1"/>
      <c r="BJ245" s="345"/>
      <c r="BK245" s="346"/>
      <c r="BL245" s="440"/>
      <c r="BN245" s="375">
        <f t="shared" si="99"/>
        <v>2043</v>
      </c>
      <c r="BO245" s="871">
        <f t="shared" ca="1" si="97"/>
        <v>-4.2258923764360506E-4</v>
      </c>
      <c r="BP245" s="871">
        <f t="shared" ca="1" si="100"/>
        <v>-2.2626115803918033E-5</v>
      </c>
      <c r="BQ245" s="871">
        <f t="shared" ca="1" si="100"/>
        <v>1.2037921791808433E-3</v>
      </c>
      <c r="BR245" s="871">
        <f t="shared" ca="1" si="100"/>
        <v>-1.6777552262658675E-4</v>
      </c>
      <c r="BS245" s="871">
        <f t="shared" ca="1" si="100"/>
        <v>2.0517949297064703E-2</v>
      </c>
      <c r="BT245" s="871">
        <f t="shared" ca="1" si="100"/>
        <v>2.3773815326648805E-2</v>
      </c>
    </row>
    <row r="246" spans="61:72" x14ac:dyDescent="0.25">
      <c r="BI246" s="1"/>
      <c r="BJ246" s="345"/>
      <c r="BK246" s="346"/>
      <c r="BL246" s="440"/>
      <c r="BN246" s="375">
        <f t="shared" si="99"/>
        <v>2044</v>
      </c>
      <c r="BO246" s="871">
        <f t="shared" ca="1" si="97"/>
        <v>-4.6461386866642081E-4</v>
      </c>
      <c r="BP246" s="871">
        <f t="shared" ca="1" si="100"/>
        <v>-2.2942116489466861E-5</v>
      </c>
      <c r="BQ246" s="871">
        <f t="shared" ca="1" si="100"/>
        <v>1.221129648930182E-3</v>
      </c>
      <c r="BR246" s="871">
        <f t="shared" ca="1" si="100"/>
        <v>-1.6936510183268247E-4</v>
      </c>
      <c r="BS246" s="871">
        <f t="shared" ca="1" si="100"/>
        <v>2.110634257355698E-2</v>
      </c>
      <c r="BT246" s="871">
        <f t="shared" ca="1" si="100"/>
        <v>2.4252830683141234E-2</v>
      </c>
    </row>
    <row r="247" spans="61:72" x14ac:dyDescent="0.25">
      <c r="BI247" s="1"/>
      <c r="BJ247" s="345"/>
      <c r="BK247" s="346"/>
      <c r="BL247" s="440"/>
      <c r="BN247" s="375">
        <f t="shared" si="99"/>
        <v>2045</v>
      </c>
      <c r="BO247" s="871">
        <f t="shared" ca="1" si="97"/>
        <v>-5.0663849968923748E-4</v>
      </c>
      <c r="BP247" s="871">
        <f t="shared" ca="1" si="100"/>
        <v>-2.3258117175016963E-5</v>
      </c>
      <c r="BQ247" s="871">
        <f t="shared" ca="1" si="100"/>
        <v>1.2384671186795189E-3</v>
      </c>
      <c r="BR247" s="871">
        <f t="shared" ca="1" si="100"/>
        <v>-1.7095468103877552E-4</v>
      </c>
      <c r="BS247" s="871">
        <f t="shared" ca="1" si="100"/>
        <v>2.1694735850049225E-2</v>
      </c>
      <c r="BT247" s="871">
        <f t="shared" ca="1" si="100"/>
        <v>2.473184603963367E-2</v>
      </c>
    </row>
    <row r="248" spans="61:72" x14ac:dyDescent="0.25">
      <c r="BI248" s="1"/>
      <c r="BJ248" s="345"/>
      <c r="BK248" s="346"/>
      <c r="BL248" s="440"/>
      <c r="BN248" s="385"/>
      <c r="BO248" s="389"/>
      <c r="BP248" s="389"/>
      <c r="BQ248" s="389"/>
      <c r="BR248" s="389"/>
      <c r="BS248" s="389"/>
      <c r="BT248" s="389"/>
    </row>
    <row r="249" spans="61:72" x14ac:dyDescent="0.25">
      <c r="BI249" s="1"/>
      <c r="BJ249" s="345"/>
      <c r="BK249" s="346"/>
      <c r="BL249" s="440"/>
      <c r="BN249" s="407" t="s">
        <v>56</v>
      </c>
      <c r="BO249" s="411">
        <f t="shared" ref="BO249:BT249" ca="1" si="101">SUM(BO228:BO247)</f>
        <v>-3.0145179511139996E-3</v>
      </c>
      <c r="BP249" s="411">
        <f t="shared" ca="1" si="101"/>
        <v>-6.6624306697790658E-4</v>
      </c>
      <c r="BQ249" s="411">
        <f t="shared" ca="1" si="101"/>
        <v>3.4358611627287143E-2</v>
      </c>
      <c r="BR249" s="411">
        <f t="shared" ca="1" si="101"/>
        <v>2.3533131597977517E-2</v>
      </c>
      <c r="BS249" s="411">
        <f t="shared" ca="1" si="101"/>
        <v>0.45644619886656768</v>
      </c>
      <c r="BT249" s="411">
        <f t="shared" ca="1" si="101"/>
        <v>0.59034098417582981</v>
      </c>
    </row>
    <row r="250" spans="61:72" x14ac:dyDescent="0.25">
      <c r="BI250" s="1"/>
      <c r="BJ250" s="345"/>
      <c r="BK250" s="346"/>
      <c r="BL250" s="440"/>
    </row>
    <row r="251" spans="61:72" x14ac:dyDescent="0.25">
      <c r="BI251" s="1"/>
      <c r="BJ251" s="345"/>
      <c r="BK251" s="346"/>
      <c r="BL251" s="440"/>
    </row>
    <row r="252" spans="61:72" x14ac:dyDescent="0.25">
      <c r="BI252" s="1"/>
      <c r="BJ252" s="345"/>
      <c r="BK252" s="346"/>
      <c r="BL252" s="440"/>
    </row>
    <row r="253" spans="61:72" ht="21" x14ac:dyDescent="0.35">
      <c r="BI253" s="1"/>
      <c r="BJ253" s="345"/>
      <c r="BK253" s="346"/>
      <c r="BL253" s="440"/>
      <c r="BN253" s="316" t="s">
        <v>357</v>
      </c>
    </row>
    <row r="254" spans="61:72" x14ac:dyDescent="0.25">
      <c r="BI254" s="1"/>
      <c r="BJ254" s="345"/>
      <c r="BK254" s="346"/>
      <c r="BL254" s="440"/>
      <c r="BN254" s="2"/>
      <c r="BO254" s="310"/>
      <c r="BP254" s="310"/>
      <c r="BQ254" s="310"/>
      <c r="BR254" s="310"/>
      <c r="BS254" s="310"/>
      <c r="BT254" s="310"/>
    </row>
    <row r="255" spans="61:72" x14ac:dyDescent="0.25">
      <c r="BI255" s="1"/>
      <c r="BJ255" s="345"/>
      <c r="BK255" s="346"/>
      <c r="BL255" s="440"/>
    </row>
    <row r="256" spans="61:72" x14ac:dyDescent="0.25">
      <c r="BI256" s="1"/>
      <c r="BJ256" s="345"/>
      <c r="BK256" s="346"/>
      <c r="BL256" s="440"/>
    </row>
    <row r="257" spans="61:72" x14ac:dyDescent="0.25">
      <c r="BI257" s="1"/>
      <c r="BJ257" s="345"/>
      <c r="BK257" s="346"/>
      <c r="BL257" s="440"/>
    </row>
    <row r="258" spans="61:72" x14ac:dyDescent="0.25">
      <c r="BI258" s="1"/>
      <c r="BJ258" s="345"/>
      <c r="BK258" s="346"/>
      <c r="BL258" s="440"/>
      <c r="BN258" s="322"/>
      <c r="BO258" s="52">
        <v>1</v>
      </c>
      <c r="BP258" s="52">
        <v>2</v>
      </c>
      <c r="BQ258" s="52">
        <v>3</v>
      </c>
      <c r="BR258" s="52">
        <v>4</v>
      </c>
      <c r="BS258" s="52">
        <v>5</v>
      </c>
      <c r="BT258" s="52">
        <v>6</v>
      </c>
    </row>
    <row r="259" spans="61:72" x14ac:dyDescent="0.25">
      <c r="BI259" s="1"/>
      <c r="BJ259" s="345"/>
      <c r="BK259" s="346"/>
      <c r="BL259" s="440"/>
      <c r="BN259" s="335"/>
      <c r="BO259" s="1777" t="str">
        <f t="shared" ref="BO259:BT259" si="102">IF(ISBLANK(INDEX(ModelGroup,BO258,1)),"Not Used",INDEX(ModelGroup,BO258,1))</f>
        <v>SB Off-ramp to Ave 280</v>
      </c>
      <c r="BP259" s="1777" t="str">
        <f t="shared" si="102"/>
        <v>SB On-ramp from Ave 280</v>
      </c>
      <c r="BQ259" s="1777" t="str">
        <f t="shared" si="102"/>
        <v>NB Off-ramp to Ave 280</v>
      </c>
      <c r="BR259" s="1777" t="str">
        <f t="shared" si="102"/>
        <v>NB On-ramp from Ave 280</v>
      </c>
      <c r="BS259" s="1777" t="str">
        <f t="shared" si="102"/>
        <v>NB Mainline</v>
      </c>
      <c r="BT259" s="1777" t="str">
        <f t="shared" si="102"/>
        <v>SB Mainline</v>
      </c>
    </row>
    <row r="260" spans="61:72" x14ac:dyDescent="0.25">
      <c r="BI260" s="1"/>
      <c r="BJ260" s="345"/>
      <c r="BK260" s="346"/>
      <c r="BL260" s="440"/>
      <c r="BN260" s="77" t="s">
        <v>34</v>
      </c>
      <c r="BO260" s="1778"/>
      <c r="BP260" s="1778"/>
      <c r="BQ260" s="1778"/>
      <c r="BR260" s="1778"/>
      <c r="BS260" s="1778"/>
      <c r="BT260" s="1778"/>
    </row>
    <row r="261" spans="61:72" x14ac:dyDescent="0.25">
      <c r="BI261" s="1"/>
      <c r="BJ261" s="345"/>
      <c r="BK261" s="346"/>
      <c r="BL261" s="440"/>
      <c r="BN261" s="355"/>
      <c r="BO261" s="1779"/>
      <c r="BP261" s="1779"/>
      <c r="BQ261" s="1779"/>
      <c r="BR261" s="1779"/>
      <c r="BS261" s="1779"/>
      <c r="BT261" s="1779"/>
    </row>
    <row r="262" spans="61:72" x14ac:dyDescent="0.25">
      <c r="BI262" s="1"/>
      <c r="BJ262" s="345"/>
      <c r="BK262" s="346"/>
      <c r="BL262" s="440"/>
      <c r="BN262" s="375">
        <f>YearOpen</f>
        <v>2026</v>
      </c>
      <c r="BO262" s="870">
        <f t="shared" ref="BO262:BO281" ca="1" si="103">OFFSET($AJ9,MATCH(BO$258,$A:$A),0)+OFFSET($AQ9,MATCH(BO$258,$A:$A),0)+OFFSET($AX9,MATCH(BO$258,$A:$A),0)+OFFSET($BE9,MATCH(BO$258,$A:$A),0)</f>
        <v>1.0235943775038509E-4</v>
      </c>
      <c r="BP262" s="870">
        <f t="shared" ref="BP262:BT271" ca="1" si="104">OFFSET($AJ9,MATCH(BP$258,$A:$A),0)+OFFSET($AQ9,MATCH(BP$258,$A:$A),0)+OFFSET($AX9,MATCH(BP$258,$A:$A),0)+OFFSET($BE9,MATCH(BP$258,$A:$A),0)</f>
        <v>-1.347271779477967E-4</v>
      </c>
      <c r="BQ262" s="870">
        <f t="shared" ca="1" si="104"/>
        <v>1.2746246139792007E-4</v>
      </c>
      <c r="BR262" s="870">
        <f t="shared" ca="1" si="104"/>
        <v>-2.9451263893167739E-3</v>
      </c>
      <c r="BS262" s="870">
        <f t="shared" ca="1" si="104"/>
        <v>1.0577383843508188E-2</v>
      </c>
      <c r="BT262" s="870">
        <f t="shared" ca="1" si="104"/>
        <v>1.5722893738312576E-2</v>
      </c>
    </row>
    <row r="263" spans="61:72" x14ac:dyDescent="0.25">
      <c r="BI263" s="1"/>
      <c r="BJ263" s="345"/>
      <c r="BK263" s="346"/>
      <c r="BL263" s="440"/>
      <c r="BN263" s="375">
        <f>BN262+1</f>
        <v>2027</v>
      </c>
      <c r="BO263" s="871">
        <f t="shared" ca="1" si="103"/>
        <v>7.8896527668640768E-5</v>
      </c>
      <c r="BP263" s="871">
        <f t="shared" ca="1" si="104"/>
        <v>-1.3730072873089559E-4</v>
      </c>
      <c r="BQ263" s="871">
        <f t="shared" ca="1" si="104"/>
        <v>1.2986380910817011E-4</v>
      </c>
      <c r="BR263" s="871">
        <f t="shared" ca="1" si="104"/>
        <v>-2.9828177794644132E-3</v>
      </c>
      <c r="BS263" s="871">
        <f t="shared" ca="1" si="104"/>
        <v>1.1169253127541492E-2</v>
      </c>
      <c r="BT263" s="871">
        <f t="shared" ca="1" si="104"/>
        <v>1.6204738938479207E-2</v>
      </c>
    </row>
    <row r="264" spans="61:72" x14ac:dyDescent="0.25">
      <c r="BI264" s="1"/>
      <c r="BJ264" s="345"/>
      <c r="BK264" s="346"/>
      <c r="BL264" s="440"/>
      <c r="BN264" s="375">
        <f t="shared" ref="BN264:BN281" si="105">BN263+1</f>
        <v>2028</v>
      </c>
      <c r="BO264" s="871">
        <f t="shared" ca="1" si="103"/>
        <v>5.5433617586896705E-5</v>
      </c>
      <c r="BP264" s="871">
        <f t="shared" ca="1" si="104"/>
        <v>-1.3987427951399418E-4</v>
      </c>
      <c r="BQ264" s="871">
        <f t="shared" ca="1" si="104"/>
        <v>1.3226515681842083E-4</v>
      </c>
      <c r="BR264" s="871">
        <f t="shared" ca="1" si="104"/>
        <v>-3.0205091696120542E-3</v>
      </c>
      <c r="BS264" s="871">
        <f t="shared" ca="1" si="104"/>
        <v>1.1761122411574796E-2</v>
      </c>
      <c r="BT264" s="871">
        <f t="shared" ca="1" si="104"/>
        <v>1.6686584138645873E-2</v>
      </c>
    </row>
    <row r="265" spans="61:72" x14ac:dyDescent="0.25">
      <c r="BI265" s="1"/>
      <c r="BJ265" s="345"/>
      <c r="BK265" s="346"/>
      <c r="BL265" s="440"/>
      <c r="BN265" s="375">
        <f t="shared" si="105"/>
        <v>2029</v>
      </c>
      <c r="BO265" s="871">
        <f t="shared" ca="1" si="103"/>
        <v>3.1970707505152765E-5</v>
      </c>
      <c r="BP265" s="871">
        <f t="shared" ca="1" si="104"/>
        <v>-1.4244783029709255E-4</v>
      </c>
      <c r="BQ265" s="871">
        <f t="shared" ca="1" si="104"/>
        <v>1.3466650452867155E-4</v>
      </c>
      <c r="BR265" s="871">
        <f t="shared" ca="1" si="104"/>
        <v>-3.0582005597596953E-3</v>
      </c>
      <c r="BS265" s="871">
        <f t="shared" ca="1" si="104"/>
        <v>1.2352991695608072E-2</v>
      </c>
      <c r="BT265" s="871">
        <f t="shared" ca="1" si="104"/>
        <v>1.7168429338812539E-2</v>
      </c>
    </row>
    <row r="266" spans="61:72" x14ac:dyDescent="0.25">
      <c r="BI266" s="1"/>
      <c r="BJ266" s="345"/>
      <c r="BK266" s="346"/>
      <c r="BL266" s="440"/>
      <c r="BN266" s="375">
        <f t="shared" si="105"/>
        <v>2030</v>
      </c>
      <c r="BO266" s="871">
        <f t="shared" ca="1" si="103"/>
        <v>8.5077974234086957E-6</v>
      </c>
      <c r="BP266" s="871">
        <f t="shared" ca="1" si="104"/>
        <v>-1.4502138108019112E-4</v>
      </c>
      <c r="BQ266" s="871">
        <f t="shared" ca="1" si="104"/>
        <v>1.3706785223892179E-4</v>
      </c>
      <c r="BR266" s="871">
        <f t="shared" ca="1" si="104"/>
        <v>-3.0958919499073363E-3</v>
      </c>
      <c r="BS266" s="871">
        <f t="shared" ca="1" si="104"/>
        <v>1.2944860979641376E-2</v>
      </c>
      <c r="BT266" s="871">
        <f t="shared" ca="1" si="104"/>
        <v>1.7650274538979164E-2</v>
      </c>
    </row>
    <row r="267" spans="61:72" x14ac:dyDescent="0.25">
      <c r="BI267" s="1"/>
      <c r="BJ267" s="345"/>
      <c r="BK267" s="346"/>
      <c r="BL267" s="440"/>
      <c r="BN267" s="375">
        <f t="shared" si="105"/>
        <v>2031</v>
      </c>
      <c r="BO267" s="871">
        <f t="shared" ca="1" si="103"/>
        <v>-1.4955112658335617E-5</v>
      </c>
      <c r="BP267" s="871">
        <f t="shared" ca="1" si="104"/>
        <v>-1.4759493186328946E-4</v>
      </c>
      <c r="BQ267" s="871">
        <f t="shared" ca="1" si="104"/>
        <v>1.5613105427812008E-4</v>
      </c>
      <c r="BR267" s="871">
        <f t="shared" ca="1" si="104"/>
        <v>-3.1335833400549773E-3</v>
      </c>
      <c r="BS267" s="871">
        <f t="shared" ca="1" si="104"/>
        <v>1.3536730263674681E-2</v>
      </c>
      <c r="BT267" s="871">
        <f t="shared" ca="1" si="104"/>
        <v>1.813211973914583E-2</v>
      </c>
    </row>
    <row r="268" spans="61:72" x14ac:dyDescent="0.25">
      <c r="BI268" s="1"/>
      <c r="BJ268" s="345"/>
      <c r="BK268" s="346"/>
      <c r="BL268" s="440"/>
      <c r="BN268" s="375">
        <f t="shared" si="105"/>
        <v>2032</v>
      </c>
      <c r="BO268" s="871">
        <f t="shared" ca="1" si="103"/>
        <v>-3.8418022740079687E-5</v>
      </c>
      <c r="BP268" s="871">
        <f t="shared" ca="1" si="104"/>
        <v>-2.4617089107200414E-4</v>
      </c>
      <c r="BQ268" s="871">
        <f t="shared" ca="1" si="104"/>
        <v>1.5882305502534576E-4</v>
      </c>
      <c r="BR268" s="871">
        <f t="shared" ca="1" si="104"/>
        <v>-3.171274730202618E-3</v>
      </c>
      <c r="BS268" s="871">
        <f t="shared" ca="1" si="104"/>
        <v>1.412859954770797E-2</v>
      </c>
      <c r="BT268" s="871">
        <f t="shared" ca="1" si="104"/>
        <v>1.8613964939312465E-2</v>
      </c>
    </row>
    <row r="269" spans="61:72" x14ac:dyDescent="0.25">
      <c r="BI269" s="1"/>
      <c r="BJ269" s="345"/>
      <c r="BK269" s="346"/>
      <c r="BL269" s="440"/>
      <c r="BN269" s="375">
        <f t="shared" si="105"/>
        <v>2033</v>
      </c>
      <c r="BO269" s="871">
        <f t="shared" ca="1" si="103"/>
        <v>-2.5471570410920158E-5</v>
      </c>
      <c r="BP269" s="871">
        <f t="shared" ca="1" si="104"/>
        <v>-2.4192906266914377E-4</v>
      </c>
      <c r="BQ269" s="871">
        <f t="shared" ca="1" si="104"/>
        <v>-2.9889737979125591E-4</v>
      </c>
      <c r="BR269" s="871">
        <f t="shared" ca="1" si="104"/>
        <v>-3.6295861273402466E-3</v>
      </c>
      <c r="BS269" s="871">
        <f t="shared" ca="1" si="104"/>
        <v>1.1120909448432404E-2</v>
      </c>
      <c r="BT269" s="871">
        <f t="shared" ca="1" si="104"/>
        <v>1.4426359502062442E-2</v>
      </c>
    </row>
    <row r="270" spans="61:72" x14ac:dyDescent="0.25">
      <c r="BI270" s="1"/>
      <c r="BJ270" s="345"/>
      <c r="BK270" s="346"/>
      <c r="BL270" s="440"/>
      <c r="BN270" s="375">
        <f t="shared" si="105"/>
        <v>2034</v>
      </c>
      <c r="BO270" s="871">
        <f t="shared" ca="1" si="103"/>
        <v>-3.5129426861032695E-5</v>
      </c>
      <c r="BP270" s="871">
        <f t="shared" ca="1" si="104"/>
        <v>-2.4601478174428136E-4</v>
      </c>
      <c r="BQ270" s="871">
        <f t="shared" ca="1" si="104"/>
        <v>-3.0396063294534673E-4</v>
      </c>
      <c r="BR270" s="871">
        <f t="shared" ca="1" si="104"/>
        <v>-3.6722932940938553E-3</v>
      </c>
      <c r="BS270" s="871">
        <f t="shared" ca="1" si="104"/>
        <v>1.1568050418484263E-2</v>
      </c>
      <c r="BT270" s="871">
        <f t="shared" ca="1" si="104"/>
        <v>1.4790380301974795E-2</v>
      </c>
    </row>
    <row r="271" spans="61:72" x14ac:dyDescent="0.25">
      <c r="BI271" s="1"/>
      <c r="BJ271" s="345"/>
      <c r="BK271" s="346"/>
      <c r="BL271" s="440"/>
      <c r="BN271" s="375">
        <f t="shared" si="105"/>
        <v>2035</v>
      </c>
      <c r="BO271" s="871">
        <f t="shared" ca="1" si="103"/>
        <v>-4.4787283311145475E-5</v>
      </c>
      <c r="BP271" s="871">
        <f t="shared" ca="1" si="104"/>
        <v>-2.5010050081941882E-4</v>
      </c>
      <c r="BQ271" s="871">
        <f t="shared" ca="1" si="104"/>
        <v>-3.090238860994376E-4</v>
      </c>
      <c r="BR271" s="871">
        <f t="shared" ca="1" si="104"/>
        <v>-3.7150004608474656E-3</v>
      </c>
      <c r="BS271" s="871">
        <f t="shared" ca="1" si="104"/>
        <v>1.2015191388536123E-2</v>
      </c>
      <c r="BT271" s="871">
        <f t="shared" ca="1" si="104"/>
        <v>1.5154401101887116E-2</v>
      </c>
    </row>
    <row r="272" spans="61:72" x14ac:dyDescent="0.25">
      <c r="BI272" s="1"/>
      <c r="BJ272" s="345"/>
      <c r="BK272" s="346"/>
      <c r="BL272" s="440"/>
      <c r="BN272" s="375">
        <f t="shared" si="105"/>
        <v>2036</v>
      </c>
      <c r="BO272" s="871">
        <f t="shared" ca="1" si="103"/>
        <v>-5.4445139761258113E-5</v>
      </c>
      <c r="BP272" s="871">
        <f t="shared" ref="BP272:BT281" ca="1" si="106">OFFSET($AJ19,MATCH(BP$258,$A:$A),0)+OFFSET($AQ19,MATCH(BP$258,$A:$A),0)+OFFSET($AX19,MATCH(BP$258,$A:$A),0)+OFFSET($BE19,MATCH(BP$258,$A:$A),0)</f>
        <v>-2.5418621989455644E-4</v>
      </c>
      <c r="BQ272" s="871">
        <f t="shared" ca="1" si="106"/>
        <v>-3.1408713925352863E-4</v>
      </c>
      <c r="BR272" s="871">
        <f t="shared" ca="1" si="106"/>
        <v>-3.757707627601076E-3</v>
      </c>
      <c r="BS272" s="871">
        <f t="shared" ca="1" si="106"/>
        <v>1.2462332358587951E-2</v>
      </c>
      <c r="BT272" s="871">
        <f t="shared" ca="1" si="106"/>
        <v>1.5518421901799469E-2</v>
      </c>
    </row>
    <row r="273" spans="61:72" x14ac:dyDescent="0.25">
      <c r="BI273" s="1"/>
      <c r="BJ273" s="345"/>
      <c r="BK273" s="346"/>
      <c r="BL273" s="440"/>
      <c r="BN273" s="375">
        <f t="shared" si="105"/>
        <v>2037</v>
      </c>
      <c r="BO273" s="871">
        <f t="shared" ca="1" si="103"/>
        <v>-6.4102996211370643E-5</v>
      </c>
      <c r="BP273" s="871">
        <f t="shared" ca="1" si="106"/>
        <v>-2.5827193896969423E-4</v>
      </c>
      <c r="BQ273" s="871">
        <f t="shared" ca="1" si="106"/>
        <v>-3.1915039240761934E-4</v>
      </c>
      <c r="BR273" s="871">
        <f t="shared" ca="1" si="106"/>
        <v>-3.8835217676231916E-3</v>
      </c>
      <c r="BS273" s="871">
        <f t="shared" ca="1" si="106"/>
        <v>1.2909473328639813E-2</v>
      </c>
      <c r="BT273" s="871">
        <f t="shared" ca="1" si="106"/>
        <v>1.5882442701711824E-2</v>
      </c>
    </row>
    <row r="274" spans="61:72" x14ac:dyDescent="0.25">
      <c r="BI274" s="1"/>
      <c r="BJ274" s="345"/>
      <c r="BK274" s="346"/>
      <c r="BL274" s="440"/>
      <c r="BN274" s="375">
        <f t="shared" si="105"/>
        <v>2038</v>
      </c>
      <c r="BO274" s="871">
        <f t="shared" ca="1" si="103"/>
        <v>-7.376085266148318E-5</v>
      </c>
      <c r="BP274" s="871">
        <f t="shared" ca="1" si="106"/>
        <v>-2.6235765804483174E-4</v>
      </c>
      <c r="BQ274" s="871">
        <f t="shared" ca="1" si="106"/>
        <v>-3.2421364556171016E-4</v>
      </c>
      <c r="BR274" s="871">
        <f t="shared" ca="1" si="106"/>
        <v>-3.9271660731554888E-3</v>
      </c>
      <c r="BS274" s="871">
        <f t="shared" ca="1" si="106"/>
        <v>1.3356614298691654E-2</v>
      </c>
      <c r="BT274" s="871">
        <f t="shared" ca="1" si="106"/>
        <v>1.6246463501624144E-2</v>
      </c>
    </row>
    <row r="275" spans="61:72" x14ac:dyDescent="0.25">
      <c r="BI275" s="1"/>
      <c r="BJ275" s="345"/>
      <c r="BK275" s="346"/>
      <c r="BL275" s="440"/>
      <c r="BN275" s="375">
        <f t="shared" si="105"/>
        <v>2039</v>
      </c>
      <c r="BO275" s="871">
        <f t="shared" ca="1" si="103"/>
        <v>-8.3418709111595784E-5</v>
      </c>
      <c r="BP275" s="871">
        <f t="shared" ca="1" si="106"/>
        <v>-2.664433771199692E-4</v>
      </c>
      <c r="BQ275" s="871">
        <f t="shared" ca="1" si="106"/>
        <v>-3.2927689871580114E-4</v>
      </c>
      <c r="BR275" s="871">
        <f t="shared" ca="1" si="106"/>
        <v>-3.9708103786877851E-3</v>
      </c>
      <c r="BS275" s="871">
        <f t="shared" ca="1" si="106"/>
        <v>1.3803755268743514E-2</v>
      </c>
      <c r="BT275" s="871">
        <f t="shared" ca="1" si="106"/>
        <v>1.6610484301536495E-2</v>
      </c>
    </row>
    <row r="276" spans="61:72" x14ac:dyDescent="0.25">
      <c r="BI276" s="1"/>
      <c r="BJ276" s="345"/>
      <c r="BK276" s="346"/>
      <c r="BL276" s="440"/>
      <c r="BN276" s="375">
        <f t="shared" si="105"/>
        <v>2040</v>
      </c>
      <c r="BO276" s="871">
        <f t="shared" ca="1" si="103"/>
        <v>-9.3076565561708266E-5</v>
      </c>
      <c r="BP276" s="871">
        <f t="shared" ca="1" si="106"/>
        <v>-2.7052909619510677E-4</v>
      </c>
      <c r="BQ276" s="871">
        <f t="shared" ca="1" si="106"/>
        <v>-3.3434015186989191E-4</v>
      </c>
      <c r="BR276" s="871">
        <f t="shared" ca="1" si="106"/>
        <v>-4.0144546842200814E-3</v>
      </c>
      <c r="BS276" s="871">
        <f t="shared" ca="1" si="106"/>
        <v>1.4250896238795325E-2</v>
      </c>
      <c r="BT276" s="871">
        <f t="shared" ca="1" si="106"/>
        <v>1.6974505101448847E-2</v>
      </c>
    </row>
    <row r="277" spans="61:72" x14ac:dyDescent="0.25">
      <c r="BI277" s="1"/>
      <c r="BJ277" s="345"/>
      <c r="BK277" s="346"/>
      <c r="BL277" s="440"/>
      <c r="BN277" s="375">
        <f t="shared" si="105"/>
        <v>2041</v>
      </c>
      <c r="BO277" s="871">
        <f t="shared" ca="1" si="103"/>
        <v>-1.0273442201182086E-4</v>
      </c>
      <c r="BP277" s="871">
        <f t="shared" ca="1" si="106"/>
        <v>-4.2531020713205796E-4</v>
      </c>
      <c r="BQ277" s="871">
        <f t="shared" ca="1" si="106"/>
        <v>-3.3940340502398294E-4</v>
      </c>
      <c r="BR277" s="871">
        <f t="shared" ca="1" si="106"/>
        <v>-4.0580989897523786E-3</v>
      </c>
      <c r="BS277" s="871">
        <f t="shared" ca="1" si="106"/>
        <v>1.4698037208847185E-2</v>
      </c>
      <c r="BT277" s="871">
        <f t="shared" ca="1" si="106"/>
        <v>1.7338525901361174E-2</v>
      </c>
    </row>
    <row r="278" spans="61:72" x14ac:dyDescent="0.25">
      <c r="BI278" s="1"/>
      <c r="BJ278" s="345"/>
      <c r="BK278" s="346"/>
      <c r="BL278" s="440"/>
      <c r="BN278" s="375">
        <f t="shared" si="105"/>
        <v>2042</v>
      </c>
      <c r="BO278" s="871">
        <f t="shared" ca="1" si="103"/>
        <v>-1.603452014393635E-4</v>
      </c>
      <c r="BP278" s="871">
        <f t="shared" ca="1" si="106"/>
        <v>-4.3164003802756521E-4</v>
      </c>
      <c r="BQ278" s="871">
        <f t="shared" ca="1" si="106"/>
        <v>-3.4446665817807376E-4</v>
      </c>
      <c r="BR278" s="871">
        <f t="shared" ca="1" si="106"/>
        <v>-4.1017432952846749E-3</v>
      </c>
      <c r="BS278" s="871">
        <f t="shared" ca="1" si="106"/>
        <v>1.514517817889903E-2</v>
      </c>
      <c r="BT278" s="871">
        <f t="shared" ca="1" si="106"/>
        <v>1.7702546701273521E-2</v>
      </c>
    </row>
    <row r="279" spans="61:72" x14ac:dyDescent="0.25">
      <c r="BI279" s="1"/>
      <c r="BJ279" s="345"/>
      <c r="BK279" s="346"/>
      <c r="BL279" s="440"/>
      <c r="BN279" s="375">
        <f t="shared" si="105"/>
        <v>2043</v>
      </c>
      <c r="BO279" s="871">
        <f t="shared" ca="1" si="103"/>
        <v>-1.7051483898448288E-4</v>
      </c>
      <c r="BP279" s="871">
        <f t="shared" ca="1" si="106"/>
        <v>-4.3796986892307224E-4</v>
      </c>
      <c r="BQ279" s="871">
        <f t="shared" ca="1" si="106"/>
        <v>-3.4952991133216463E-4</v>
      </c>
      <c r="BR279" s="871">
        <f t="shared" ca="1" si="106"/>
        <v>-4.1453876008169712E-3</v>
      </c>
      <c r="BS279" s="871">
        <f t="shared" ca="1" si="106"/>
        <v>1.559231914895089E-2</v>
      </c>
      <c r="BT279" s="871">
        <f t="shared" ca="1" si="106"/>
        <v>1.8066567501185841E-2</v>
      </c>
    </row>
    <row r="280" spans="61:72" x14ac:dyDescent="0.25">
      <c r="BI280" s="1"/>
      <c r="BJ280" s="345"/>
      <c r="BK280" s="346"/>
      <c r="BL280" s="440"/>
      <c r="BN280" s="375">
        <f t="shared" si="105"/>
        <v>2044</v>
      </c>
      <c r="BO280" s="871">
        <f t="shared" ca="1" si="103"/>
        <v>-1.8068447652960199E-4</v>
      </c>
      <c r="BP280" s="871">
        <f t="shared" ca="1" si="106"/>
        <v>-4.4429969981857922E-4</v>
      </c>
      <c r="BQ280" s="871">
        <f t="shared" ca="1" si="106"/>
        <v>-3.545931644862554E-4</v>
      </c>
      <c r="BR280" s="871">
        <f t="shared" ca="1" si="106"/>
        <v>-4.1890319063492693E-3</v>
      </c>
      <c r="BS280" s="871">
        <f t="shared" ca="1" si="106"/>
        <v>1.6039460119002751E-2</v>
      </c>
      <c r="BT280" s="871">
        <f t="shared" ca="1" si="106"/>
        <v>1.8430588301098196E-2</v>
      </c>
    </row>
    <row r="281" spans="61:72" x14ac:dyDescent="0.25">
      <c r="BI281" s="1"/>
      <c r="BJ281" s="345"/>
      <c r="BK281" s="346"/>
      <c r="BL281" s="440"/>
      <c r="BN281" s="375">
        <f t="shared" si="105"/>
        <v>2045</v>
      </c>
      <c r="BO281" s="871">
        <f t="shared" ca="1" si="103"/>
        <v>-1.9085411407472155E-4</v>
      </c>
      <c r="BP281" s="871">
        <f t="shared" ca="1" si="106"/>
        <v>-4.506295307140868E-4</v>
      </c>
      <c r="BQ281" s="871">
        <f t="shared" ca="1" si="106"/>
        <v>-3.5965641764034643E-4</v>
      </c>
      <c r="BR281" s="871">
        <f t="shared" ca="1" si="106"/>
        <v>-4.2326762118815656E-3</v>
      </c>
      <c r="BS281" s="871">
        <f t="shared" ca="1" si="106"/>
        <v>1.6486601089054594E-2</v>
      </c>
      <c r="BT281" s="871">
        <f t="shared" ca="1" si="106"/>
        <v>1.8794609101010534E-2</v>
      </c>
    </row>
    <row r="282" spans="61:72" x14ac:dyDescent="0.25">
      <c r="BI282" s="1"/>
      <c r="BJ282" s="345"/>
      <c r="BK282" s="346"/>
      <c r="BL282" s="440"/>
      <c r="BN282" s="385"/>
      <c r="BO282" s="389"/>
      <c r="BP282" s="389"/>
      <c r="BQ282" s="389"/>
      <c r="BR282" s="389"/>
      <c r="BS282" s="389"/>
      <c r="BT282" s="389"/>
    </row>
    <row r="283" spans="61:72" x14ac:dyDescent="0.25">
      <c r="BI283" s="1"/>
      <c r="BJ283" s="345"/>
      <c r="BK283" s="346"/>
      <c r="BL283" s="440"/>
      <c r="BN283" s="407" t="s">
        <v>56</v>
      </c>
      <c r="BO283" s="411">
        <f t="shared" ref="BO283:BT283" ca="1" si="107">SUM(BO262:BO281)</f>
        <v>-1.0555306443944363E-3</v>
      </c>
      <c r="BP283" s="411">
        <f t="shared" ca="1" si="107"/>
        <v>-5.3328192005776274E-3</v>
      </c>
      <c r="BQ283" s="411">
        <f t="shared" ca="1" si="107"/>
        <v>-3.304319789909845E-3</v>
      </c>
      <c r="BR283" s="411">
        <f t="shared" ca="1" si="107"/>
        <v>-7.2704882335971915E-2</v>
      </c>
      <c r="BS283" s="411">
        <f t="shared" ca="1" si="107"/>
        <v>0.26591976036292209</v>
      </c>
      <c r="BT283" s="411">
        <f t="shared" ca="1" si="107"/>
        <v>0.33611530129166206</v>
      </c>
    </row>
    <row r="284" spans="61:72" x14ac:dyDescent="0.25">
      <c r="BI284" s="1"/>
      <c r="BJ284" s="345"/>
      <c r="BK284" s="346"/>
      <c r="BL284" s="440"/>
    </row>
    <row r="285" spans="61:72" x14ac:dyDescent="0.25">
      <c r="BI285" s="1"/>
      <c r="BJ285" s="345"/>
      <c r="BK285" s="346"/>
      <c r="BL285" s="440"/>
    </row>
    <row r="286" spans="61:72" x14ac:dyDescent="0.25">
      <c r="BI286" s="1"/>
      <c r="BJ286" s="345"/>
      <c r="BK286" s="346"/>
      <c r="BL286" s="440"/>
    </row>
    <row r="287" spans="61:72" ht="18" x14ac:dyDescent="0.25">
      <c r="BI287" s="1"/>
      <c r="BJ287" s="345"/>
      <c r="BK287" s="346"/>
      <c r="BL287" s="440"/>
      <c r="BN287" s="316" t="s">
        <v>358</v>
      </c>
    </row>
    <row r="288" spans="61:72" x14ac:dyDescent="0.25">
      <c r="BI288" s="1"/>
      <c r="BJ288" s="345"/>
      <c r="BK288" s="346"/>
      <c r="BL288" s="440"/>
      <c r="BN288" s="2"/>
      <c r="BO288" s="310"/>
      <c r="BP288" s="310"/>
      <c r="BQ288" s="310"/>
      <c r="BR288" s="310"/>
      <c r="BS288" s="310"/>
      <c r="BT288" s="310"/>
    </row>
    <row r="289" spans="61:72" x14ac:dyDescent="0.25">
      <c r="BI289" s="1"/>
      <c r="BJ289" s="345"/>
      <c r="BK289" s="346"/>
      <c r="BL289" s="440"/>
    </row>
    <row r="290" spans="61:72" x14ac:dyDescent="0.25">
      <c r="BI290" s="1"/>
      <c r="BJ290" s="345"/>
      <c r="BK290" s="346"/>
      <c r="BL290" s="440"/>
    </row>
    <row r="291" spans="61:72" x14ac:dyDescent="0.25">
      <c r="BI291" s="1"/>
      <c r="BJ291" s="345"/>
      <c r="BK291" s="346"/>
      <c r="BL291" s="440"/>
    </row>
    <row r="292" spans="61:72" x14ac:dyDescent="0.25">
      <c r="BI292" s="1"/>
      <c r="BJ292" s="345"/>
      <c r="BK292" s="346"/>
      <c r="BL292" s="440"/>
      <c r="BN292" s="322"/>
      <c r="BO292" s="52">
        <v>1</v>
      </c>
      <c r="BP292" s="52">
        <v>2</v>
      </c>
      <c r="BQ292" s="52">
        <v>3</v>
      </c>
      <c r="BR292" s="52">
        <v>4</v>
      </c>
      <c r="BS292" s="52">
        <v>5</v>
      </c>
      <c r="BT292" s="52">
        <v>6</v>
      </c>
    </row>
    <row r="293" spans="61:72" x14ac:dyDescent="0.25">
      <c r="BI293" s="1"/>
      <c r="BJ293" s="345"/>
      <c r="BK293" s="346"/>
      <c r="BL293" s="440"/>
      <c r="BN293" s="335"/>
      <c r="BO293" s="1777" t="str">
        <f t="shared" ref="BO293:BT293" si="108">IF(ISBLANK(INDEX(ModelGroup,BO292,1)),"Not Used",INDEX(ModelGroup,BO292,1))</f>
        <v>SB Off-ramp to Ave 280</v>
      </c>
      <c r="BP293" s="1777" t="str">
        <f t="shared" si="108"/>
        <v>SB On-ramp from Ave 280</v>
      </c>
      <c r="BQ293" s="1777" t="str">
        <f t="shared" si="108"/>
        <v>NB Off-ramp to Ave 280</v>
      </c>
      <c r="BR293" s="1777" t="str">
        <f t="shared" si="108"/>
        <v>NB On-ramp from Ave 280</v>
      </c>
      <c r="BS293" s="1777" t="str">
        <f t="shared" si="108"/>
        <v>NB Mainline</v>
      </c>
      <c r="BT293" s="1777" t="str">
        <f t="shared" si="108"/>
        <v>SB Mainline</v>
      </c>
    </row>
    <row r="294" spans="61:72" x14ac:dyDescent="0.25">
      <c r="BI294" s="1"/>
      <c r="BJ294" s="345"/>
      <c r="BK294" s="346"/>
      <c r="BL294" s="440"/>
      <c r="BN294" s="77" t="s">
        <v>34</v>
      </c>
      <c r="BO294" s="1778"/>
      <c r="BP294" s="1778"/>
      <c r="BQ294" s="1778"/>
      <c r="BR294" s="1778"/>
      <c r="BS294" s="1778"/>
      <c r="BT294" s="1778"/>
    </row>
    <row r="295" spans="61:72" x14ac:dyDescent="0.25">
      <c r="BI295" s="1"/>
      <c r="BJ295" s="345"/>
      <c r="BK295" s="346"/>
      <c r="BL295" s="440"/>
      <c r="BN295" s="355"/>
      <c r="BO295" s="1779"/>
      <c r="BP295" s="1779"/>
      <c r="BQ295" s="1779"/>
      <c r="BR295" s="1779"/>
      <c r="BS295" s="1779"/>
      <c r="BT295" s="1779"/>
    </row>
    <row r="296" spans="61:72" x14ac:dyDescent="0.25">
      <c r="BI296" s="1"/>
      <c r="BJ296" s="345"/>
      <c r="BK296" s="346"/>
      <c r="BL296" s="440"/>
      <c r="BN296" s="375">
        <f>YearOpen</f>
        <v>2026</v>
      </c>
      <c r="BO296" s="441">
        <f t="shared" ref="BO296:BO315" ca="1" si="109">OFFSET($BF9,MATCH(BO$292,$A:$A),0)</f>
        <v>1.7603350347128892</v>
      </c>
      <c r="BP296" s="441">
        <f t="shared" ref="BP296:BT305" ca="1" si="110">OFFSET($BF9,MATCH(BP$292,$A:$A),0)</f>
        <v>-0.24216525517640872</v>
      </c>
      <c r="BQ296" s="441">
        <f t="shared" ca="1" si="110"/>
        <v>4.4572214799117011</v>
      </c>
      <c r="BR296" s="441">
        <f t="shared" ca="1" si="110"/>
        <v>20.820528322839539</v>
      </c>
      <c r="BS296" s="441">
        <f t="shared" ca="1" si="110"/>
        <v>60.925558712021754</v>
      </c>
      <c r="BT296" s="441">
        <f t="shared" ca="1" si="110"/>
        <v>90.563611924168029</v>
      </c>
    </row>
    <row r="297" spans="61:72" x14ac:dyDescent="0.25">
      <c r="BI297" s="1"/>
      <c r="BJ297" s="345"/>
      <c r="BK297" s="346"/>
      <c r="BL297" s="440"/>
      <c r="BN297" s="375">
        <f>BN296+1</f>
        <v>2027</v>
      </c>
      <c r="BO297" s="442">
        <f t="shared" ca="1" si="109"/>
        <v>1.3046439099676634</v>
      </c>
      <c r="BP297" s="442">
        <f t="shared" ca="1" si="110"/>
        <v>-0.23719533969612941</v>
      </c>
      <c r="BQ297" s="442">
        <f t="shared" ca="1" si="110"/>
        <v>4.3672492238495755</v>
      </c>
      <c r="BR297" s="442">
        <f t="shared" ca="1" si="110"/>
        <v>20.278669204613273</v>
      </c>
      <c r="BS297" s="442">
        <f t="shared" ca="1" si="110"/>
        <v>61.860303991272346</v>
      </c>
      <c r="BT297" s="442">
        <f t="shared" ca="1" si="110"/>
        <v>89.749069645642507</v>
      </c>
    </row>
    <row r="298" spans="61:72" x14ac:dyDescent="0.25">
      <c r="BI298" s="1"/>
      <c r="BJ298" s="345"/>
      <c r="BK298" s="346"/>
      <c r="BL298" s="440"/>
      <c r="BN298" s="375">
        <f t="shared" ref="BN298:BN315" si="111">BN297+1</f>
        <v>2028</v>
      </c>
      <c r="BO298" s="442">
        <f t="shared" ca="1" si="109"/>
        <v>0.8814019027550396</v>
      </c>
      <c r="BP298" s="442">
        <f t="shared" ca="1" si="110"/>
        <v>-0.2322494927806367</v>
      </c>
      <c r="BQ298" s="442">
        <f t="shared" ca="1" si="110"/>
        <v>4.2776043876621834</v>
      </c>
      <c r="BR298" s="442">
        <f t="shared" ca="1" si="110"/>
        <v>19.747691958909076</v>
      </c>
      <c r="BS298" s="442">
        <f t="shared" ca="1" si="110"/>
        <v>62.633019221361621</v>
      </c>
      <c r="BT298" s="442">
        <f t="shared" ca="1" si="110"/>
        <v>88.863214625340703</v>
      </c>
    </row>
    <row r="299" spans="61:72" x14ac:dyDescent="0.25">
      <c r="BI299" s="1"/>
      <c r="BJ299" s="345"/>
      <c r="BK299" s="346"/>
      <c r="BL299" s="440"/>
      <c r="BN299" s="375">
        <f t="shared" si="111"/>
        <v>2029</v>
      </c>
      <c r="BO299" s="442">
        <f t="shared" ca="1" si="109"/>
        <v>0.48878702640791039</v>
      </c>
      <c r="BP299" s="442">
        <f t="shared" ca="1" si="110"/>
        <v>-0.22733321494785819</v>
      </c>
      <c r="BQ299" s="442">
        <f t="shared" ca="1" si="110"/>
        <v>4.1883948802586577</v>
      </c>
      <c r="BR299" s="442">
        <f t="shared" ca="1" si="110"/>
        <v>19.227561085352821</v>
      </c>
      <c r="BS299" s="442">
        <f t="shared" ca="1" si="110"/>
        <v>63.25478549293635</v>
      </c>
      <c r="BT299" s="442">
        <f t="shared" ca="1" si="110"/>
        <v>87.912737402982785</v>
      </c>
    </row>
    <row r="300" spans="61:72" x14ac:dyDescent="0.25">
      <c r="BI300" s="1"/>
      <c r="BJ300" s="345"/>
      <c r="BK300" s="346"/>
      <c r="BL300" s="440"/>
      <c r="BN300" s="375">
        <f t="shared" si="111"/>
        <v>2030</v>
      </c>
      <c r="BO300" s="442">
        <f t="shared" ca="1" si="109"/>
        <v>0.12506944542662357</v>
      </c>
      <c r="BP300" s="442">
        <f t="shared" ca="1" si="110"/>
        <v>-0.22245154799454431</v>
      </c>
      <c r="BQ300" s="442">
        <f t="shared" ca="1" si="110"/>
        <v>4.0997198255138905</v>
      </c>
      <c r="BR300" s="442">
        <f t="shared" ca="1" si="110"/>
        <v>18.718227716923803</v>
      </c>
      <c r="BS300" s="442">
        <f t="shared" ca="1" si="110"/>
        <v>63.736071194476679</v>
      </c>
      <c r="BT300" s="442">
        <f t="shared" ca="1" si="110"/>
        <v>86.903919353608856</v>
      </c>
    </row>
    <row r="301" spans="61:72" x14ac:dyDescent="0.25">
      <c r="BI301" s="1"/>
      <c r="BJ301" s="345"/>
      <c r="BK301" s="346"/>
      <c r="BL301" s="440"/>
      <c r="BN301" s="375">
        <f t="shared" si="111"/>
        <v>2031</v>
      </c>
      <c r="BO301" s="442">
        <f t="shared" ca="1" si="109"/>
        <v>-0.21139291782594308</v>
      </c>
      <c r="BP301" s="442">
        <f t="shared" ca="1" si="110"/>
        <v>-0.21760910214570542</v>
      </c>
      <c r="BQ301" s="442">
        <f t="shared" ca="1" si="110"/>
        <v>4.6106275564949621</v>
      </c>
      <c r="BR301" s="442">
        <f t="shared" ca="1" si="110"/>
        <v>18.219630700673708</v>
      </c>
      <c r="BS301" s="442">
        <f t="shared" ca="1" si="110"/>
        <v>64.086762751086397</v>
      </c>
      <c r="BT301" s="442">
        <f t="shared" ca="1" si="110"/>
        <v>85.842654264537487</v>
      </c>
    </row>
    <row r="302" spans="61:72" x14ac:dyDescent="0.25">
      <c r="BI302" s="1"/>
      <c r="BJ302" s="345"/>
      <c r="BK302" s="346"/>
      <c r="BL302" s="440"/>
      <c r="BN302" s="375">
        <f t="shared" si="111"/>
        <v>2032</v>
      </c>
      <c r="BO302" s="442">
        <f t="shared" ca="1" si="109"/>
        <v>-0.5221585748008446</v>
      </c>
      <c r="BP302" s="442">
        <f t="shared" ca="1" si="110"/>
        <v>0.10253316822870612</v>
      </c>
      <c r="BQ302" s="442">
        <f t="shared" ca="1" si="110"/>
        <v>4.5103156300489307</v>
      </c>
      <c r="BR302" s="442">
        <f t="shared" ca="1" si="110"/>
        <v>17.731697615086471</v>
      </c>
      <c r="BS302" s="442">
        <f t="shared" ca="1" si="110"/>
        <v>64.316193905124805</v>
      </c>
      <c r="BT302" s="442">
        <f t="shared" ca="1" si="110"/>
        <v>84.734468857830194</v>
      </c>
    </row>
    <row r="303" spans="61:72" x14ac:dyDescent="0.25">
      <c r="BI303" s="1"/>
      <c r="BJ303" s="345"/>
      <c r="BK303" s="346"/>
      <c r="BL303" s="440"/>
      <c r="BN303" s="375">
        <f t="shared" si="111"/>
        <v>2033</v>
      </c>
      <c r="BO303" s="442">
        <f t="shared" ca="1" si="109"/>
        <v>-0.42747848851803916</v>
      </c>
      <c r="BP303" s="442">
        <f t="shared" ca="1" si="110"/>
        <v>-0.10061652681656849</v>
      </c>
      <c r="BQ303" s="442">
        <f t="shared" ca="1" si="110"/>
        <v>2.462993465898176</v>
      </c>
      <c r="BR303" s="442">
        <f t="shared" ca="1" si="110"/>
        <v>8.8957323244571374</v>
      </c>
      <c r="BS303" s="442">
        <f t="shared" ca="1" si="110"/>
        <v>34.554383520003036</v>
      </c>
      <c r="BT303" s="442">
        <f t="shared" ca="1" si="110"/>
        <v>44.824927434507039</v>
      </c>
    </row>
    <row r="304" spans="61:72" x14ac:dyDescent="0.25">
      <c r="BI304" s="1"/>
      <c r="BJ304" s="345"/>
      <c r="BK304" s="346"/>
      <c r="BL304" s="440"/>
      <c r="BN304" s="375">
        <f t="shared" si="111"/>
        <v>2034</v>
      </c>
      <c r="BO304" s="442">
        <f t="shared" ca="1" si="109"/>
        <v>-0.56688670087701465</v>
      </c>
      <c r="BP304" s="442">
        <f t="shared" ca="1" si="110"/>
        <v>-9.8339058697298587E-2</v>
      </c>
      <c r="BQ304" s="442">
        <f t="shared" ca="1" si="110"/>
        <v>2.4080389735096728</v>
      </c>
      <c r="BR304" s="442">
        <f t="shared" ca="1" si="110"/>
        <v>8.6550506716484463</v>
      </c>
      <c r="BS304" s="442">
        <f t="shared" ca="1" si="110"/>
        <v>34.561268831247084</v>
      </c>
      <c r="BT304" s="442">
        <f t="shared" ca="1" si="110"/>
        <v>44.188457971806606</v>
      </c>
    </row>
    <row r="305" spans="61:72" x14ac:dyDescent="0.25">
      <c r="BI305" s="1"/>
      <c r="BJ305" s="345"/>
      <c r="BK305" s="346"/>
      <c r="BL305" s="440"/>
      <c r="BN305" s="375">
        <f t="shared" si="111"/>
        <v>2035</v>
      </c>
      <c r="BO305" s="442">
        <f t="shared" ca="1" si="109"/>
        <v>-0.69493883996501282</v>
      </c>
      <c r="BP305" s="442">
        <f t="shared" ca="1" si="110"/>
        <v>-9.6087939417351484E-2</v>
      </c>
      <c r="BQ305" s="442">
        <f t="shared" ca="1" si="110"/>
        <v>2.3536682683080157</v>
      </c>
      <c r="BR305" s="442">
        <f t="shared" ca="1" si="110"/>
        <v>8.4197236247888583</v>
      </c>
      <c r="BS305" s="442">
        <f t="shared" ca="1" si="110"/>
        <v>34.516508551211935</v>
      </c>
      <c r="BT305" s="442">
        <f t="shared" ca="1" si="110"/>
        <v>43.534638634292513</v>
      </c>
    </row>
    <row r="306" spans="61:72" x14ac:dyDescent="0.25">
      <c r="BI306" s="1"/>
      <c r="BJ306" s="345"/>
      <c r="BK306" s="346"/>
      <c r="BL306" s="440"/>
      <c r="BN306" s="375">
        <f t="shared" si="111"/>
        <v>2036</v>
      </c>
      <c r="BO306" s="442">
        <f t="shared" ca="1" si="109"/>
        <v>-0.81230222471357783</v>
      </c>
      <c r="BP306" s="442">
        <f t="shared" ref="BP306:BT315" ca="1" si="112">OFFSET($BF19,MATCH(BP$292,$A:$A),0)</f>
        <v>-9.3864511178620269E-2</v>
      </c>
      <c r="BQ306" s="442">
        <f t="shared" ca="1" si="112"/>
        <v>2.2999177372143071</v>
      </c>
      <c r="BR306" s="442">
        <f t="shared" ca="1" si="112"/>
        <v>8.1896953290610011</v>
      </c>
      <c r="BS306" s="442">
        <f t="shared" ca="1" si="112"/>
        <v>34.424065232316657</v>
      </c>
      <c r="BT306" s="442">
        <f t="shared" ca="1" si="112"/>
        <v>42.865745550593296</v>
      </c>
    </row>
    <row r="307" spans="61:72" x14ac:dyDescent="0.25">
      <c r="BI307" s="1"/>
      <c r="BJ307" s="345"/>
      <c r="BK307" s="346"/>
      <c r="BL307" s="440"/>
      <c r="BN307" s="375">
        <f t="shared" si="111"/>
        <v>2037</v>
      </c>
      <c r="BO307" s="442">
        <f t="shared" ca="1" si="109"/>
        <v>-0.9196096407537252</v>
      </c>
      <c r="BP307" s="442">
        <f t="shared" ca="1" si="112"/>
        <v>-9.1669973959113873E-2</v>
      </c>
      <c r="BQ307" s="442">
        <f t="shared" ca="1" si="112"/>
        <v>2.2468201045652245</v>
      </c>
      <c r="BR307" s="442">
        <f t="shared" ca="1" si="112"/>
        <v>8.2934683327068601</v>
      </c>
      <c r="BS307" s="442">
        <f t="shared" ca="1" si="112"/>
        <v>34.287673014059507</v>
      </c>
      <c r="BT307" s="442">
        <f t="shared" ca="1" si="112"/>
        <v>42.183905428015571</v>
      </c>
    </row>
    <row r="308" spans="61:72" x14ac:dyDescent="0.25">
      <c r="BI308" s="1"/>
      <c r="BJ308" s="345"/>
      <c r="BK308" s="346"/>
      <c r="BL308" s="440"/>
      <c r="BN308" s="375">
        <f t="shared" si="111"/>
        <v>2038</v>
      </c>
      <c r="BO308" s="442">
        <f t="shared" ca="1" si="109"/>
        <v>-1.0174610096654708</v>
      </c>
      <c r="BP308" s="442">
        <f t="shared" ca="1" si="112"/>
        <v>-8.9505394467767965E-2</v>
      </c>
      <c r="BQ308" s="442">
        <f t="shared" ca="1" si="112"/>
        <v>2.1944046600234453</v>
      </c>
      <c r="BR308" s="442">
        <f t="shared" ca="1" si="112"/>
        <v>8.0647813011184759</v>
      </c>
      <c r="BS308" s="442">
        <f t="shared" ca="1" si="112"/>
        <v>34.110849331478505</v>
      </c>
      <c r="BT308" s="442">
        <f t="shared" ca="1" si="112"/>
        <v>41.491103679437025</v>
      </c>
    </row>
    <row r="309" spans="61:72" x14ac:dyDescent="0.25">
      <c r="BI309" s="1"/>
      <c r="BJ309" s="345"/>
      <c r="BK309" s="346"/>
      <c r="BL309" s="440"/>
      <c r="BN309" s="375">
        <f t="shared" si="111"/>
        <v>2039</v>
      </c>
      <c r="BO309" s="442">
        <f t="shared" ca="1" si="109"/>
        <v>-1.1064249809083313</v>
      </c>
      <c r="BP309" s="442">
        <f t="shared" ca="1" si="112"/>
        <v>-8.7371714620785801E-2</v>
      </c>
      <c r="BQ309" s="442">
        <f t="shared" ca="1" si="112"/>
        <v>2.142697474374577</v>
      </c>
      <c r="BR309" s="442">
        <f t="shared" ca="1" si="112"/>
        <v>7.8414171353731277</v>
      </c>
      <c r="BS309" s="442">
        <f t="shared" ca="1" si="112"/>
        <v>33.896906060850327</v>
      </c>
      <c r="BT309" s="442">
        <f t="shared" ca="1" si="112"/>
        <v>40.789192146092269</v>
      </c>
    </row>
    <row r="310" spans="61:72" x14ac:dyDescent="0.25">
      <c r="BI310" s="1"/>
      <c r="BJ310" s="345"/>
      <c r="BK310" s="346"/>
      <c r="BL310" s="440"/>
      <c r="BN310" s="375">
        <f t="shared" si="111"/>
        <v>2040</v>
      </c>
      <c r="BO310" s="442">
        <f t="shared" ca="1" si="109"/>
        <v>-1.187040449911114</v>
      </c>
      <c r="BP310" s="442">
        <f t="shared" ca="1" si="112"/>
        <v>-8.5269759563117623E-2</v>
      </c>
      <c r="BQ310" s="442">
        <f t="shared" ca="1" si="112"/>
        <v>2.0917216038051714</v>
      </c>
      <c r="BR310" s="442">
        <f t="shared" ca="1" si="112"/>
        <v>7.6233046786775347</v>
      </c>
      <c r="BS310" s="442">
        <f t="shared" ca="1" si="112"/>
        <v>33.648960128596713</v>
      </c>
      <c r="BT310" s="442">
        <f t="shared" ca="1" si="112"/>
        <v>40.079896435313323</v>
      </c>
    </row>
    <row r="311" spans="61:72" x14ac:dyDescent="0.25">
      <c r="BI311" s="1"/>
      <c r="BJ311" s="345"/>
      <c r="BK311" s="346"/>
      <c r="BL311" s="440"/>
      <c r="BN311" s="375">
        <f t="shared" si="111"/>
        <v>2041</v>
      </c>
      <c r="BO311" s="442">
        <f t="shared" ca="1" si="109"/>
        <v>-1.2598180056460651</v>
      </c>
      <c r="BP311" s="442">
        <f t="shared" ca="1" si="112"/>
        <v>-1.0243290649405157E-2</v>
      </c>
      <c r="BQ311" s="442">
        <f t="shared" ca="1" si="112"/>
        <v>2.0414972832287139</v>
      </c>
      <c r="BR311" s="442">
        <f t="shared" ca="1" si="112"/>
        <v>7.4103703737760256</v>
      </c>
      <c r="BS311" s="442">
        <f t="shared" ca="1" si="112"/>
        <v>33.369943608201595</v>
      </c>
      <c r="BT311" s="442">
        <f t="shared" ca="1" si="112"/>
        <v>39.364822891419614</v>
      </c>
    </row>
    <row r="312" spans="61:72" x14ac:dyDescent="0.25">
      <c r="BI312" s="1"/>
      <c r="BJ312" s="345"/>
      <c r="BK312" s="346"/>
      <c r="BL312" s="440"/>
      <c r="BN312" s="375">
        <f t="shared" si="111"/>
        <v>2042</v>
      </c>
      <c r="BO312" s="442">
        <f t="shared" ca="1" si="109"/>
        <v>-1.0869856519782899</v>
      </c>
      <c r="BP312" s="442">
        <f t="shared" ca="1" si="112"/>
        <v>-9.9682007625693219E-3</v>
      </c>
      <c r="BQ312" s="442">
        <f t="shared" ca="1" si="112"/>
        <v>1.9920421091998513</v>
      </c>
      <c r="BR312" s="442">
        <f t="shared" ca="1" si="112"/>
        <v>7.2025385528629773</v>
      </c>
      <c r="BS312" s="442">
        <f t="shared" ca="1" si="112"/>
        <v>33.062613328830096</v>
      </c>
      <c r="BT312" s="442">
        <f t="shared" ca="1" si="112"/>
        <v>38.645465217122322</v>
      </c>
    </row>
    <row r="313" spans="61:72" x14ac:dyDescent="0.25">
      <c r="BI313" s="1"/>
      <c r="BJ313" s="345"/>
      <c r="BK313" s="346"/>
      <c r="BL313" s="440"/>
      <c r="BN313" s="375">
        <f t="shared" si="111"/>
        <v>2043</v>
      </c>
      <c r="BO313" s="442">
        <f t="shared" ca="1" si="109"/>
        <v>-1.1522314373516633</v>
      </c>
      <c r="BP313" s="442">
        <f t="shared" ca="1" si="112"/>
        <v>-9.6991188394460297E-3</v>
      </c>
      <c r="BQ313" s="442">
        <f t="shared" ca="1" si="112"/>
        <v>1.9433712129317431</v>
      </c>
      <c r="BR313" s="442">
        <f t="shared" ca="1" si="112"/>
        <v>6.9997317087453439</v>
      </c>
      <c r="BS313" s="442">
        <f t="shared" ca="1" si="112"/>
        <v>32.729560018273823</v>
      </c>
      <c r="BT313" s="442">
        <f t="shared" ca="1" si="112"/>
        <v>37.923210762014357</v>
      </c>
    </row>
    <row r="314" spans="61:72" x14ac:dyDescent="0.25">
      <c r="BI314" s="1"/>
      <c r="BJ314" s="345"/>
      <c r="BK314" s="346"/>
      <c r="BL314" s="440"/>
      <c r="BN314" s="375">
        <f t="shared" si="111"/>
        <v>2044</v>
      </c>
      <c r="BO314" s="442">
        <f t="shared" ca="1" si="109"/>
        <v>-1.2108503492170575</v>
      </c>
      <c r="BP314" s="442">
        <f t="shared" ca="1" si="112"/>
        <v>-9.4359896666711823E-3</v>
      </c>
      <c r="BQ314" s="442">
        <f t="shared" ca="1" si="112"/>
        <v>1.8954974239073383</v>
      </c>
      <c r="BR314" s="442">
        <f t="shared" ca="1" si="112"/>
        <v>6.801870748268624</v>
      </c>
      <c r="BS314" s="442">
        <f t="shared" ca="1" si="112"/>
        <v>32.373217001830128</v>
      </c>
      <c r="BT314" s="442">
        <f t="shared" ca="1" si="112"/>
        <v>37.199346493960462</v>
      </c>
    </row>
    <row r="315" spans="61:72" x14ac:dyDescent="0.25">
      <c r="BI315" s="1"/>
      <c r="BJ315" s="345"/>
      <c r="BK315" s="346"/>
      <c r="BL315" s="440"/>
      <c r="BN315" s="375">
        <f t="shared" si="111"/>
        <v>2045</v>
      </c>
      <c r="BO315" s="442">
        <f t="shared" ca="1" si="109"/>
        <v>-1.2632556296411055</v>
      </c>
      <c r="BP315" s="442">
        <f t="shared" ca="1" si="112"/>
        <v>-9.1787533905665439E-3</v>
      </c>
      <c r="BQ315" s="442">
        <f t="shared" ca="1" si="112"/>
        <v>1.8484314245520674</v>
      </c>
      <c r="BR315" s="442">
        <f t="shared" ca="1" si="112"/>
        <v>6.6088752289694837</v>
      </c>
      <c r="BS315" s="442">
        <f t="shared" ca="1" si="112"/>
        <v>31.995868477748566</v>
      </c>
      <c r="BT315" s="442">
        <f t="shared" ca="1" si="112"/>
        <v>36.475064668475746</v>
      </c>
    </row>
    <row r="316" spans="61:72" x14ac:dyDescent="0.25">
      <c r="BI316" s="1"/>
      <c r="BJ316" s="345"/>
      <c r="BK316" s="346"/>
      <c r="BL316" s="440"/>
      <c r="BN316" s="385"/>
      <c r="BO316" s="389"/>
      <c r="BP316" s="389"/>
      <c r="BQ316" s="389"/>
      <c r="BR316" s="389"/>
      <c r="BS316" s="389"/>
      <c r="BT316" s="389"/>
    </row>
    <row r="317" spans="61:72" x14ac:dyDescent="0.25">
      <c r="BI317" s="1"/>
      <c r="BJ317" s="345"/>
      <c r="BK317" s="346"/>
      <c r="BL317" s="440"/>
      <c r="BN317" s="407" t="s">
        <v>56</v>
      </c>
      <c r="BO317" s="408">
        <f t="shared" ref="BO317:BT317" ca="1" si="113">SUM(BO296:BO315)</f>
        <v>-8.8785975825031294</v>
      </c>
      <c r="BP317" s="408">
        <f t="shared" ca="1" si="113"/>
        <v>-2.0677210165418591</v>
      </c>
      <c r="BQ317" s="408">
        <f t="shared" ca="1" si="113"/>
        <v>58.432234725258205</v>
      </c>
      <c r="BR317" s="408">
        <f t="shared" ca="1" si="113"/>
        <v>235.75056661485254</v>
      </c>
      <c r="BS317" s="408">
        <f t="shared" ca="1" si="113"/>
        <v>878.34451237292797</v>
      </c>
      <c r="BT317" s="408">
        <f t="shared" ca="1" si="113"/>
        <v>1144.1354533871611</v>
      </c>
    </row>
    <row r="318" spans="61:72" x14ac:dyDescent="0.25">
      <c r="BI318" s="1"/>
      <c r="BJ318" s="345"/>
      <c r="BK318" s="346"/>
      <c r="BL318" s="440"/>
    </row>
    <row r="319" spans="61:72" x14ac:dyDescent="0.25">
      <c r="BI319" s="1"/>
      <c r="BJ319" s="345"/>
      <c r="BK319" s="346"/>
      <c r="BL319" s="440"/>
    </row>
    <row r="320" spans="61:72" x14ac:dyDescent="0.25">
      <c r="BI320" s="1"/>
      <c r="BJ320" s="345"/>
      <c r="BK320" s="346"/>
      <c r="BL320" s="440"/>
    </row>
    <row r="321" spans="61:72" ht="21" x14ac:dyDescent="0.35">
      <c r="BI321" s="1"/>
      <c r="BJ321" s="345"/>
      <c r="BK321" s="346"/>
      <c r="BL321" s="440"/>
      <c r="BN321" s="316" t="s">
        <v>359</v>
      </c>
    </row>
    <row r="322" spans="61:72" x14ac:dyDescent="0.25">
      <c r="BI322" s="1"/>
      <c r="BJ322" s="345"/>
      <c r="BK322" s="346"/>
      <c r="BL322" s="440"/>
      <c r="BN322" s="2"/>
      <c r="BO322" s="310"/>
      <c r="BP322" s="310"/>
      <c r="BQ322" s="310"/>
      <c r="BR322" s="310"/>
      <c r="BS322" s="310"/>
      <c r="BT322" s="310"/>
    </row>
    <row r="323" spans="61:72" x14ac:dyDescent="0.25">
      <c r="BI323" s="1"/>
      <c r="BJ323" s="345"/>
      <c r="BK323" s="346"/>
      <c r="BL323" s="440"/>
    </row>
    <row r="324" spans="61:72" x14ac:dyDescent="0.25">
      <c r="BI324" s="1"/>
      <c r="BJ324" s="345"/>
      <c r="BK324" s="346"/>
      <c r="BL324" s="440"/>
    </row>
    <row r="325" spans="61:72" x14ac:dyDescent="0.25">
      <c r="BI325" s="1"/>
      <c r="BJ325" s="345"/>
      <c r="BK325" s="346"/>
      <c r="BL325" s="440"/>
    </row>
    <row r="326" spans="61:72" x14ac:dyDescent="0.25">
      <c r="BI326" s="1"/>
      <c r="BJ326" s="345"/>
      <c r="BK326" s="346"/>
      <c r="BL326" s="440"/>
      <c r="BN326" s="322"/>
      <c r="BO326" s="52">
        <v>1</v>
      </c>
      <c r="BP326" s="52">
        <v>2</v>
      </c>
      <c r="BQ326" s="52">
        <v>3</v>
      </c>
      <c r="BR326" s="52">
        <v>4</v>
      </c>
      <c r="BS326" s="52">
        <v>5</v>
      </c>
      <c r="BT326" s="52">
        <v>6</v>
      </c>
    </row>
    <row r="327" spans="61:72" x14ac:dyDescent="0.25">
      <c r="BI327" s="1"/>
      <c r="BJ327" s="345"/>
      <c r="BK327" s="346"/>
      <c r="BL327" s="440"/>
      <c r="BN327" s="335"/>
      <c r="BO327" s="1777" t="str">
        <f t="shared" ref="BO327:BT327" si="114">IF(ISBLANK(INDEX(ModelGroup,BO326,1)),"Not Used",INDEX(ModelGroup,BO326,1))</f>
        <v>SB Off-ramp to Ave 280</v>
      </c>
      <c r="BP327" s="1777" t="str">
        <f t="shared" si="114"/>
        <v>SB On-ramp from Ave 280</v>
      </c>
      <c r="BQ327" s="1777" t="str">
        <f t="shared" si="114"/>
        <v>NB Off-ramp to Ave 280</v>
      </c>
      <c r="BR327" s="1777" t="str">
        <f t="shared" si="114"/>
        <v>NB On-ramp from Ave 280</v>
      </c>
      <c r="BS327" s="1777" t="str">
        <f t="shared" si="114"/>
        <v>NB Mainline</v>
      </c>
      <c r="BT327" s="1777" t="str">
        <f t="shared" si="114"/>
        <v>SB Mainline</v>
      </c>
    </row>
    <row r="328" spans="61:72" x14ac:dyDescent="0.25">
      <c r="BI328" s="1"/>
      <c r="BJ328" s="345"/>
      <c r="BK328" s="346"/>
      <c r="BL328" s="440"/>
      <c r="BN328" s="77" t="s">
        <v>34</v>
      </c>
      <c r="BO328" s="1778"/>
      <c r="BP328" s="1778"/>
      <c r="BQ328" s="1778"/>
      <c r="BR328" s="1778"/>
      <c r="BS328" s="1778"/>
      <c r="BT328" s="1778"/>
    </row>
    <row r="329" spans="61:72" x14ac:dyDescent="0.25">
      <c r="BI329" s="1"/>
      <c r="BJ329" s="345"/>
      <c r="BK329" s="346"/>
      <c r="BL329" s="440"/>
      <c r="BN329" s="355"/>
      <c r="BO329" s="1779"/>
      <c r="BP329" s="1779"/>
      <c r="BQ329" s="1779"/>
      <c r="BR329" s="1779"/>
      <c r="BS329" s="1779"/>
      <c r="BT329" s="1779"/>
    </row>
    <row r="330" spans="61:72" x14ac:dyDescent="0.25">
      <c r="BI330" s="1"/>
      <c r="BJ330" s="345"/>
      <c r="BK330" s="346"/>
      <c r="BL330" s="440"/>
      <c r="BN330" s="375">
        <f>YearOpen</f>
        <v>2026</v>
      </c>
      <c r="BO330" s="441">
        <f t="shared" ref="BO330:BO349" ca="1" si="115">OFFSET($BG9,MATCH(BO$326,$A:$A),0)</f>
        <v>619.38704630429027</v>
      </c>
      <c r="BP330" s="441">
        <f t="shared" ref="BP330:BT339" ca="1" si="116">OFFSET($BG9,MATCH(BP$326,$A:$A),0)</f>
        <v>-547.36316149804998</v>
      </c>
      <c r="BQ330" s="441">
        <f t="shared" ca="1" si="116"/>
        <v>471.93189770619625</v>
      </c>
      <c r="BR330" s="441">
        <f t="shared" ca="1" si="116"/>
        <v>-901.00490724043755</v>
      </c>
      <c r="BS330" s="441">
        <f t="shared" ca="1" si="116"/>
        <v>35883.350766195595</v>
      </c>
      <c r="BT330" s="441">
        <f t="shared" ca="1" si="116"/>
        <v>53339.286861349814</v>
      </c>
    </row>
    <row r="331" spans="61:72" x14ac:dyDescent="0.25">
      <c r="BI331" s="1"/>
      <c r="BJ331" s="345"/>
      <c r="BK331" s="346"/>
      <c r="BL331" s="440"/>
      <c r="BN331" s="375">
        <f>BN330+1</f>
        <v>2027</v>
      </c>
      <c r="BO331" s="442">
        <f t="shared" ca="1" si="115"/>
        <v>468.22969058594816</v>
      </c>
      <c r="BP331" s="442">
        <f t="shared" ca="1" si="116"/>
        <v>-547.08287058661801</v>
      </c>
      <c r="BQ331" s="442">
        <f t="shared" ca="1" si="116"/>
        <v>471.49725479604189</v>
      </c>
      <c r="BR331" s="442">
        <f t="shared" ca="1" si="116"/>
        <v>-894.32551812974964</v>
      </c>
      <c r="BS331" s="442">
        <f t="shared" ca="1" si="116"/>
        <v>37162.565829831277</v>
      </c>
      <c r="BT331" s="442">
        <f t="shared" ca="1" si="116"/>
        <v>53916.736480035303</v>
      </c>
    </row>
    <row r="332" spans="61:72" x14ac:dyDescent="0.25">
      <c r="BI332" s="1"/>
      <c r="BJ332" s="345"/>
      <c r="BK332" s="346"/>
      <c r="BL332" s="440"/>
      <c r="BN332" s="375">
        <f t="shared" ref="BN332:BN349" si="117">BN331+1</f>
        <v>2028</v>
      </c>
      <c r="BO332" s="442">
        <f t="shared" ca="1" si="115"/>
        <v>322.65701606154352</v>
      </c>
      <c r="BP332" s="442">
        <f t="shared" ca="1" si="116"/>
        <v>-546.61093289016048</v>
      </c>
      <c r="BQ332" s="442">
        <f t="shared" ca="1" si="116"/>
        <v>470.90479789363604</v>
      </c>
      <c r="BR332" s="442">
        <f t="shared" ca="1" si="116"/>
        <v>-887.5698167262625</v>
      </c>
      <c r="BS332" s="442">
        <f t="shared" ca="1" si="116"/>
        <v>38379.309844138581</v>
      </c>
      <c r="BT332" s="442">
        <f t="shared" ca="1" si="116"/>
        <v>54452.250430375963</v>
      </c>
    </row>
    <row r="333" spans="61:72" x14ac:dyDescent="0.25">
      <c r="BI333" s="1"/>
      <c r="BJ333" s="345"/>
      <c r="BK333" s="346"/>
      <c r="BL333" s="440"/>
      <c r="BN333" s="375">
        <f t="shared" si="117"/>
        <v>2029</v>
      </c>
      <c r="BO333" s="442">
        <f t="shared" ca="1" si="115"/>
        <v>182.51012868948669</v>
      </c>
      <c r="BP333" s="442">
        <f t="shared" ca="1" si="116"/>
        <v>-545.95482309675288</v>
      </c>
      <c r="BQ333" s="442">
        <f t="shared" ca="1" si="116"/>
        <v>470.16075750863183</v>
      </c>
      <c r="BR333" s="442">
        <f t="shared" ca="1" si="116"/>
        <v>-880.7432083064441</v>
      </c>
      <c r="BS333" s="442">
        <f t="shared" ca="1" si="116"/>
        <v>39535.512459289806</v>
      </c>
      <c r="BT333" s="442">
        <f t="shared" ca="1" si="116"/>
        <v>54947.22806883962</v>
      </c>
    </row>
    <row r="334" spans="61:72" x14ac:dyDescent="0.25">
      <c r="BI334" s="1"/>
      <c r="BJ334" s="345"/>
      <c r="BK334" s="346"/>
      <c r="BL334" s="440"/>
      <c r="BN334" s="375">
        <f t="shared" si="117"/>
        <v>2030</v>
      </c>
      <c r="BO334" s="442">
        <f t="shared" ca="1" si="115"/>
        <v>47.634180396809803</v>
      </c>
      <c r="BP334" s="442">
        <f t="shared" ca="1" si="116"/>
        <v>-545.12179928175442</v>
      </c>
      <c r="BQ334" s="442">
        <f t="shared" ca="1" si="116"/>
        <v>469.27118287885878</v>
      </c>
      <c r="BR334" s="442">
        <f t="shared" ca="1" si="116"/>
        <v>-873.85091847350861</v>
      </c>
      <c r="BS334" s="442">
        <f t="shared" ca="1" si="116"/>
        <v>40633.052211341921</v>
      </c>
      <c r="BT334" s="442">
        <f t="shared" ca="1" si="116"/>
        <v>55403.030439244554</v>
      </c>
    </row>
    <row r="335" spans="61:72" x14ac:dyDescent="0.25">
      <c r="BI335" s="1"/>
      <c r="BJ335" s="345"/>
      <c r="BK335" s="346"/>
      <c r="BL335" s="440"/>
      <c r="BN335" s="375">
        <f t="shared" si="117"/>
        <v>2031</v>
      </c>
      <c r="BO335" s="442">
        <f t="shared" ca="1" si="115"/>
        <v>-82.12172777244318</v>
      </c>
      <c r="BP335" s="442">
        <f t="shared" ca="1" si="116"/>
        <v>-544.11890847477014</v>
      </c>
      <c r="BQ335" s="442">
        <f t="shared" ca="1" si="116"/>
        <v>627.29297325070411</v>
      </c>
      <c r="BR335" s="442">
        <f t="shared" ca="1" si="116"/>
        <v>-866.89799806894166</v>
      </c>
      <c r="BS335" s="442">
        <f t="shared" ca="1" si="116"/>
        <v>41673.757774536003</v>
      </c>
      <c r="BT335" s="442">
        <f t="shared" ca="1" si="116"/>
        <v>55820.981228809738</v>
      </c>
    </row>
    <row r="336" spans="61:72" x14ac:dyDescent="0.25">
      <c r="BI336" s="1"/>
      <c r="BJ336" s="345"/>
      <c r="BK336" s="346"/>
      <c r="BL336" s="440"/>
      <c r="BN336" s="375">
        <f t="shared" si="117"/>
        <v>2032</v>
      </c>
      <c r="BO336" s="442">
        <f t="shared" ca="1" si="115"/>
        <v>-206.90464028000778</v>
      </c>
      <c r="BP336" s="442">
        <f t="shared" ca="1" si="116"/>
        <v>-838.85875068121061</v>
      </c>
      <c r="BQ336" s="442">
        <f t="shared" ca="1" si="116"/>
        <v>625.79964462445571</v>
      </c>
      <c r="BR336" s="442">
        <f t="shared" ca="1" si="116"/>
        <v>-859.88932796156837</v>
      </c>
      <c r="BS336" s="442">
        <f t="shared" ca="1" si="116"/>
        <v>42659.409184333599</v>
      </c>
      <c r="BT336" s="442">
        <f t="shared" ca="1" si="116"/>
        <v>56202.367701601899</v>
      </c>
    </row>
    <row r="337" spans="61:72" x14ac:dyDescent="0.25">
      <c r="BI337" s="1"/>
      <c r="BJ337" s="345"/>
      <c r="BK337" s="346"/>
      <c r="BL337" s="440"/>
      <c r="BN337" s="375">
        <f t="shared" si="117"/>
        <v>2033</v>
      </c>
      <c r="BO337" s="442">
        <f t="shared" ca="1" si="115"/>
        <v>-231.05442879475936</v>
      </c>
      <c r="BP337" s="442">
        <f t="shared" ca="1" si="116"/>
        <v>-676.42044983173673</v>
      </c>
      <c r="BQ337" s="442">
        <f t="shared" ca="1" si="116"/>
        <v>34.312063694872549</v>
      </c>
      <c r="BR337" s="442">
        <f t="shared" ca="1" si="116"/>
        <v>-1878.5366869245834</v>
      </c>
      <c r="BS337" s="442">
        <f t="shared" ca="1" si="116"/>
        <v>33560.660192189142</v>
      </c>
      <c r="BT337" s="442">
        <f t="shared" ca="1" si="116"/>
        <v>43535.841318024904</v>
      </c>
    </row>
    <row r="338" spans="61:72" x14ac:dyDescent="0.25">
      <c r="BI338" s="1"/>
      <c r="BJ338" s="345"/>
      <c r="BK338" s="346"/>
      <c r="BL338" s="440"/>
      <c r="BN338" s="375">
        <f t="shared" si="117"/>
        <v>2034</v>
      </c>
      <c r="BO338" s="442">
        <f t="shared" ca="1" si="115"/>
        <v>-312.53342591084908</v>
      </c>
      <c r="BP338" s="442">
        <f t="shared" ca="1" si="116"/>
        <v>-674.60119729724715</v>
      </c>
      <c r="BQ338" s="442">
        <f t="shared" ca="1" si="116"/>
        <v>34.098025451522062</v>
      </c>
      <c r="BR338" s="442">
        <f t="shared" ca="1" si="116"/>
        <v>-1863.7158934511044</v>
      </c>
      <c r="BS338" s="442">
        <f t="shared" ca="1" si="116"/>
        <v>34238.694443864973</v>
      </c>
      <c r="BT338" s="442">
        <f t="shared" ca="1" si="116"/>
        <v>43776.029110204006</v>
      </c>
    </row>
    <row r="339" spans="61:72" x14ac:dyDescent="0.25">
      <c r="BI339" s="1"/>
      <c r="BJ339" s="345"/>
      <c r="BK339" s="346"/>
      <c r="BL339" s="440"/>
      <c r="BN339" s="375">
        <f t="shared" si="117"/>
        <v>2035</v>
      </c>
      <c r="BO339" s="442">
        <f t="shared" ca="1" si="115"/>
        <v>-390.79316632247696</v>
      </c>
      <c r="BP339" s="442">
        <f t="shared" ca="1" si="116"/>
        <v>-672.60176052228041</v>
      </c>
      <c r="BQ339" s="442">
        <f t="shared" ca="1" si="116"/>
        <v>33.879530075632822</v>
      </c>
      <c r="BR339" s="442">
        <f t="shared" ca="1" si="116"/>
        <v>-1848.7704053897291</v>
      </c>
      <c r="BS339" s="442">
        <f t="shared" ca="1" si="116"/>
        <v>34878.238968334255</v>
      </c>
      <c r="BT339" s="442">
        <f t="shared" ca="1" si="116"/>
        <v>43990.878377344357</v>
      </c>
    </row>
    <row r="340" spans="61:72" x14ac:dyDescent="0.25">
      <c r="BI340" s="1"/>
      <c r="BJ340" s="345"/>
      <c r="BK340" s="346"/>
      <c r="BL340" s="440"/>
      <c r="BN340" s="375">
        <f t="shared" si="117"/>
        <v>2036</v>
      </c>
      <c r="BO340" s="442">
        <f t="shared" ca="1" si="115"/>
        <v>-465.92733482999114</v>
      </c>
      <c r="BP340" s="442">
        <f t="shared" ref="BP340:BT349" ca="1" si="118">OFFSET($BG19,MATCH(BP$326,$A:$A),0)</f>
        <v>-670.42974247042832</v>
      </c>
      <c r="BQ340" s="442">
        <f t="shared" ca="1" si="118"/>
        <v>33.656828151532089</v>
      </c>
      <c r="BR340" s="442">
        <f t="shared" ca="1" si="118"/>
        <v>-1833.7104997488132</v>
      </c>
      <c r="BS340" s="442">
        <f t="shared" ca="1" si="118"/>
        <v>35480.523387408321</v>
      </c>
      <c r="BT340" s="442">
        <f t="shared" ca="1" si="118"/>
        <v>44181.274851255155</v>
      </c>
    </row>
    <row r="341" spans="61:72" x14ac:dyDescent="0.25">
      <c r="BI341" s="1"/>
      <c r="BJ341" s="345"/>
      <c r="BK341" s="346"/>
      <c r="BL341" s="440"/>
      <c r="BN341" s="375">
        <f t="shared" si="117"/>
        <v>2037</v>
      </c>
      <c r="BO341" s="442">
        <f t="shared" ca="1" si="115"/>
        <v>-538.02720352570589</v>
      </c>
      <c r="BP341" s="442">
        <f t="shared" ca="1" si="118"/>
        <v>-668.09252031978633</v>
      </c>
      <c r="BQ341" s="442">
        <f t="shared" ca="1" si="118"/>
        <v>33.430162274042161</v>
      </c>
      <c r="BR341" s="442">
        <f t="shared" ca="1" si="118"/>
        <v>-1885.9307814864028</v>
      </c>
      <c r="BS341" s="442">
        <f t="shared" ca="1" si="118"/>
        <v>36046.744264118512</v>
      </c>
      <c r="BT341" s="442">
        <f t="shared" ca="1" si="118"/>
        <v>44348.079567893801</v>
      </c>
    </row>
    <row r="342" spans="61:72" x14ac:dyDescent="0.25">
      <c r="BI342" s="1"/>
      <c r="BJ342" s="345"/>
      <c r="BK342" s="346"/>
      <c r="BL342" s="440"/>
      <c r="BN342" s="375">
        <f t="shared" si="117"/>
        <v>2038</v>
      </c>
      <c r="BO342" s="442">
        <f t="shared" ca="1" si="115"/>
        <v>-607.18168994361633</v>
      </c>
      <c r="BP342" s="442">
        <f t="shared" ca="1" si="118"/>
        <v>-665.5972513352657</v>
      </c>
      <c r="BQ342" s="442">
        <f t="shared" ca="1" si="118"/>
        <v>33.199767263085462</v>
      </c>
      <c r="BR342" s="442">
        <f t="shared" ca="1" si="118"/>
        <v>-1870.120862578282</v>
      </c>
      <c r="BS342" s="442">
        <f t="shared" ca="1" si="118"/>
        <v>36578.065919465756</v>
      </c>
      <c r="BT342" s="442">
        <f t="shared" ca="1" si="118"/>
        <v>44492.129489642706</v>
      </c>
    </row>
    <row r="343" spans="61:72" x14ac:dyDescent="0.25">
      <c r="BI343" s="1"/>
      <c r="BJ343" s="345"/>
      <c r="BK343" s="346"/>
      <c r="BL343" s="440"/>
      <c r="BN343" s="375">
        <f t="shared" si="117"/>
        <v>2039</v>
      </c>
      <c r="BO343" s="442">
        <f t="shared" ca="1" si="115"/>
        <v>-673.4774138648603</v>
      </c>
      <c r="BP343" s="442">
        <f t="shared" ca="1" si="118"/>
        <v>-662.95087859855289</v>
      </c>
      <c r="BQ343" s="442">
        <f t="shared" ca="1" si="118"/>
        <v>32.965870373010958</v>
      </c>
      <c r="BR343" s="442">
        <f t="shared" ca="1" si="118"/>
        <v>-1854.2215578657826</v>
      </c>
      <c r="BS343" s="442">
        <f t="shared" ca="1" si="118"/>
        <v>37075.621229983</v>
      </c>
      <c r="BT343" s="442">
        <f t="shared" ca="1" si="118"/>
        <v>44614.238112785963</v>
      </c>
    </row>
    <row r="344" spans="61:72" x14ac:dyDescent="0.25">
      <c r="BI344" s="1"/>
      <c r="BJ344" s="345"/>
      <c r="BK344" s="346"/>
      <c r="BL344" s="440"/>
      <c r="BN344" s="375">
        <f t="shared" si="117"/>
        <v>2040</v>
      </c>
      <c r="BO344" s="442">
        <f t="shared" ca="1" si="115"/>
        <v>-736.99875280912363</v>
      </c>
      <c r="BP344" s="442">
        <f t="shared" ca="1" si="118"/>
        <v>-660.16013659900091</v>
      </c>
      <c r="BQ344" s="442">
        <f t="shared" ca="1" si="118"/>
        <v>32.728691496732552</v>
      </c>
      <c r="BR344" s="442">
        <f t="shared" ca="1" si="118"/>
        <v>-1838.2421521279596</v>
      </c>
      <c r="BS344" s="442">
        <f t="shared" ca="1" si="118"/>
        <v>37540.512406545633</v>
      </c>
      <c r="BT344" s="442">
        <f t="shared" ca="1" si="118"/>
        <v>44715.196060523667</v>
      </c>
    </row>
    <row r="345" spans="61:72" x14ac:dyDescent="0.25">
      <c r="BI345" s="1"/>
      <c r="BJ345" s="345"/>
      <c r="BK345" s="346"/>
      <c r="BL345" s="440"/>
      <c r="BN345" s="375">
        <f t="shared" si="117"/>
        <v>2041</v>
      </c>
      <c r="BO345" s="442">
        <f t="shared" ca="1" si="115"/>
        <v>-797.82789624152724</v>
      </c>
      <c r="BP345" s="442">
        <f t="shared" ca="1" si="118"/>
        <v>-918.49721316612965</v>
      </c>
      <c r="BQ345" s="442">
        <f t="shared" ca="1" si="118"/>
        <v>32.488443364816938</v>
      </c>
      <c r="BR345" s="442">
        <f t="shared" ca="1" si="118"/>
        <v>-1822.1916060938602</v>
      </c>
      <c r="BS345" s="442">
        <f t="shared" ca="1" si="118"/>
        <v>37973.811754856659</v>
      </c>
      <c r="BT345" s="442">
        <f t="shared" ca="1" si="118"/>
        <v>44795.771661856961</v>
      </c>
    </row>
    <row r="346" spans="61:72" x14ac:dyDescent="0.25">
      <c r="BI346" s="1"/>
      <c r="BJ346" s="345"/>
      <c r="BK346" s="346"/>
      <c r="BL346" s="440"/>
      <c r="BN346" s="375">
        <f t="shared" si="117"/>
        <v>2042</v>
      </c>
      <c r="BO346" s="442">
        <f t="shared" ca="1" si="115"/>
        <v>-908.58981872435982</v>
      </c>
      <c r="BP346" s="442">
        <f t="shared" ca="1" si="118"/>
        <v>-914.22866028526323</v>
      </c>
      <c r="BQ346" s="442">
        <f t="shared" ca="1" si="118"/>
        <v>32.245331739642559</v>
      </c>
      <c r="BR346" s="442">
        <f t="shared" ca="1" si="118"/>
        <v>-1806.0785654722642</v>
      </c>
      <c r="BS346" s="442">
        <f t="shared" ca="1" si="118"/>
        <v>38376.562418023132</v>
      </c>
      <c r="BT346" s="442">
        <f t="shared" ca="1" si="118"/>
        <v>44856.711516666925</v>
      </c>
    </row>
    <row r="347" spans="61:72" x14ac:dyDescent="0.25">
      <c r="BI347" s="1"/>
      <c r="BJ347" s="345"/>
      <c r="BK347" s="346"/>
      <c r="BL347" s="440"/>
      <c r="BN347" s="375">
        <f t="shared" si="117"/>
        <v>2043</v>
      </c>
      <c r="BO347" s="442">
        <f t="shared" ca="1" si="115"/>
        <v>-963.81217671329762</v>
      </c>
      <c r="BP347" s="442">
        <f t="shared" ca="1" si="118"/>
        <v>-909.78460159316808</v>
      </c>
      <c r="BQ347" s="442">
        <f t="shared" ca="1" si="118"/>
        <v>31.999555604723</v>
      </c>
      <c r="BR347" s="442">
        <f t="shared" ca="1" si="118"/>
        <v>-1789.9113697539813</v>
      </c>
      <c r="BS347" s="442">
        <f t="shared" ca="1" si="118"/>
        <v>38749.779101631822</v>
      </c>
      <c r="BT347" s="442">
        <f t="shared" ca="1" si="118"/>
        <v>44898.741047304444</v>
      </c>
    </row>
    <row r="348" spans="61:72" x14ac:dyDescent="0.25">
      <c r="BI348" s="1"/>
      <c r="BJ348" s="345"/>
      <c r="BK348" s="346"/>
      <c r="BL348" s="440"/>
      <c r="BN348" s="375">
        <f t="shared" si="117"/>
        <v>2044</v>
      </c>
      <c r="BO348" s="442">
        <f t="shared" ca="1" si="115"/>
        <v>-1016.5745809117125</v>
      </c>
      <c r="BP348" s="442">
        <f t="shared" ca="1" si="118"/>
        <v>-905.17336592019115</v>
      </c>
      <c r="BQ348" s="442">
        <f t="shared" ca="1" si="118"/>
        <v>31.751307349350334</v>
      </c>
      <c r="BR348" s="442">
        <f t="shared" ca="1" si="118"/>
        <v>-1773.6980607920714</v>
      </c>
      <c r="BS348" s="442">
        <f t="shared" ca="1" si="118"/>
        <v>39094.448781722327</v>
      </c>
      <c r="BT348" s="442">
        <f t="shared" ca="1" si="118"/>
        <v>44922.565037001601</v>
      </c>
    </row>
    <row r="349" spans="61:72" x14ac:dyDescent="0.25">
      <c r="BI349" s="1"/>
      <c r="BJ349" s="345"/>
      <c r="BK349" s="346"/>
      <c r="BL349" s="440"/>
      <c r="BN349" s="375">
        <f t="shared" si="117"/>
        <v>2045</v>
      </c>
      <c r="BO349" s="442">
        <f t="shared" ca="1" si="115"/>
        <v>-1066.9512224572643</v>
      </c>
      <c r="BP349" s="442">
        <f t="shared" ca="1" si="118"/>
        <v>-900.40302666304183</v>
      </c>
      <c r="BQ349" s="442">
        <f t="shared" ca="1" si="118"/>
        <v>31.500772948618927</v>
      </c>
      <c r="BR349" s="442">
        <f t="shared" ca="1" si="118"/>
        <v>-1757.4463911653229</v>
      </c>
      <c r="BS349" s="442">
        <f t="shared" ca="1" si="118"/>
        <v>39411.531396046834</v>
      </c>
      <c r="BT349" s="442">
        <f t="shared" ca="1" si="118"/>
        <v>44928.868155405849</v>
      </c>
    </row>
    <row r="350" spans="61:72" x14ac:dyDescent="0.25">
      <c r="BI350" s="1"/>
      <c r="BJ350" s="345"/>
      <c r="BK350" s="346"/>
      <c r="BL350" s="440"/>
      <c r="BN350" s="385"/>
      <c r="BO350" s="389"/>
      <c r="BP350" s="389"/>
      <c r="BQ350" s="389"/>
      <c r="BR350" s="389"/>
      <c r="BS350" s="389"/>
      <c r="BT350" s="389"/>
    </row>
    <row r="351" spans="61:72" x14ac:dyDescent="0.25">
      <c r="BI351" s="1"/>
      <c r="BJ351" s="345"/>
      <c r="BK351" s="346"/>
      <c r="BL351" s="440"/>
      <c r="BN351" s="407" t="s">
        <v>56</v>
      </c>
      <c r="BO351" s="408">
        <f t="shared" ref="BO351:BT351" ca="1" si="119">SUM(BO330:BO349)</f>
        <v>-7358.3574170639176</v>
      </c>
      <c r="BP351" s="408">
        <f t="shared" ca="1" si="119"/>
        <v>-14014.052051111408</v>
      </c>
      <c r="BQ351" s="408">
        <f t="shared" ca="1" si="119"/>
        <v>4035.1148584461071</v>
      </c>
      <c r="BR351" s="408">
        <f t="shared" ca="1" si="119"/>
        <v>-29986.856527757063</v>
      </c>
      <c r="BS351" s="408">
        <f t="shared" ca="1" si="119"/>
        <v>754932.15233385714</v>
      </c>
      <c r="BT351" s="408">
        <f t="shared" ca="1" si="119"/>
        <v>962138.2055161671</v>
      </c>
    </row>
    <row r="352" spans="61:72" x14ac:dyDescent="0.25">
      <c r="BI352" s="1"/>
      <c r="BJ352" s="345"/>
      <c r="BK352" s="346"/>
      <c r="BL352" s="440"/>
    </row>
    <row r="353" spans="61:72" x14ac:dyDescent="0.25">
      <c r="BI353" s="1"/>
      <c r="BJ353" s="345"/>
      <c r="BK353" s="346"/>
      <c r="BL353" s="440"/>
    </row>
    <row r="354" spans="61:72" x14ac:dyDescent="0.25">
      <c r="BI354" s="1"/>
      <c r="BJ354" s="345"/>
      <c r="BK354" s="346"/>
      <c r="BL354" s="440"/>
    </row>
    <row r="355" spans="61:72" ht="21" x14ac:dyDescent="0.35">
      <c r="BI355" s="1"/>
      <c r="BJ355" s="345"/>
      <c r="BK355" s="346"/>
      <c r="BL355" s="440"/>
      <c r="BN355" s="316" t="s">
        <v>360</v>
      </c>
    </row>
    <row r="356" spans="61:72" x14ac:dyDescent="0.25">
      <c r="BI356" s="1"/>
      <c r="BJ356" s="345"/>
      <c r="BK356" s="346"/>
      <c r="BL356" s="440"/>
      <c r="BN356" s="2"/>
      <c r="BO356" s="310"/>
      <c r="BP356" s="310"/>
      <c r="BQ356" s="310"/>
      <c r="BR356" s="310"/>
      <c r="BS356" s="310"/>
      <c r="BT356" s="310"/>
    </row>
    <row r="357" spans="61:72" x14ac:dyDescent="0.25">
      <c r="BI357" s="1"/>
      <c r="BJ357" s="345"/>
      <c r="BK357" s="346"/>
      <c r="BL357" s="440"/>
    </row>
    <row r="358" spans="61:72" x14ac:dyDescent="0.25">
      <c r="BI358" s="1"/>
      <c r="BJ358" s="345"/>
      <c r="BK358" s="346"/>
      <c r="BL358" s="440"/>
    </row>
    <row r="359" spans="61:72" x14ac:dyDescent="0.25">
      <c r="BI359" s="1"/>
      <c r="BJ359" s="345"/>
      <c r="BK359" s="346"/>
      <c r="BL359" s="440"/>
    </row>
    <row r="360" spans="61:72" x14ac:dyDescent="0.25">
      <c r="BI360" s="1"/>
      <c r="BJ360" s="345"/>
      <c r="BK360" s="346"/>
      <c r="BL360" s="440"/>
      <c r="BN360" s="322"/>
      <c r="BO360" s="52">
        <v>1</v>
      </c>
      <c r="BP360" s="52">
        <v>2</v>
      </c>
      <c r="BQ360" s="52">
        <v>3</v>
      </c>
      <c r="BR360" s="52">
        <v>4</v>
      </c>
      <c r="BS360" s="52">
        <v>5</v>
      </c>
      <c r="BT360" s="52">
        <v>6</v>
      </c>
    </row>
    <row r="361" spans="61:72" x14ac:dyDescent="0.25">
      <c r="BI361" s="1"/>
      <c r="BJ361" s="345"/>
      <c r="BK361" s="346"/>
      <c r="BL361" s="440"/>
      <c r="BN361" s="335"/>
      <c r="BO361" s="1777" t="str">
        <f t="shared" ref="BO361:BT361" si="120">IF(ISBLANK(INDEX(ModelGroup,BO360,1)),"Not Used",INDEX(ModelGroup,BO360,1))</f>
        <v>SB Off-ramp to Ave 280</v>
      </c>
      <c r="BP361" s="1777" t="str">
        <f t="shared" si="120"/>
        <v>SB On-ramp from Ave 280</v>
      </c>
      <c r="BQ361" s="1777" t="str">
        <f t="shared" si="120"/>
        <v>NB Off-ramp to Ave 280</v>
      </c>
      <c r="BR361" s="1777" t="str">
        <f t="shared" si="120"/>
        <v>NB On-ramp from Ave 280</v>
      </c>
      <c r="BS361" s="1777" t="str">
        <f t="shared" si="120"/>
        <v>NB Mainline</v>
      </c>
      <c r="BT361" s="1777" t="str">
        <f t="shared" si="120"/>
        <v>SB Mainline</v>
      </c>
    </row>
    <row r="362" spans="61:72" x14ac:dyDescent="0.25">
      <c r="BI362" s="1"/>
      <c r="BJ362" s="345"/>
      <c r="BK362" s="346"/>
      <c r="BL362" s="440"/>
      <c r="BN362" s="77" t="s">
        <v>34</v>
      </c>
      <c r="BO362" s="1778"/>
      <c r="BP362" s="1778"/>
      <c r="BQ362" s="1778"/>
      <c r="BR362" s="1778"/>
      <c r="BS362" s="1778"/>
      <c r="BT362" s="1778"/>
    </row>
    <row r="363" spans="61:72" x14ac:dyDescent="0.25">
      <c r="BI363" s="1"/>
      <c r="BJ363" s="345"/>
      <c r="BK363" s="346"/>
      <c r="BL363" s="440"/>
      <c r="BN363" s="355"/>
      <c r="BO363" s="1779"/>
      <c r="BP363" s="1779"/>
      <c r="BQ363" s="1779"/>
      <c r="BR363" s="1779"/>
      <c r="BS363" s="1779"/>
      <c r="BT363" s="1779"/>
    </row>
    <row r="364" spans="61:72" x14ac:dyDescent="0.25">
      <c r="BI364" s="1"/>
      <c r="BJ364" s="345"/>
      <c r="BK364" s="346"/>
      <c r="BL364" s="440"/>
      <c r="BN364" s="375">
        <f>YearOpen</f>
        <v>2026</v>
      </c>
      <c r="BO364" s="441">
        <f t="shared" ref="BO364:BO383" ca="1" si="121">OFFSET($BH9,MATCH(BO$360,$A:$A),0)</f>
        <v>123.83054158324938</v>
      </c>
      <c r="BP364" s="441">
        <f t="shared" ref="BP364:BT373" ca="1" si="122">OFFSET($BH9,MATCH(BP$360,$A:$A),0)</f>
        <v>-68.799726244873682</v>
      </c>
      <c r="BQ364" s="441">
        <f t="shared" ca="1" si="122"/>
        <v>259.19391837170457</v>
      </c>
      <c r="BR364" s="441">
        <f t="shared" ca="1" si="122"/>
        <v>-192.28184110517955</v>
      </c>
      <c r="BS364" s="441">
        <f t="shared" ca="1" si="122"/>
        <v>7057.9092265991167</v>
      </c>
      <c r="BT364" s="441">
        <f t="shared" ca="1" si="122"/>
        <v>10491.323603858933</v>
      </c>
    </row>
    <row r="365" spans="61:72" x14ac:dyDescent="0.25">
      <c r="BI365" s="1"/>
      <c r="BJ365" s="345"/>
      <c r="BK365" s="346"/>
      <c r="BL365" s="440"/>
      <c r="BN365" s="375">
        <f>BN364+1</f>
        <v>2027</v>
      </c>
      <c r="BO365" s="442">
        <f t="shared" ca="1" si="121"/>
        <v>91.775008029043804</v>
      </c>
      <c r="BP365" s="442">
        <f t="shared" ca="1" si="122"/>
        <v>-67.412807553333863</v>
      </c>
      <c r="BQ365" s="442">
        <f t="shared" ca="1" si="122"/>
        <v>253.95414985651308</v>
      </c>
      <c r="BR365" s="442">
        <f t="shared" ca="1" si="122"/>
        <v>-187.12459721059918</v>
      </c>
      <c r="BS365" s="442">
        <f t="shared" ca="1" si="122"/>
        <v>7166.1946074870521</v>
      </c>
      <c r="BT365" s="442">
        <f t="shared" ca="1" si="122"/>
        <v>10396.96311567311</v>
      </c>
    </row>
    <row r="366" spans="61:72" x14ac:dyDescent="0.25">
      <c r="BI366" s="1"/>
      <c r="BJ366" s="345"/>
      <c r="BK366" s="346"/>
      <c r="BL366" s="440"/>
      <c r="BN366" s="375">
        <f t="shared" ref="BN366:BN383" si="123">BN365+1</f>
        <v>2028</v>
      </c>
      <c r="BO366" s="442">
        <f t="shared" ca="1" si="121"/>
        <v>62.002103473707706</v>
      </c>
      <c r="BP366" s="442">
        <f t="shared" ca="1" si="122"/>
        <v>-66.030800172023532</v>
      </c>
      <c r="BQ366" s="442">
        <f t="shared" ca="1" si="122"/>
        <v>248.73401750170368</v>
      </c>
      <c r="BR366" s="442">
        <f t="shared" ca="1" si="122"/>
        <v>-182.07962379148242</v>
      </c>
      <c r="BS366" s="442">
        <f t="shared" ca="1" si="122"/>
        <v>7255.7096495691521</v>
      </c>
      <c r="BT366" s="442">
        <f t="shared" ca="1" si="122"/>
        <v>10294.341417105354</v>
      </c>
    </row>
    <row r="367" spans="61:72" x14ac:dyDescent="0.25">
      <c r="BI367" s="1"/>
      <c r="BJ367" s="345"/>
      <c r="BK367" s="346"/>
      <c r="BL367" s="440"/>
      <c r="BN367" s="375">
        <f t="shared" si="123"/>
        <v>2029</v>
      </c>
      <c r="BO367" s="442">
        <f t="shared" ca="1" si="121"/>
        <v>34.383660499508061</v>
      </c>
      <c r="BP367" s="442">
        <f t="shared" ca="1" si="122"/>
        <v>-64.655377962717438</v>
      </c>
      <c r="BQ367" s="442">
        <f t="shared" ca="1" si="122"/>
        <v>243.53976197025784</v>
      </c>
      <c r="BR367" s="442">
        <f t="shared" ca="1" si="122"/>
        <v>-177.14591371642391</v>
      </c>
      <c r="BS367" s="442">
        <f t="shared" ca="1" si="122"/>
        <v>7327.7380395865021</v>
      </c>
      <c r="BT367" s="442">
        <f t="shared" ca="1" si="122"/>
        <v>10184.233572398336</v>
      </c>
    </row>
    <row r="368" spans="61:72" x14ac:dyDescent="0.25">
      <c r="BI368" s="1"/>
      <c r="BJ368" s="345"/>
      <c r="BK368" s="346"/>
      <c r="BL368" s="440"/>
      <c r="BN368" s="375">
        <f t="shared" si="123"/>
        <v>2030</v>
      </c>
      <c r="BO368" s="442">
        <f t="shared" ca="1" si="121"/>
        <v>8.7979940507297076</v>
      </c>
      <c r="BP368" s="442">
        <f t="shared" ca="1" si="122"/>
        <v>-63.288078763340089</v>
      </c>
      <c r="BQ368" s="442">
        <f t="shared" ca="1" si="122"/>
        <v>238.37711482658275</v>
      </c>
      <c r="BR368" s="442">
        <f t="shared" ca="1" si="122"/>
        <v>-172.32237124508097</v>
      </c>
      <c r="BS368" s="442">
        <f t="shared" ca="1" si="122"/>
        <v>7383.4924859197199</v>
      </c>
      <c r="BT368" s="442">
        <f t="shared" ca="1" si="122"/>
        <v>10067.367246193735</v>
      </c>
    </row>
    <row r="369" spans="61:72" x14ac:dyDescent="0.25">
      <c r="BI369" s="1"/>
      <c r="BJ369" s="345"/>
      <c r="BK369" s="346"/>
      <c r="BL369" s="440"/>
      <c r="BN369" s="375">
        <f t="shared" si="123"/>
        <v>2031</v>
      </c>
      <c r="BO369" s="442">
        <f t="shared" ca="1" si="121"/>
        <v>-14.87040761278686</v>
      </c>
      <c r="BP369" s="442">
        <f t="shared" ca="1" si="122"/>
        <v>-61.930312375212267</v>
      </c>
      <c r="BQ369" s="442">
        <f t="shared" ca="1" si="122"/>
        <v>261.12785613295364</v>
      </c>
      <c r="BR369" s="442">
        <f t="shared" ca="1" si="122"/>
        <v>-167.60782033408225</v>
      </c>
      <c r="BS369" s="442">
        <f t="shared" ca="1" si="122"/>
        <v>7424.1182795178802</v>
      </c>
      <c r="BT369" s="442">
        <f t="shared" ca="1" si="122"/>
        <v>9944.4252031108153</v>
      </c>
    </row>
    <row r="370" spans="61:72" x14ac:dyDescent="0.25">
      <c r="BI370" s="1"/>
      <c r="BJ370" s="345"/>
      <c r="BK370" s="346"/>
      <c r="BL370" s="440"/>
      <c r="BN370" s="375">
        <f t="shared" si="123"/>
        <v>2032</v>
      </c>
      <c r="BO370" s="442">
        <f t="shared" ca="1" si="121"/>
        <v>-36.731177778593661</v>
      </c>
      <c r="BP370" s="442">
        <f t="shared" ca="1" si="122"/>
        <v>-80.278629486231893</v>
      </c>
      <c r="BQ370" s="442">
        <f t="shared" ca="1" si="122"/>
        <v>255.44000319073368</v>
      </c>
      <c r="BR370" s="442">
        <f t="shared" ca="1" si="122"/>
        <v>-163.00101243510611</v>
      </c>
      <c r="BS370" s="442">
        <f t="shared" ca="1" si="122"/>
        <v>7450.6966859074028</v>
      </c>
      <c r="BT370" s="442">
        <f t="shared" ca="1" si="122"/>
        <v>9816.0476851671247</v>
      </c>
    </row>
    <row r="371" spans="61:72" x14ac:dyDescent="0.25">
      <c r="BI371" s="1"/>
      <c r="BJ371" s="345"/>
      <c r="BK371" s="346"/>
      <c r="BL371" s="440"/>
      <c r="BN371" s="375">
        <f t="shared" si="123"/>
        <v>2033</v>
      </c>
      <c r="BO371" s="442">
        <f t="shared" ca="1" si="121"/>
        <v>-18.178965276957452</v>
      </c>
      <c r="BP371" s="442">
        <f t="shared" ca="1" si="122"/>
        <v>-74.121133565621136</v>
      </c>
      <c r="BQ371" s="442">
        <f t="shared" ca="1" si="122"/>
        <v>173.13398872567313</v>
      </c>
      <c r="BR371" s="442">
        <f t="shared" ca="1" si="122"/>
        <v>-917.70758394505162</v>
      </c>
      <c r="BS371" s="442">
        <f t="shared" ca="1" si="122"/>
        <v>4227.4999041999654</v>
      </c>
      <c r="BT371" s="442">
        <f t="shared" ca="1" si="122"/>
        <v>5484.0329107724228</v>
      </c>
    </row>
    <row r="372" spans="61:72" x14ac:dyDescent="0.25">
      <c r="BI372" s="1"/>
      <c r="BJ372" s="345"/>
      <c r="BK372" s="346"/>
      <c r="BL372" s="440"/>
      <c r="BN372" s="375">
        <f t="shared" si="123"/>
        <v>2034</v>
      </c>
      <c r="BO372" s="442">
        <f t="shared" ca="1" si="121"/>
        <v>-24.107443831708448</v>
      </c>
      <c r="BP372" s="442">
        <f t="shared" ca="1" si="122"/>
        <v>-72.473547573179218</v>
      </c>
      <c r="BQ372" s="442">
        <f t="shared" ca="1" si="122"/>
        <v>169.27764735437123</v>
      </c>
      <c r="BR372" s="442">
        <f t="shared" ca="1" si="122"/>
        <v>-892.77524408247223</v>
      </c>
      <c r="BS372" s="442">
        <f t="shared" ca="1" si="122"/>
        <v>4228.3422764161487</v>
      </c>
      <c r="BT372" s="442">
        <f t="shared" ca="1" si="122"/>
        <v>5406.1650885600984</v>
      </c>
    </row>
    <row r="373" spans="61:72" x14ac:dyDescent="0.25">
      <c r="BI373" s="1"/>
      <c r="BJ373" s="345"/>
      <c r="BK373" s="346"/>
      <c r="BL373" s="440"/>
      <c r="BN373" s="375">
        <f t="shared" si="123"/>
        <v>2035</v>
      </c>
      <c r="BO373" s="442">
        <f t="shared" ca="1" si="121"/>
        <v>-29.552993614086656</v>
      </c>
      <c r="BP373" s="442">
        <f t="shared" ca="1" si="122"/>
        <v>-70.843052317484776</v>
      </c>
      <c r="BQ373" s="442">
        <f t="shared" ca="1" si="122"/>
        <v>165.46183225907845</v>
      </c>
      <c r="BR373" s="442">
        <f t="shared" ca="1" si="122"/>
        <v>-868.40322091946291</v>
      </c>
      <c r="BS373" s="442">
        <f t="shared" ca="1" si="122"/>
        <v>4222.8661526864034</v>
      </c>
      <c r="BT373" s="442">
        <f t="shared" ca="1" si="122"/>
        <v>5326.1746241055598</v>
      </c>
    </row>
    <row r="374" spans="61:72" x14ac:dyDescent="0.25">
      <c r="BI374" s="1"/>
      <c r="BJ374" s="345"/>
      <c r="BK374" s="346"/>
      <c r="BL374" s="440"/>
      <c r="BN374" s="375">
        <f t="shared" si="123"/>
        <v>2036</v>
      </c>
      <c r="BO374" s="442">
        <f t="shared" ca="1" si="121"/>
        <v>-34.543993052507346</v>
      </c>
      <c r="BP374" s="442">
        <f t="shared" ref="BP374:BT383" ca="1" si="124">OFFSET($BH19,MATCH(BP$360,$A:$A),0)</f>
        <v>-69.230770383865689</v>
      </c>
      <c r="BQ374" s="442">
        <f t="shared" ca="1" si="124"/>
        <v>161.68913068094653</v>
      </c>
      <c r="BR374" s="442">
        <f t="shared" ca="1" si="124"/>
        <v>-844.58529533100091</v>
      </c>
      <c r="BS374" s="442">
        <f t="shared" ca="1" si="124"/>
        <v>4211.5563250476853</v>
      </c>
      <c r="BT374" s="442">
        <f t="shared" ca="1" si="124"/>
        <v>5244.3399866674108</v>
      </c>
    </row>
    <row r="375" spans="61:72" x14ac:dyDescent="0.25">
      <c r="BI375" s="1"/>
      <c r="BJ375" s="345"/>
      <c r="BK375" s="346"/>
      <c r="BL375" s="440"/>
      <c r="BN375" s="375">
        <f t="shared" si="123"/>
        <v>2037</v>
      </c>
      <c r="BO375" s="442">
        <f t="shared" ca="1" si="121"/>
        <v>-39.107352011028524</v>
      </c>
      <c r="BP375" s="442">
        <f t="shared" ca="1" si="124"/>
        <v>-67.637712722777309</v>
      </c>
      <c r="BQ375" s="442">
        <f t="shared" ca="1" si="124"/>
        <v>157.96187089246524</v>
      </c>
      <c r="BR375" s="442">
        <f t="shared" ca="1" si="124"/>
        <v>-808.03679761175658</v>
      </c>
      <c r="BS375" s="442">
        <f t="shared" ca="1" si="124"/>
        <v>4194.8696407292691</v>
      </c>
      <c r="BT375" s="442">
        <f t="shared" ca="1" si="124"/>
        <v>5160.9213647953584</v>
      </c>
    </row>
    <row r="376" spans="61:72" x14ac:dyDescent="0.25">
      <c r="BI376" s="1"/>
      <c r="BJ376" s="345"/>
      <c r="BK376" s="346"/>
      <c r="BL376" s="440"/>
      <c r="BN376" s="375">
        <f t="shared" si="123"/>
        <v>2038</v>
      </c>
      <c r="BO376" s="442">
        <f t="shared" ca="1" si="121"/>
        <v>-43.268582775917153</v>
      </c>
      <c r="BP376" s="442">
        <f t="shared" ca="1" si="124"/>
        <v>-66.064785576470982</v>
      </c>
      <c r="BQ376" s="442">
        <f t="shared" ca="1" si="124"/>
        <v>154.28213829084794</v>
      </c>
      <c r="BR376" s="442">
        <f t="shared" ca="1" si="124"/>
        <v>-785.67377119016123</v>
      </c>
      <c r="BS376" s="442">
        <f t="shared" ca="1" si="124"/>
        <v>4173.2364346053973</v>
      </c>
      <c r="BT376" s="442">
        <f t="shared" ca="1" si="124"/>
        <v>5076.1616606018169</v>
      </c>
    </row>
    <row r="377" spans="61:72" x14ac:dyDescent="0.25">
      <c r="BI377" s="1"/>
      <c r="BJ377" s="345"/>
      <c r="BK377" s="346"/>
      <c r="BL377" s="440"/>
      <c r="BN377" s="375">
        <f t="shared" si="123"/>
        <v>2039</v>
      </c>
      <c r="BO377" s="442">
        <f t="shared" ca="1" si="121"/>
        <v>-47.05186775414122</v>
      </c>
      <c r="BP377" s="442">
        <f t="shared" ca="1" si="124"/>
        <v>-64.512797037982949</v>
      </c>
      <c r="BQ377" s="442">
        <f t="shared" ca="1" si="124"/>
        <v>150.65179063655555</v>
      </c>
      <c r="BR377" s="442">
        <f t="shared" ca="1" si="124"/>
        <v>-763.83565686370071</v>
      </c>
      <c r="BS377" s="442">
        <f t="shared" ca="1" si="124"/>
        <v>4147.0618927976639</v>
      </c>
      <c r="BT377" s="442">
        <f t="shared" ca="1" si="124"/>
        <v>4990.2874345935925</v>
      </c>
    </row>
    <row r="378" spans="61:72" x14ac:dyDescent="0.25">
      <c r="BI378" s="1"/>
      <c r="BJ378" s="345"/>
      <c r="BK378" s="346"/>
      <c r="BL378" s="440"/>
      <c r="BN378" s="375">
        <f t="shared" si="123"/>
        <v>2040</v>
      </c>
      <c r="BO378" s="442">
        <f t="shared" ca="1" si="121"/>
        <v>-50.480124031709003</v>
      </c>
      <c r="BP378" s="442">
        <f t="shared" ca="1" si="124"/>
        <v>-62.982463260478561</v>
      </c>
      <c r="BQ378" s="442">
        <f t="shared" ca="1" si="124"/>
        <v>147.07247247890868</v>
      </c>
      <c r="BR378" s="442">
        <f t="shared" ca="1" si="124"/>
        <v>-742.51515817893517</v>
      </c>
      <c r="BS378" s="442">
        <f t="shared" ca="1" si="124"/>
        <v>4116.7273506044185</v>
      </c>
      <c r="BT378" s="442">
        <f t="shared" ca="1" si="124"/>
        <v>4903.5098033957565</v>
      </c>
    </row>
    <row r="379" spans="61:72" x14ac:dyDescent="0.25">
      <c r="BI379" s="1"/>
      <c r="BJ379" s="345"/>
      <c r="BK379" s="346"/>
      <c r="BL379" s="440"/>
      <c r="BN379" s="375">
        <f t="shared" si="123"/>
        <v>2041</v>
      </c>
      <c r="BO379" s="442">
        <f t="shared" ca="1" si="121"/>
        <v>-53.575064933259775</v>
      </c>
      <c r="BP379" s="442">
        <f t="shared" ca="1" si="124"/>
        <v>-90.545734163395153</v>
      </c>
      <c r="BQ379" s="442">
        <f t="shared" ca="1" si="124"/>
        <v>143.54562880877828</v>
      </c>
      <c r="BR379" s="442">
        <f t="shared" ca="1" si="124"/>
        <v>-721.70476345089196</v>
      </c>
      <c r="BS379" s="442">
        <f t="shared" ca="1" si="124"/>
        <v>4082.5915277917261</v>
      </c>
      <c r="BT379" s="442">
        <f t="shared" ca="1" si="124"/>
        <v>4816.0252925939176</v>
      </c>
    </row>
    <row r="380" spans="61:72" x14ac:dyDescent="0.25">
      <c r="BI380" s="1"/>
      <c r="BJ380" s="345"/>
      <c r="BK380" s="346"/>
      <c r="BL380" s="440"/>
      <c r="BN380" s="375">
        <f t="shared" si="123"/>
        <v>2042</v>
      </c>
      <c r="BO380" s="442">
        <f t="shared" ca="1" si="121"/>
        <v>-47.104243478234885</v>
      </c>
      <c r="BP380" s="442">
        <f t="shared" ca="1" si="124"/>
        <v>-88.358662774475576</v>
      </c>
      <c r="BQ380" s="442">
        <f t="shared" ca="1" si="124"/>
        <v>140.0725179764701</v>
      </c>
      <c r="BR380" s="442">
        <f t="shared" ca="1" si="124"/>
        <v>-701.39677311290666</v>
      </c>
      <c r="BS380" s="442">
        <f t="shared" ca="1" si="124"/>
        <v>4044.99170414421</v>
      </c>
      <c r="BT380" s="442">
        <f t="shared" ca="1" si="124"/>
        <v>4728.0166468191501</v>
      </c>
    </row>
    <row r="381" spans="61:72" x14ac:dyDescent="0.25">
      <c r="BI381" s="1"/>
      <c r="BJ381" s="345"/>
      <c r="BK381" s="346"/>
      <c r="BL381" s="440"/>
      <c r="BN381" s="375">
        <f t="shared" si="123"/>
        <v>2043</v>
      </c>
      <c r="BO381" s="442">
        <f t="shared" ca="1" si="121"/>
        <v>-49.854099229153242</v>
      </c>
      <c r="BP381" s="442">
        <f t="shared" ca="1" si="124"/>
        <v>-86.20588425250925</v>
      </c>
      <c r="BQ381" s="442">
        <f t="shared" ca="1" si="124"/>
        <v>136.65422391113108</v>
      </c>
      <c r="BR381" s="442">
        <f t="shared" ca="1" si="124"/>
        <v>-681.58332528102244</v>
      </c>
      <c r="BS381" s="442">
        <f t="shared" ca="1" si="124"/>
        <v>4004.244838043845</v>
      </c>
      <c r="BT381" s="442">
        <f t="shared" ca="1" si="124"/>
        <v>4639.6535991031014</v>
      </c>
    </row>
    <row r="382" spans="61:72" x14ac:dyDescent="0.25">
      <c r="BI382" s="1"/>
      <c r="BJ382" s="345"/>
      <c r="BK382" s="346"/>
      <c r="BL382" s="440"/>
      <c r="BN382" s="375">
        <f t="shared" si="123"/>
        <v>2044</v>
      </c>
      <c r="BO382" s="442">
        <f t="shared" ca="1" si="121"/>
        <v>-52.322746781068567</v>
      </c>
      <c r="BP382" s="442">
        <f t="shared" ca="1" si="124"/>
        <v>-84.087995997359101</v>
      </c>
      <c r="BQ382" s="442">
        <f t="shared" ca="1" si="124"/>
        <v>133.29166767629692</v>
      </c>
      <c r="BR382" s="442">
        <f t="shared" ca="1" si="124"/>
        <v>-662.2564196298265</v>
      </c>
      <c r="BS382" s="442">
        <f t="shared" ca="1" si="124"/>
        <v>3960.648630720224</v>
      </c>
      <c r="BT382" s="442">
        <f t="shared" ca="1" si="124"/>
        <v>4551.0936014379631</v>
      </c>
    </row>
    <row r="383" spans="61:72" x14ac:dyDescent="0.25">
      <c r="BI383" s="1"/>
      <c r="BJ383" s="345"/>
      <c r="BK383" s="346"/>
      <c r="BL383" s="440"/>
      <c r="BN383" s="375">
        <f t="shared" si="123"/>
        <v>2045</v>
      </c>
      <c r="BO383" s="442">
        <f t="shared" ca="1" si="121"/>
        <v>-54.52774969995334</v>
      </c>
      <c r="BP383" s="442">
        <f t="shared" ca="1" si="124"/>
        <v>-82.005498725959512</v>
      </c>
      <c r="BQ383" s="442">
        <f t="shared" ca="1" si="124"/>
        <v>129.9856183945696</v>
      </c>
      <c r="BR383" s="442">
        <f t="shared" ca="1" si="124"/>
        <v>-643.40793967179764</v>
      </c>
      <c r="BS383" s="442">
        <f t="shared" ca="1" si="124"/>
        <v>3914.4825386965776</v>
      </c>
      <c r="BT383" s="442">
        <f t="shared" ca="1" si="124"/>
        <v>4462.4825183874518</v>
      </c>
    </row>
    <row r="384" spans="61:72" x14ac:dyDescent="0.25">
      <c r="BI384" s="1"/>
      <c r="BJ384" s="345"/>
      <c r="BK384" s="346"/>
      <c r="BL384" s="440"/>
      <c r="BN384" s="385"/>
      <c r="BO384" s="389"/>
      <c r="BP384" s="389"/>
      <c r="BQ384" s="389"/>
      <c r="BR384" s="389"/>
      <c r="BS384" s="389"/>
      <c r="BT384" s="389"/>
    </row>
    <row r="385" spans="61:72" x14ac:dyDescent="0.25">
      <c r="BI385" s="1"/>
      <c r="BJ385" s="345"/>
      <c r="BK385" s="346"/>
      <c r="BL385" s="440"/>
      <c r="BN385" s="407" t="s">
        <v>56</v>
      </c>
      <c r="BO385" s="408">
        <f t="shared" ref="BO385:BT385" ca="1" si="125">SUM(BO364:BO383)</f>
        <v>-274.48750422486745</v>
      </c>
      <c r="BP385" s="408">
        <f t="shared" ca="1" si="125"/>
        <v>-1451.4657709092919</v>
      </c>
      <c r="BQ385" s="408">
        <f t="shared" ca="1" si="125"/>
        <v>3723.4473499365422</v>
      </c>
      <c r="BR385" s="408">
        <f t="shared" ca="1" si="125"/>
        <v>-11275.44512910694</v>
      </c>
      <c r="BS385" s="408">
        <f t="shared" ca="1" si="125"/>
        <v>104594.97819107036</v>
      </c>
      <c r="BT385" s="408">
        <f t="shared" ca="1" si="125"/>
        <v>135983.56637534103</v>
      </c>
    </row>
    <row r="386" spans="61:72" x14ac:dyDescent="0.25">
      <c r="BI386" s="1"/>
      <c r="BJ386" s="345"/>
      <c r="BK386" s="346"/>
      <c r="BL386" s="440"/>
    </row>
    <row r="387" spans="61:72" x14ac:dyDescent="0.25">
      <c r="BI387" s="1"/>
      <c r="BJ387" s="345"/>
      <c r="BK387" s="346"/>
      <c r="BL387" s="440"/>
    </row>
    <row r="388" spans="61:72" x14ac:dyDescent="0.25">
      <c r="BI388" s="1"/>
      <c r="BJ388" s="345"/>
      <c r="BK388" s="346"/>
      <c r="BL388" s="440"/>
    </row>
    <row r="389" spans="61:72" ht="21" x14ac:dyDescent="0.35">
      <c r="BI389" s="1"/>
      <c r="BJ389" s="345"/>
      <c r="BK389" s="346"/>
      <c r="BL389" s="440"/>
      <c r="BN389" s="316" t="s">
        <v>361</v>
      </c>
    </row>
    <row r="390" spans="61:72" x14ac:dyDescent="0.25">
      <c r="BI390" s="1"/>
      <c r="BJ390" s="345"/>
      <c r="BK390" s="346"/>
      <c r="BL390" s="440"/>
      <c r="BN390" s="2"/>
      <c r="BO390" s="310"/>
      <c r="BP390" s="310"/>
      <c r="BQ390" s="310"/>
      <c r="BR390" s="310"/>
      <c r="BS390" s="310"/>
      <c r="BT390" s="310"/>
    </row>
    <row r="391" spans="61:72" x14ac:dyDescent="0.25">
      <c r="BI391" s="1"/>
      <c r="BJ391" s="345"/>
      <c r="BK391" s="346"/>
      <c r="BL391" s="440"/>
    </row>
    <row r="392" spans="61:72" x14ac:dyDescent="0.25">
      <c r="BI392" s="1"/>
      <c r="BJ392" s="345"/>
      <c r="BK392" s="346"/>
      <c r="BL392" s="440"/>
    </row>
    <row r="393" spans="61:72" x14ac:dyDescent="0.25">
      <c r="BI393" s="1"/>
      <c r="BJ393" s="345"/>
      <c r="BK393" s="346"/>
      <c r="BL393" s="440"/>
    </row>
    <row r="394" spans="61:72" x14ac:dyDescent="0.25">
      <c r="BI394" s="1"/>
      <c r="BJ394" s="345"/>
      <c r="BK394" s="346"/>
      <c r="BL394" s="440"/>
      <c r="BN394" s="322"/>
      <c r="BO394" s="52">
        <v>1</v>
      </c>
      <c r="BP394" s="52">
        <v>2</v>
      </c>
      <c r="BQ394" s="52">
        <v>3</v>
      </c>
      <c r="BR394" s="52">
        <v>4</v>
      </c>
      <c r="BS394" s="52">
        <v>5</v>
      </c>
      <c r="BT394" s="52">
        <v>6</v>
      </c>
    </row>
    <row r="395" spans="61:72" x14ac:dyDescent="0.25">
      <c r="BI395" s="1"/>
      <c r="BJ395" s="345"/>
      <c r="BK395" s="346"/>
      <c r="BL395" s="440"/>
      <c r="BN395" s="335"/>
      <c r="BO395" s="1777" t="str">
        <f t="shared" ref="BO395:BT395" si="126">IF(ISBLANK(INDEX(ModelGroup,BO394,1)),"Not Used",INDEX(ModelGroup,BO394,1))</f>
        <v>SB Off-ramp to Ave 280</v>
      </c>
      <c r="BP395" s="1777" t="str">
        <f t="shared" si="126"/>
        <v>SB On-ramp from Ave 280</v>
      </c>
      <c r="BQ395" s="1777" t="str">
        <f t="shared" si="126"/>
        <v>NB Off-ramp to Ave 280</v>
      </c>
      <c r="BR395" s="1777" t="str">
        <f t="shared" si="126"/>
        <v>NB On-ramp from Ave 280</v>
      </c>
      <c r="BS395" s="1777" t="str">
        <f t="shared" si="126"/>
        <v>NB Mainline</v>
      </c>
      <c r="BT395" s="1777" t="str">
        <f t="shared" si="126"/>
        <v>SB Mainline</v>
      </c>
    </row>
    <row r="396" spans="61:72" x14ac:dyDescent="0.25">
      <c r="BI396" s="1"/>
      <c r="BJ396" s="345"/>
      <c r="BK396" s="346"/>
      <c r="BL396" s="440"/>
      <c r="BN396" s="77" t="s">
        <v>34</v>
      </c>
      <c r="BO396" s="1778"/>
      <c r="BP396" s="1778"/>
      <c r="BQ396" s="1778"/>
      <c r="BR396" s="1778"/>
      <c r="BS396" s="1778"/>
      <c r="BT396" s="1778"/>
    </row>
    <row r="397" spans="61:72" x14ac:dyDescent="0.25">
      <c r="BI397" s="1"/>
      <c r="BJ397" s="345"/>
      <c r="BK397" s="346"/>
      <c r="BL397" s="440"/>
      <c r="BN397" s="355"/>
      <c r="BO397" s="1779"/>
      <c r="BP397" s="1779"/>
      <c r="BQ397" s="1779"/>
      <c r="BR397" s="1779"/>
      <c r="BS397" s="1779"/>
      <c r="BT397" s="1779"/>
    </row>
    <row r="398" spans="61:72" x14ac:dyDescent="0.25">
      <c r="BI398" s="1"/>
      <c r="BJ398" s="345"/>
      <c r="BK398" s="346"/>
      <c r="BL398" s="440"/>
      <c r="BN398" s="375">
        <f>YearOpen</f>
        <v>2026</v>
      </c>
      <c r="BO398" s="441">
        <f t="shared" ref="BO398:BO417" ca="1" si="127">OFFSET($BI9,MATCH(BO$394,$A:$A),0)</f>
        <v>10.81666541695075</v>
      </c>
      <c r="BP398" s="441">
        <f t="shared" ref="BP398:BT407" ca="1" si="128">OFFSET($BI9,MATCH(BP$394,$A:$A),0)</f>
        <v>-15.155211854467263</v>
      </c>
      <c r="BQ398" s="441">
        <f t="shared" ca="1" si="128"/>
        <v>14.380746637823565</v>
      </c>
      <c r="BR398" s="441">
        <f t="shared" ca="1" si="128"/>
        <v>-306.29087889804407</v>
      </c>
      <c r="BS398" s="441">
        <f t="shared" ca="1" si="128"/>
        <v>1106.4186041414382</v>
      </c>
      <c r="BT398" s="441">
        <f t="shared" ca="1" si="128"/>
        <v>1644.6507378745368</v>
      </c>
    </row>
    <row r="399" spans="61:72" x14ac:dyDescent="0.25">
      <c r="BI399" s="1"/>
      <c r="BJ399" s="345"/>
      <c r="BK399" s="346"/>
      <c r="BL399" s="440"/>
      <c r="BN399" s="375">
        <f>BN398+1</f>
        <v>2027</v>
      </c>
      <c r="BO399" s="442">
        <f t="shared" ca="1" si="127"/>
        <v>8.0165970591411888</v>
      </c>
      <c r="BP399" s="442">
        <f t="shared" ca="1" si="128"/>
        <v>-14.850747499272401</v>
      </c>
      <c r="BQ399" s="442">
        <f t="shared" ca="1" si="128"/>
        <v>14.088424981382694</v>
      </c>
      <c r="BR399" s="442">
        <f t="shared" ca="1" si="128"/>
        <v>-298.2793822046138</v>
      </c>
      <c r="BS399" s="442">
        <f t="shared" ca="1" si="128"/>
        <v>1123.3937388625598</v>
      </c>
      <c r="BT399" s="442">
        <f t="shared" ca="1" si="128"/>
        <v>1629.8585102795423</v>
      </c>
    </row>
    <row r="400" spans="61:72" x14ac:dyDescent="0.25">
      <c r="BI400" s="1"/>
      <c r="BJ400" s="345"/>
      <c r="BK400" s="346"/>
      <c r="BL400" s="440"/>
      <c r="BN400" s="375">
        <f t="shared" ref="BN400:BN417" si="129">BN399+1</f>
        <v>2028</v>
      </c>
      <c r="BO400" s="442">
        <f t="shared" ca="1" si="127"/>
        <v>5.4159175906646944</v>
      </c>
      <c r="BP400" s="442">
        <f t="shared" ca="1" si="128"/>
        <v>-14.547284526645065</v>
      </c>
      <c r="BQ400" s="442">
        <f t="shared" ca="1" si="128"/>
        <v>13.797316312363636</v>
      </c>
      <c r="BR400" s="442">
        <f t="shared" ca="1" si="128"/>
        <v>-290.43106147148012</v>
      </c>
      <c r="BS400" s="442">
        <f t="shared" ca="1" si="128"/>
        <v>1137.4263800783012</v>
      </c>
      <c r="BT400" s="442">
        <f t="shared" ca="1" si="128"/>
        <v>1613.7712310529905</v>
      </c>
    </row>
    <row r="401" spans="61:72" x14ac:dyDescent="0.25">
      <c r="BI401" s="1"/>
      <c r="BJ401" s="345"/>
      <c r="BK401" s="346"/>
      <c r="BL401" s="440"/>
      <c r="BN401" s="375">
        <f t="shared" si="129"/>
        <v>2029</v>
      </c>
      <c r="BO401" s="442">
        <f t="shared" ca="1" si="127"/>
        <v>3.0034315176048016</v>
      </c>
      <c r="BP401" s="442">
        <f t="shared" ca="1" si="128"/>
        <v>-14.245196298214973</v>
      </c>
      <c r="BQ401" s="442">
        <f t="shared" ca="1" si="128"/>
        <v>13.507759752527422</v>
      </c>
      <c r="BR401" s="442">
        <f t="shared" ca="1" si="128"/>
        <v>-282.7452160281664</v>
      </c>
      <c r="BS401" s="442">
        <f t="shared" ca="1" si="128"/>
        <v>1148.7177622968782</v>
      </c>
      <c r="BT401" s="442">
        <f t="shared" ca="1" si="128"/>
        <v>1596.5104015446361</v>
      </c>
    </row>
    <row r="402" spans="61:72" x14ac:dyDescent="0.25">
      <c r="BI402" s="1"/>
      <c r="BJ402" s="345"/>
      <c r="BK402" s="346"/>
      <c r="BL402" s="440"/>
      <c r="BN402" s="375">
        <f t="shared" si="129"/>
        <v>2030</v>
      </c>
      <c r="BO402" s="442">
        <f t="shared" ca="1" si="127"/>
        <v>0.76850958390657409</v>
      </c>
      <c r="BP402" s="442">
        <f t="shared" ca="1" si="128"/>
        <v>-13.944825974151337</v>
      </c>
      <c r="BQ402" s="442">
        <f t="shared" ca="1" si="128"/>
        <v>13.22006654298573</v>
      </c>
      <c r="BR402" s="442">
        <f t="shared" ca="1" si="128"/>
        <v>-275.22095771736866</v>
      </c>
      <c r="BS402" s="442">
        <f t="shared" ca="1" si="128"/>
        <v>1157.4579932500037</v>
      </c>
      <c r="BT402" s="442">
        <f t="shared" ca="1" si="128"/>
        <v>1578.1900926034107</v>
      </c>
    </row>
    <row r="403" spans="61:72" x14ac:dyDescent="0.25">
      <c r="BI403" s="1"/>
      <c r="BJ403" s="345"/>
      <c r="BK403" s="346"/>
      <c r="BL403" s="440"/>
      <c r="BN403" s="375">
        <f t="shared" si="129"/>
        <v>2031</v>
      </c>
      <c r="BO403" s="442">
        <f t="shared" ca="1" si="127"/>
        <v>-1.2989382240007545</v>
      </c>
      <c r="BP403" s="442">
        <f t="shared" ca="1" si="128"/>
        <v>-13.64648828404199</v>
      </c>
      <c r="BQ403" s="442">
        <f t="shared" ca="1" si="128"/>
        <v>11.676258785877698</v>
      </c>
      <c r="BR403" s="442">
        <f t="shared" ca="1" si="128"/>
        <v>-267.85722635351368</v>
      </c>
      <c r="BS403" s="442">
        <f t="shared" ca="1" si="128"/>
        <v>1163.8266121145839</v>
      </c>
      <c r="BT403" s="442">
        <f t="shared" ca="1" si="128"/>
        <v>1558.9173364186959</v>
      </c>
    </row>
    <row r="404" spans="61:72" x14ac:dyDescent="0.25">
      <c r="BI404" s="1"/>
      <c r="BJ404" s="345"/>
      <c r="BK404" s="346"/>
      <c r="BL404" s="440"/>
      <c r="BN404" s="375">
        <f t="shared" si="129"/>
        <v>2032</v>
      </c>
      <c r="BO404" s="442">
        <f t="shared" ca="1" si="127"/>
        <v>-3.208488433642815</v>
      </c>
      <c r="BP404" s="442">
        <f t="shared" ca="1" si="128"/>
        <v>-20.919141578690923</v>
      </c>
      <c r="BQ404" s="442">
        <f t="shared" ca="1" si="128"/>
        <v>11.420315617579345</v>
      </c>
      <c r="BR404" s="442">
        <f t="shared" ca="1" si="128"/>
        <v>-260.65280426954502</v>
      </c>
      <c r="BS404" s="442">
        <f t="shared" ca="1" si="128"/>
        <v>1167.9931212540034</v>
      </c>
      <c r="BT404" s="442">
        <f t="shared" ca="1" si="128"/>
        <v>1538.7924992117912</v>
      </c>
    </row>
    <row r="405" spans="61:72" x14ac:dyDescent="0.25">
      <c r="BI405" s="1"/>
      <c r="BJ405" s="345"/>
      <c r="BK405" s="346"/>
      <c r="BL405" s="440"/>
      <c r="BN405" s="375">
        <f t="shared" si="129"/>
        <v>2033</v>
      </c>
      <c r="BO405" s="442">
        <f t="shared" ca="1" si="127"/>
        <v>-1.9990497006843404</v>
      </c>
      <c r="BP405" s="442">
        <f t="shared" ca="1" si="128"/>
        <v>-19.669672563558482</v>
      </c>
      <c r="BQ405" s="442">
        <f t="shared" ca="1" si="128"/>
        <v>-19.853588161631283</v>
      </c>
      <c r="BR405" s="442">
        <f t="shared" ca="1" si="128"/>
        <v>-287.66425965175392</v>
      </c>
      <c r="BS405" s="442">
        <f t="shared" ca="1" si="128"/>
        <v>878.77968519250112</v>
      </c>
      <c r="BT405" s="442">
        <f t="shared" ca="1" si="128"/>
        <v>1139.9779595798545</v>
      </c>
    </row>
    <row r="406" spans="61:72" x14ac:dyDescent="0.25">
      <c r="BI406" s="1"/>
      <c r="BJ406" s="345"/>
      <c r="BK406" s="346"/>
      <c r="BL406" s="440"/>
      <c r="BN406" s="375">
        <f t="shared" si="129"/>
        <v>2034</v>
      </c>
      <c r="BO406" s="442">
        <f t="shared" ca="1" si="127"/>
        <v>-2.6509747745173575</v>
      </c>
      <c r="BP406" s="442">
        <f t="shared" ca="1" si="128"/>
        <v>-19.232564849825749</v>
      </c>
      <c r="BQ406" s="442">
        <f t="shared" ca="1" si="128"/>
        <v>-19.413571207668816</v>
      </c>
      <c r="BR406" s="442">
        <f t="shared" ca="1" si="128"/>
        <v>-279.85488005653144</v>
      </c>
      <c r="BS406" s="442">
        <f t="shared" ca="1" si="128"/>
        <v>878.95479095423457</v>
      </c>
      <c r="BT406" s="442">
        <f t="shared" ca="1" si="128"/>
        <v>1123.7914044430015</v>
      </c>
    </row>
    <row r="407" spans="61:72" x14ac:dyDescent="0.25">
      <c r="BI407" s="1"/>
      <c r="BJ407" s="345"/>
      <c r="BK407" s="346"/>
      <c r="BL407" s="440"/>
      <c r="BN407" s="375">
        <f t="shared" si="129"/>
        <v>2035</v>
      </c>
      <c r="BO407" s="442">
        <f t="shared" ca="1" si="127"/>
        <v>-3.2497945916344131</v>
      </c>
      <c r="BP407" s="442">
        <f t="shared" ca="1" si="128"/>
        <v>-18.799983657617496</v>
      </c>
      <c r="BQ407" s="442">
        <f t="shared" ca="1" si="128"/>
        <v>-18.978032498446598</v>
      </c>
      <c r="BR407" s="442">
        <f t="shared" ca="1" si="128"/>
        <v>-272.22068312299518</v>
      </c>
      <c r="BS407" s="442">
        <f t="shared" ca="1" si="128"/>
        <v>877.81645709347697</v>
      </c>
      <c r="BT407" s="442">
        <f t="shared" ca="1" si="128"/>
        <v>1107.1636110036866</v>
      </c>
    </row>
    <row r="408" spans="61:72" x14ac:dyDescent="0.25">
      <c r="BI408" s="1"/>
      <c r="BJ408" s="345"/>
      <c r="BK408" s="346"/>
      <c r="BL408" s="440"/>
      <c r="BN408" s="375">
        <f t="shared" si="129"/>
        <v>2036</v>
      </c>
      <c r="BO408" s="442">
        <f t="shared" ca="1" si="127"/>
        <v>-3.7986297855789761</v>
      </c>
      <c r="BP408" s="442">
        <f t="shared" ref="BP408:BT417" ca="1" si="130">OFFSET($BI19,MATCH(BP$394,$A:$A),0)</f>
        <v>-18.372227402014293</v>
      </c>
      <c r="BQ408" s="442">
        <f t="shared" ca="1" si="130"/>
        <v>-18.547278466253822</v>
      </c>
      <c r="BR408" s="442">
        <f t="shared" ca="1" si="130"/>
        <v>-264.75974559846389</v>
      </c>
      <c r="BS408" s="442">
        <f t="shared" ca="1" si="130"/>
        <v>875.4654583951517</v>
      </c>
      <c r="BT408" s="442">
        <f t="shared" ca="1" si="130"/>
        <v>1090.1524652779847</v>
      </c>
    </row>
    <row r="409" spans="61:72" x14ac:dyDescent="0.25">
      <c r="BI409" s="1"/>
      <c r="BJ409" s="345"/>
      <c r="BK409" s="346"/>
      <c r="BL409" s="440"/>
      <c r="BN409" s="375">
        <f t="shared" si="129"/>
        <v>2037</v>
      </c>
      <c r="BO409" s="442">
        <f t="shared" ca="1" si="127"/>
        <v>-4.3004394992324642</v>
      </c>
      <c r="BP409" s="442">
        <f t="shared" ca="1" si="130"/>
        <v>-17.949564847052731</v>
      </c>
      <c r="BQ409" s="442">
        <f t="shared" ca="1" si="130"/>
        <v>-18.121585347042654</v>
      </c>
      <c r="BR409" s="442">
        <f t="shared" ca="1" si="130"/>
        <v>-262.85531232668717</v>
      </c>
      <c r="BS409" s="442">
        <f t="shared" ca="1" si="130"/>
        <v>871.99676069567636</v>
      </c>
      <c r="BT409" s="442">
        <f t="shared" ca="1" si="130"/>
        <v>1072.8120532308815</v>
      </c>
    </row>
    <row r="410" spans="61:72" x14ac:dyDescent="0.25">
      <c r="BI410" s="1"/>
      <c r="BJ410" s="345"/>
      <c r="BK410" s="346"/>
      <c r="BL410" s="440"/>
      <c r="BN410" s="375">
        <f t="shared" si="129"/>
        <v>2038</v>
      </c>
      <c r="BO410" s="442">
        <f t="shared" ca="1" si="127"/>
        <v>-4.7580291908511221</v>
      </c>
      <c r="BP410" s="442">
        <f t="shared" ca="1" si="130"/>
        <v>-17.532236945132567</v>
      </c>
      <c r="BQ410" s="442">
        <f t="shared" ca="1" si="130"/>
        <v>-17.701201049921305</v>
      </c>
      <c r="BR410" s="442">
        <f t="shared" ca="1" si="130"/>
        <v>-255.58595470532131</v>
      </c>
      <c r="BS410" s="442">
        <f t="shared" ca="1" si="130"/>
        <v>867.4998186500103</v>
      </c>
      <c r="BT410" s="442">
        <f t="shared" ca="1" si="130"/>
        <v>1055.1928674576989</v>
      </c>
    </row>
    <row r="411" spans="61:72" x14ac:dyDescent="0.25">
      <c r="BI411" s="1"/>
      <c r="BJ411" s="345"/>
      <c r="BK411" s="346"/>
      <c r="BL411" s="440"/>
      <c r="BN411" s="375">
        <f t="shared" si="129"/>
        <v>2039</v>
      </c>
      <c r="BO411" s="442">
        <f t="shared" ca="1" si="127"/>
        <v>-5.174058078529824</v>
      </c>
      <c r="BP411" s="442">
        <f t="shared" ca="1" si="130"/>
        <v>-17.120458578793439</v>
      </c>
      <c r="BQ411" s="442">
        <f t="shared" ca="1" si="130"/>
        <v>-17.286346927508951</v>
      </c>
      <c r="BR411" s="442">
        <f t="shared" ca="1" si="130"/>
        <v>-248.48693922002701</v>
      </c>
      <c r="BS411" s="442">
        <f t="shared" ca="1" si="130"/>
        <v>862.05885918670992</v>
      </c>
      <c r="BT411" s="442">
        <f t="shared" ca="1" si="130"/>
        <v>1037.3420035883262</v>
      </c>
    </row>
    <row r="412" spans="61:72" x14ac:dyDescent="0.25">
      <c r="BI412" s="1"/>
      <c r="BJ412" s="345"/>
      <c r="BK412" s="346"/>
      <c r="BL412" s="440"/>
      <c r="BN412" s="375">
        <f t="shared" si="129"/>
        <v>2040</v>
      </c>
      <c r="BO412" s="442">
        <f t="shared" ca="1" si="127"/>
        <v>-5.5510462393591862</v>
      </c>
      <c r="BP412" s="442">
        <f t="shared" ca="1" si="130"/>
        <v>-16.714420209650335</v>
      </c>
      <c r="BQ412" s="442">
        <f t="shared" ca="1" si="130"/>
        <v>-16.877219452013044</v>
      </c>
      <c r="BR412" s="442">
        <f t="shared" ca="1" si="130"/>
        <v>-241.55591611717352</v>
      </c>
      <c r="BS412" s="442">
        <f t="shared" ca="1" si="130"/>
        <v>855.75315131133902</v>
      </c>
      <c r="BT412" s="442">
        <f t="shared" ca="1" si="130"/>
        <v>1019.3033468990566</v>
      </c>
    </row>
    <row r="413" spans="61:72" x14ac:dyDescent="0.25">
      <c r="BI413" s="1"/>
      <c r="BJ413" s="345"/>
      <c r="BK413" s="346"/>
      <c r="BL413" s="440"/>
      <c r="BN413" s="375">
        <f t="shared" si="129"/>
        <v>2041</v>
      </c>
      <c r="BO413" s="442">
        <f t="shared" ca="1" si="127"/>
        <v>-5.8913813788251801</v>
      </c>
      <c r="BP413" s="442">
        <f t="shared" ca="1" si="130"/>
        <v>-24.661423363330432</v>
      </c>
      <c r="BQ413" s="442">
        <f t="shared" ca="1" si="130"/>
        <v>-16.473991801662525</v>
      </c>
      <c r="BR413" s="442">
        <f t="shared" ca="1" si="130"/>
        <v>-234.79046440800101</v>
      </c>
      <c r="BS413" s="442">
        <f t="shared" ca="1" si="130"/>
        <v>848.65726288912651</v>
      </c>
      <c r="BT413" s="442">
        <f t="shared" ca="1" si="130"/>
        <v>1001.1177495947768</v>
      </c>
    </row>
    <row r="414" spans="61:72" x14ac:dyDescent="0.25">
      <c r="BI414" s="1"/>
      <c r="BJ414" s="345"/>
      <c r="BK414" s="346"/>
      <c r="BL414" s="440"/>
      <c r="BN414" s="375">
        <f t="shared" si="129"/>
        <v>2042</v>
      </c>
      <c r="BO414" s="442">
        <f t="shared" ca="1" si="127"/>
        <v>-8.7513150641458086</v>
      </c>
      <c r="BP414" s="442">
        <f t="shared" ca="1" si="130"/>
        <v>-24.065824992475349</v>
      </c>
      <c r="BQ414" s="442">
        <f t="shared" ca="1" si="130"/>
        <v>-16.076815361912903</v>
      </c>
      <c r="BR414" s="442">
        <f t="shared" ca="1" si="130"/>
        <v>-228.1881008242128</v>
      </c>
      <c r="BS414" s="442">
        <f t="shared" ca="1" si="130"/>
        <v>840.84130500928461</v>
      </c>
      <c r="BT414" s="442">
        <f t="shared" ca="1" si="130"/>
        <v>982.82319920310727</v>
      </c>
    </row>
    <row r="415" spans="61:72" x14ac:dyDescent="0.25">
      <c r="BI415" s="1"/>
      <c r="BJ415" s="345"/>
      <c r="BK415" s="346"/>
      <c r="BL415" s="440"/>
      <c r="BN415" s="375">
        <f t="shared" si="129"/>
        <v>2043</v>
      </c>
      <c r="BO415" s="442">
        <f t="shared" ca="1" si="127"/>
        <v>-8.9529886593861967</v>
      </c>
      <c r="BP415" s="442">
        <f t="shared" ca="1" si="130"/>
        <v>-23.4795604854089</v>
      </c>
      <c r="BQ415" s="442">
        <f t="shared" ca="1" si="130"/>
        <v>-15.685821145632698</v>
      </c>
      <c r="BR415" s="442">
        <f t="shared" ca="1" si="130"/>
        <v>-221.74628819005324</v>
      </c>
      <c r="BS415" s="442">
        <f t="shared" ca="1" si="130"/>
        <v>832.37116450645817</v>
      </c>
      <c r="BT415" s="442">
        <f t="shared" ca="1" si="130"/>
        <v>964.45497850192658</v>
      </c>
    </row>
    <row r="416" spans="61:72" x14ac:dyDescent="0.25">
      <c r="BI416" s="1"/>
      <c r="BJ416" s="345"/>
      <c r="BK416" s="346"/>
      <c r="BL416" s="440"/>
      <c r="BN416" s="375">
        <f t="shared" si="129"/>
        <v>2044</v>
      </c>
      <c r="BO416" s="442">
        <f t="shared" ca="1" si="127"/>
        <v>-9.1262031688031247</v>
      </c>
      <c r="BP416" s="442">
        <f t="shared" ca="1" si="130"/>
        <v>-22.902792915287701</v>
      </c>
      <c r="BQ416" s="442">
        <f t="shared" ca="1" si="130"/>
        <v>-15.30112113628244</v>
      </c>
      <c r="BR416" s="442">
        <f t="shared" ca="1" si="130"/>
        <v>-215.46244324250927</v>
      </c>
      <c r="BS416" s="442">
        <f t="shared" ca="1" si="130"/>
        <v>823.30872518874855</v>
      </c>
      <c r="BT416" s="442">
        <f t="shared" ca="1" si="130"/>
        <v>946.04581738249146</v>
      </c>
    </row>
    <row r="417" spans="61:72" x14ac:dyDescent="0.25">
      <c r="BI417" s="1"/>
      <c r="BJ417" s="345"/>
      <c r="BK417" s="346"/>
      <c r="BL417" s="440"/>
      <c r="BN417" s="375">
        <f t="shared" si="129"/>
        <v>2045</v>
      </c>
      <c r="BO417" s="442">
        <f t="shared" ca="1" si="127"/>
        <v>-9.2728494191238227</v>
      </c>
      <c r="BP417" s="442">
        <f t="shared" ca="1" si="130"/>
        <v>-22.335659003688544</v>
      </c>
      <c r="BQ417" s="442">
        <f t="shared" ca="1" si="130"/>
        <v>-14.922809557909394</v>
      </c>
      <c r="BR417" s="442">
        <f t="shared" ca="1" si="130"/>
        <v>-209.33394392970229</v>
      </c>
      <c r="BS417" s="442">
        <f t="shared" ca="1" si="130"/>
        <v>813.71207829709431</v>
      </c>
      <c r="BT417" s="442">
        <f t="shared" ca="1" si="130"/>
        <v>927.62603703185528</v>
      </c>
    </row>
    <row r="418" spans="61:72" x14ac:dyDescent="0.25">
      <c r="BI418" s="1"/>
      <c r="BJ418" s="345"/>
      <c r="BK418" s="346"/>
      <c r="BL418" s="440"/>
      <c r="BN418" s="385"/>
      <c r="BO418" s="389"/>
      <c r="BP418" s="389"/>
      <c r="BQ418" s="389"/>
      <c r="BR418" s="389"/>
      <c r="BS418" s="389"/>
      <c r="BT418" s="389"/>
    </row>
    <row r="419" spans="61:72" x14ac:dyDescent="0.25">
      <c r="BI419" s="1"/>
      <c r="BJ419" s="345"/>
      <c r="BK419" s="346"/>
      <c r="BL419" s="440"/>
      <c r="BN419" s="407" t="s">
        <v>56</v>
      </c>
      <c r="BO419" s="408">
        <f t="shared" ref="BO419:BT419" ca="1" si="131">SUM(BO398:BO417)</f>
        <v>-49.963065040047383</v>
      </c>
      <c r="BP419" s="408">
        <f t="shared" ca="1" si="131"/>
        <v>-370.14528582932002</v>
      </c>
      <c r="BQ419" s="408">
        <f t="shared" ca="1" si="131"/>
        <v>-133.14849348334639</v>
      </c>
      <c r="BR419" s="408">
        <f t="shared" ca="1" si="131"/>
        <v>-5203.9824583361633</v>
      </c>
      <c r="BS419" s="408">
        <f t="shared" ca="1" si="131"/>
        <v>19132.449729367581</v>
      </c>
      <c r="BT419" s="408">
        <f t="shared" ca="1" si="131"/>
        <v>24628.494302180254</v>
      </c>
    </row>
    <row r="420" spans="61:72" x14ac:dyDescent="0.25">
      <c r="BI420" s="1"/>
      <c r="BJ420" s="345"/>
      <c r="BK420" s="346"/>
      <c r="BL420" s="440"/>
    </row>
    <row r="421" spans="61:72" x14ac:dyDescent="0.25">
      <c r="BI421" s="1"/>
      <c r="BJ421" s="345"/>
      <c r="BK421" s="346"/>
      <c r="BL421" s="440"/>
    </row>
    <row r="422" spans="61:72" x14ac:dyDescent="0.25">
      <c r="BI422" s="1"/>
      <c r="BJ422" s="345"/>
      <c r="BK422" s="346"/>
      <c r="BL422" s="440"/>
    </row>
    <row r="423" spans="61:72" ht="21" x14ac:dyDescent="0.35">
      <c r="BI423" s="1"/>
      <c r="BJ423" s="345"/>
      <c r="BK423" s="346"/>
      <c r="BL423" s="440"/>
      <c r="BN423" s="316" t="s">
        <v>362</v>
      </c>
    </row>
    <row r="424" spans="61:72" x14ac:dyDescent="0.25">
      <c r="BI424" s="1"/>
      <c r="BJ424" s="345"/>
      <c r="BK424" s="346"/>
      <c r="BL424" s="440"/>
      <c r="BN424" s="2"/>
      <c r="BO424" s="310"/>
      <c r="BP424" s="310"/>
      <c r="BQ424" s="310"/>
      <c r="BR424" s="310"/>
      <c r="BS424" s="310"/>
      <c r="BT424" s="310"/>
    </row>
    <row r="425" spans="61:72" x14ac:dyDescent="0.25">
      <c r="BI425" s="1"/>
      <c r="BJ425" s="345"/>
      <c r="BK425" s="346"/>
      <c r="BL425" s="440"/>
    </row>
    <row r="426" spans="61:72" x14ac:dyDescent="0.25">
      <c r="BI426" s="1"/>
      <c r="BJ426" s="345"/>
      <c r="BK426" s="346"/>
      <c r="BL426" s="440"/>
    </row>
    <row r="427" spans="61:72" x14ac:dyDescent="0.25">
      <c r="BI427" s="1"/>
      <c r="BJ427" s="345"/>
      <c r="BK427" s="346"/>
      <c r="BL427" s="440"/>
    </row>
    <row r="428" spans="61:72" x14ac:dyDescent="0.25">
      <c r="BI428" s="1"/>
      <c r="BJ428" s="345"/>
      <c r="BK428" s="346"/>
      <c r="BL428" s="440"/>
      <c r="BN428" s="322"/>
      <c r="BO428" s="52">
        <v>1</v>
      </c>
      <c r="BP428" s="52">
        <v>2</v>
      </c>
      <c r="BQ428" s="52">
        <v>3</v>
      </c>
      <c r="BR428" s="52">
        <v>4</v>
      </c>
      <c r="BS428" s="52">
        <v>5</v>
      </c>
      <c r="BT428" s="52">
        <v>6</v>
      </c>
    </row>
    <row r="429" spans="61:72" x14ac:dyDescent="0.25">
      <c r="BI429" s="1"/>
      <c r="BJ429" s="345"/>
      <c r="BK429" s="346"/>
      <c r="BL429" s="440"/>
      <c r="BN429" s="335"/>
      <c r="BO429" s="1777" t="str">
        <f t="shared" ref="BO429:BT429" si="132">IF(ISBLANK(INDEX(ModelGroup,BO428,1)),"Not Used",INDEX(ModelGroup,BO428,1))</f>
        <v>SB Off-ramp to Ave 280</v>
      </c>
      <c r="BP429" s="1777" t="str">
        <f t="shared" si="132"/>
        <v>SB On-ramp from Ave 280</v>
      </c>
      <c r="BQ429" s="1777" t="str">
        <f t="shared" si="132"/>
        <v>NB Off-ramp to Ave 280</v>
      </c>
      <c r="BR429" s="1777" t="str">
        <f t="shared" si="132"/>
        <v>NB On-ramp from Ave 280</v>
      </c>
      <c r="BS429" s="1777" t="str">
        <f t="shared" si="132"/>
        <v>NB Mainline</v>
      </c>
      <c r="BT429" s="1777" t="str">
        <f t="shared" si="132"/>
        <v>SB Mainline</v>
      </c>
    </row>
    <row r="430" spans="61:72" x14ac:dyDescent="0.25">
      <c r="BI430" s="1"/>
      <c r="BJ430" s="345"/>
      <c r="BK430" s="346"/>
      <c r="BL430" s="440"/>
      <c r="BN430" s="77" t="s">
        <v>34</v>
      </c>
      <c r="BO430" s="1778"/>
      <c r="BP430" s="1778"/>
      <c r="BQ430" s="1778"/>
      <c r="BR430" s="1778"/>
      <c r="BS430" s="1778"/>
      <c r="BT430" s="1778"/>
    </row>
    <row r="431" spans="61:72" x14ac:dyDescent="0.25">
      <c r="BI431" s="1"/>
      <c r="BJ431" s="345"/>
      <c r="BK431" s="346"/>
      <c r="BL431" s="440"/>
      <c r="BN431" s="355"/>
      <c r="BO431" s="1779"/>
      <c r="BP431" s="1779"/>
      <c r="BQ431" s="1779"/>
      <c r="BR431" s="1779"/>
      <c r="BS431" s="1779"/>
      <c r="BT431" s="1779"/>
    </row>
    <row r="432" spans="61:72" x14ac:dyDescent="0.25">
      <c r="BI432" s="1"/>
      <c r="BJ432" s="345"/>
      <c r="BK432" s="346"/>
      <c r="BL432" s="440"/>
      <c r="BN432" s="375">
        <f>YearOpen</f>
        <v>2026</v>
      </c>
      <c r="BO432" s="441">
        <f t="shared" ref="BO432:BO451" ca="1" si="133">OFFSET($BJ9,MATCH(BO$428,$A:$A),0)</f>
        <v>6.7372902812966204</v>
      </c>
      <c r="BP432" s="441">
        <f t="shared" ref="BP432:BT441" ca="1" si="134">OFFSET($BJ9,MATCH(BP$428,$A:$A),0)</f>
        <v>-7.0919058661818619</v>
      </c>
      <c r="BQ432" s="441">
        <f t="shared" ca="1" si="134"/>
        <v>5.1094188758357708</v>
      </c>
      <c r="BR432" s="441">
        <f t="shared" ca="1" si="134"/>
        <v>-11.866676068068921</v>
      </c>
      <c r="BS432" s="441">
        <f t="shared" ca="1" si="134"/>
        <v>394.18058707014734</v>
      </c>
      <c r="BT432" s="441">
        <f t="shared" ca="1" si="134"/>
        <v>585.93500773949597</v>
      </c>
    </row>
    <row r="433" spans="61:72" x14ac:dyDescent="0.25">
      <c r="BI433" s="1"/>
      <c r="BJ433" s="345"/>
      <c r="BK433" s="346"/>
      <c r="BL433" s="440"/>
      <c r="BN433" s="375">
        <f>BN432+1</f>
        <v>2027</v>
      </c>
      <c r="BO433" s="442">
        <f t="shared" ca="1" si="133"/>
        <v>4.993233993443484</v>
      </c>
      <c r="BP433" s="442">
        <f t="shared" ca="1" si="134"/>
        <v>-6.9493848592761003</v>
      </c>
      <c r="BQ433" s="442">
        <f t="shared" ca="1" si="134"/>
        <v>5.0046128849950371</v>
      </c>
      <c r="BR433" s="442">
        <f t="shared" ca="1" si="134"/>
        <v>-11.549301768990023</v>
      </c>
      <c r="BS433" s="442">
        <f t="shared" ca="1" si="134"/>
        <v>400.22826969670575</v>
      </c>
      <c r="BT433" s="442">
        <f t="shared" ca="1" si="134"/>
        <v>580.66502318243522</v>
      </c>
    </row>
    <row r="434" spans="61:72" x14ac:dyDescent="0.25">
      <c r="BI434" s="1"/>
      <c r="BJ434" s="345"/>
      <c r="BK434" s="346"/>
      <c r="BL434" s="440"/>
      <c r="BN434" s="375">
        <f t="shared" ref="BN434:BN451" si="135">BN433+1</f>
        <v>2028</v>
      </c>
      <c r="BO434" s="442">
        <f t="shared" ca="1" si="133"/>
        <v>3.3733694758374879</v>
      </c>
      <c r="BP434" s="442">
        <f t="shared" ca="1" si="134"/>
        <v>-6.8073360217385384</v>
      </c>
      <c r="BQ434" s="442">
        <f t="shared" ca="1" si="134"/>
        <v>4.9003105815032777</v>
      </c>
      <c r="BR434" s="442">
        <f t="shared" ca="1" si="134"/>
        <v>-11.238786622994029</v>
      </c>
      <c r="BS434" s="442">
        <f t="shared" ca="1" si="134"/>
        <v>405.22763859005249</v>
      </c>
      <c r="BT434" s="442">
        <f t="shared" ca="1" si="134"/>
        <v>574.93365428991353</v>
      </c>
    </row>
    <row r="435" spans="61:72" x14ac:dyDescent="0.25">
      <c r="BI435" s="1"/>
      <c r="BJ435" s="345"/>
      <c r="BK435" s="346"/>
      <c r="BL435" s="440"/>
      <c r="BN435" s="375">
        <f t="shared" si="135"/>
        <v>2029</v>
      </c>
      <c r="BO435" s="442">
        <f t="shared" ca="1" si="133"/>
        <v>1.8707234803055577</v>
      </c>
      <c r="BP435" s="442">
        <f t="shared" ca="1" si="134"/>
        <v>-6.6659338627404505</v>
      </c>
      <c r="BQ435" s="442">
        <f t="shared" ca="1" si="134"/>
        <v>4.796628258627722</v>
      </c>
      <c r="BR435" s="442">
        <f t="shared" ca="1" si="134"/>
        <v>-10.935072491528828</v>
      </c>
      <c r="BS435" s="442">
        <f t="shared" ca="1" si="134"/>
        <v>409.25038699205192</v>
      </c>
      <c r="BT435" s="442">
        <f t="shared" ca="1" si="134"/>
        <v>568.78418799980136</v>
      </c>
    </row>
    <row r="436" spans="61:72" x14ac:dyDescent="0.25">
      <c r="BI436" s="1"/>
      <c r="BJ436" s="345"/>
      <c r="BK436" s="346"/>
      <c r="BL436" s="440"/>
      <c r="BN436" s="375">
        <f t="shared" si="135"/>
        <v>2030</v>
      </c>
      <c r="BO436" s="442">
        <f t="shared" ca="1" si="133"/>
        <v>0.47867544674379009</v>
      </c>
      <c r="BP436" s="442">
        <f t="shared" ca="1" si="134"/>
        <v>-6.525338769195252</v>
      </c>
      <c r="BQ436" s="442">
        <f t="shared" ca="1" si="134"/>
        <v>4.6936725189001542</v>
      </c>
      <c r="BR436" s="442">
        <f t="shared" ca="1" si="134"/>
        <v>-10.638095561562427</v>
      </c>
      <c r="BS436" s="442">
        <f t="shared" ca="1" si="134"/>
        <v>412.36424403976986</v>
      </c>
      <c r="BT436" s="442">
        <f t="shared" ca="1" si="134"/>
        <v>562.25726400672272</v>
      </c>
    </row>
    <row r="437" spans="61:72" x14ac:dyDescent="0.25">
      <c r="BI437" s="1"/>
      <c r="BJ437" s="345"/>
      <c r="BK437" s="346"/>
      <c r="BL437" s="440"/>
      <c r="BN437" s="375">
        <f t="shared" si="135"/>
        <v>2031</v>
      </c>
      <c r="BO437" s="442">
        <f t="shared" ca="1" si="133"/>
        <v>-0.80905931127818498</v>
      </c>
      <c r="BP437" s="442">
        <f t="shared" ca="1" si="134"/>
        <v>-6.3856978339364598</v>
      </c>
      <c r="BQ437" s="442">
        <f t="shared" ca="1" si="134"/>
        <v>4.4818817056659128</v>
      </c>
      <c r="BR437" s="442">
        <f t="shared" ca="1" si="134"/>
        <v>-10.34778686808523</v>
      </c>
      <c r="BS437" s="442">
        <f t="shared" ca="1" si="134"/>
        <v>414.63317364152226</v>
      </c>
      <c r="BT437" s="442">
        <f t="shared" ca="1" si="134"/>
        <v>555.39101436222609</v>
      </c>
    </row>
    <row r="438" spans="61:72" x14ac:dyDescent="0.25">
      <c r="BI438" s="1"/>
      <c r="BJ438" s="345"/>
      <c r="BK438" s="346"/>
      <c r="BL438" s="440"/>
      <c r="BN438" s="375">
        <f t="shared" si="135"/>
        <v>2032</v>
      </c>
      <c r="BO438" s="442">
        <f t="shared" ca="1" si="133"/>
        <v>-1.9984456492256355</v>
      </c>
      <c r="BP438" s="442">
        <f t="shared" ca="1" si="134"/>
        <v>-8.7981399397112448</v>
      </c>
      <c r="BQ438" s="442">
        <f t="shared" ca="1" si="134"/>
        <v>4.3830364498158287</v>
      </c>
      <c r="BR438" s="442">
        <f t="shared" ca="1" si="134"/>
        <v>-10.064072784814066</v>
      </c>
      <c r="BS438" s="442">
        <f t="shared" ca="1" si="134"/>
        <v>416.11756391882039</v>
      </c>
      <c r="BT438" s="442">
        <f t="shared" ca="1" si="134"/>
        <v>548.22119625250275</v>
      </c>
    </row>
    <row r="439" spans="61:72" x14ac:dyDescent="0.25">
      <c r="BI439" s="1"/>
      <c r="BJ439" s="345"/>
      <c r="BK439" s="346"/>
      <c r="BL439" s="440"/>
      <c r="BN439" s="375">
        <f t="shared" si="135"/>
        <v>2033</v>
      </c>
      <c r="BO439" s="442">
        <f t="shared" ca="1" si="133"/>
        <v>-2.1821051593705141</v>
      </c>
      <c r="BP439" s="442">
        <f t="shared" ca="1" si="134"/>
        <v>-6.7616424671053004</v>
      </c>
      <c r="BQ439" s="442">
        <f t="shared" ca="1" si="134"/>
        <v>-1.3349927911175714</v>
      </c>
      <c r="BR439" s="442">
        <f t="shared" ca="1" si="134"/>
        <v>-18.21237467788907</v>
      </c>
      <c r="BS439" s="442">
        <f t="shared" ca="1" si="134"/>
        <v>319.28242204080556</v>
      </c>
      <c r="BT439" s="442">
        <f t="shared" ca="1" si="134"/>
        <v>414.18222353201207</v>
      </c>
    </row>
    <row r="440" spans="61:72" x14ac:dyDescent="0.25">
      <c r="BI440" s="1"/>
      <c r="BJ440" s="345"/>
      <c r="BK440" s="346"/>
      <c r="BL440" s="440"/>
      <c r="BN440" s="375">
        <f t="shared" si="135"/>
        <v>2034</v>
      </c>
      <c r="BO440" s="442">
        <f t="shared" ca="1" si="133"/>
        <v>-2.8937278202013297</v>
      </c>
      <c r="BP440" s="442">
        <f t="shared" ca="1" si="134"/>
        <v>-6.6112476179432837</v>
      </c>
      <c r="BQ440" s="442">
        <f t="shared" ca="1" si="134"/>
        <v>-1.3064713765709677</v>
      </c>
      <c r="BR440" s="442">
        <f t="shared" ca="1" si="134"/>
        <v>-17.714486957568482</v>
      </c>
      <c r="BS440" s="442">
        <f t="shared" ca="1" si="134"/>
        <v>319.34604230042447</v>
      </c>
      <c r="BT440" s="442">
        <f t="shared" ca="1" si="134"/>
        <v>408.30124720122723</v>
      </c>
    </row>
    <row r="441" spans="61:72" x14ac:dyDescent="0.25">
      <c r="BI441" s="1"/>
      <c r="BJ441" s="345"/>
      <c r="BK441" s="346"/>
      <c r="BL441" s="440"/>
      <c r="BN441" s="375">
        <f t="shared" si="135"/>
        <v>2035</v>
      </c>
      <c r="BO441" s="442">
        <f t="shared" ca="1" si="133"/>
        <v>-3.5473823101407924</v>
      </c>
      <c r="BP441" s="442">
        <f t="shared" ca="1" si="134"/>
        <v>-6.4624191736471159</v>
      </c>
      <c r="BQ441" s="442">
        <f t="shared" ca="1" si="134"/>
        <v>-1.2781690755825219</v>
      </c>
      <c r="BR441" s="442">
        <f t="shared" ca="1" si="134"/>
        <v>-17.227956909997626</v>
      </c>
      <c r="BS441" s="442">
        <f t="shared" ca="1" si="134"/>
        <v>318.93245741870919</v>
      </c>
      <c r="BT441" s="442">
        <f t="shared" ca="1" si="134"/>
        <v>402.25995806817758</v>
      </c>
    </row>
    <row r="442" spans="61:72" x14ac:dyDescent="0.25">
      <c r="BI442" s="1"/>
      <c r="BJ442" s="345"/>
      <c r="BK442" s="346"/>
      <c r="BL442" s="440"/>
      <c r="BN442" s="375">
        <f t="shared" si="135"/>
        <v>2036</v>
      </c>
      <c r="BO442" s="442">
        <f t="shared" ca="1" si="133"/>
        <v>-4.1464750230135818</v>
      </c>
      <c r="BP442" s="442">
        <f t="shared" ref="BP442:BT451" ca="1" si="136">OFFSET($BJ19,MATCH(BP$428,$A:$A),0)</f>
        <v>-6.3152591191223308</v>
      </c>
      <c r="BQ442" s="442">
        <f t="shared" ca="1" si="136"/>
        <v>-1.250111224704773</v>
      </c>
      <c r="BR442" s="442">
        <f t="shared" ca="1" si="136"/>
        <v>-16.752647388338147</v>
      </c>
      <c r="BS442" s="442">
        <f t="shared" ca="1" si="136"/>
        <v>318.07828137064678</v>
      </c>
      <c r="BT442" s="442">
        <f t="shared" ca="1" si="136"/>
        <v>396.07938755601157</v>
      </c>
    </row>
    <row r="443" spans="61:72" x14ac:dyDescent="0.25">
      <c r="BI443" s="1"/>
      <c r="BJ443" s="345"/>
      <c r="BK443" s="346"/>
      <c r="BL443" s="440"/>
      <c r="BN443" s="375">
        <f t="shared" si="135"/>
        <v>2037</v>
      </c>
      <c r="BO443" s="442">
        <f t="shared" ca="1" si="133"/>
        <v>-4.6942360740823386</v>
      </c>
      <c r="BP443" s="442">
        <f t="shared" ca="1" si="136"/>
        <v>-6.1698592771147895</v>
      </c>
      <c r="BQ443" s="442">
        <f t="shared" ca="1" si="136"/>
        <v>-1.22232088739219</v>
      </c>
      <c r="BR443" s="442">
        <f t="shared" ca="1" si="136"/>
        <v>-17.195959920501778</v>
      </c>
      <c r="BS443" s="442">
        <f t="shared" ca="1" si="136"/>
        <v>316.81801759637193</v>
      </c>
      <c r="BT443" s="442">
        <f t="shared" ca="1" si="136"/>
        <v>389.77918643521303</v>
      </c>
    </row>
    <row r="444" spans="61:72" x14ac:dyDescent="0.25">
      <c r="BI444" s="1"/>
      <c r="BJ444" s="345"/>
      <c r="BK444" s="346"/>
      <c r="BL444" s="440"/>
      <c r="BN444" s="375">
        <f t="shared" si="135"/>
        <v>2038</v>
      </c>
      <c r="BO444" s="442">
        <f t="shared" ca="1" si="133"/>
        <v>-5.1937278208928364</v>
      </c>
      <c r="BP444" s="442">
        <f t="shared" ca="1" si="136"/>
        <v>-6.0263019390499366</v>
      </c>
      <c r="BQ444" s="442">
        <f t="shared" ca="1" si="136"/>
        <v>-1.1948189913747946</v>
      </c>
      <c r="BR444" s="442">
        <f t="shared" ca="1" si="136"/>
        <v>-16.717590252787957</v>
      </c>
      <c r="BS444" s="442">
        <f t="shared" ca="1" si="136"/>
        <v>315.18416718732158</v>
      </c>
      <c r="BT444" s="442">
        <f t="shared" ca="1" si="136"/>
        <v>383.37769991607945</v>
      </c>
    </row>
    <row r="445" spans="61:72" x14ac:dyDescent="0.25">
      <c r="BI445" s="1"/>
      <c r="BJ445" s="345"/>
      <c r="BK445" s="346"/>
      <c r="BL445" s="440"/>
      <c r="BN445" s="375">
        <f t="shared" si="135"/>
        <v>2039</v>
      </c>
      <c r="BO445" s="442">
        <f t="shared" ca="1" si="133"/>
        <v>-5.6478529894367169</v>
      </c>
      <c r="BP445" s="442">
        <f t="shared" ca="1" si="136"/>
        <v>-5.8846604623789585</v>
      </c>
      <c r="BQ445" s="442">
        <f t="shared" ca="1" si="136"/>
        <v>-1.1676244588271072</v>
      </c>
      <c r="BR445" s="442">
        <f t="shared" ca="1" si="136"/>
        <v>-16.250580441288076</v>
      </c>
      <c r="BS445" s="442">
        <f t="shared" ca="1" si="136"/>
        <v>313.20733187246339</v>
      </c>
      <c r="BT445" s="442">
        <f t="shared" ca="1" si="136"/>
        <v>376.89203900724101</v>
      </c>
    </row>
    <row r="446" spans="61:72" x14ac:dyDescent="0.25">
      <c r="BI446" s="1"/>
      <c r="BJ446" s="345"/>
      <c r="BK446" s="346"/>
      <c r="BL446" s="440"/>
      <c r="BN446" s="375">
        <f t="shared" si="135"/>
        <v>2040</v>
      </c>
      <c r="BO446" s="442">
        <f t="shared" ca="1" si="133"/>
        <v>-6.0593624233871433</v>
      </c>
      <c r="BP446" s="442">
        <f t="shared" ca="1" si="136"/>
        <v>-5.744999836074606</v>
      </c>
      <c r="BQ446" s="442">
        <f t="shared" ca="1" si="136"/>
        <v>-1.1407543296834139</v>
      </c>
      <c r="BR446" s="442">
        <f t="shared" ca="1" si="136"/>
        <v>-15.794764298346195</v>
      </c>
      <c r="BS446" s="442">
        <f t="shared" ca="1" si="136"/>
        <v>310.91631204456525</v>
      </c>
      <c r="BT446" s="442">
        <f t="shared" ca="1" si="136"/>
        <v>370.33814831636664</v>
      </c>
    </row>
    <row r="447" spans="61:72" x14ac:dyDescent="0.25">
      <c r="BI447" s="1"/>
      <c r="BJ447" s="345"/>
      <c r="BK447" s="346"/>
      <c r="BL447" s="440"/>
      <c r="BN447" s="375">
        <f t="shared" si="135"/>
        <v>2041</v>
      </c>
      <c r="BO447" s="442">
        <f t="shared" ca="1" si="133"/>
        <v>-6.4308624733806852</v>
      </c>
      <c r="BP447" s="442">
        <f t="shared" ca="1" si="136"/>
        <v>-8.8603394688958552</v>
      </c>
      <c r="BQ447" s="442">
        <f t="shared" ca="1" si="136"/>
        <v>-1.1142238784341731</v>
      </c>
      <c r="BR447" s="442">
        <f t="shared" ca="1" si="136"/>
        <v>-15.349971615451173</v>
      </c>
      <c r="BS447" s="442">
        <f t="shared" ca="1" si="136"/>
        <v>308.33820005568936</v>
      </c>
      <c r="BT447" s="442">
        <f t="shared" ca="1" si="136"/>
        <v>363.73087046116996</v>
      </c>
    </row>
    <row r="448" spans="61:72" x14ac:dyDescent="0.25">
      <c r="BI448" s="1"/>
      <c r="BJ448" s="345"/>
      <c r="BK448" s="346"/>
      <c r="BL448" s="440"/>
      <c r="BN448" s="375">
        <f t="shared" si="135"/>
        <v>2042</v>
      </c>
      <c r="BO448" s="442">
        <f t="shared" ca="1" si="133"/>
        <v>-6.7648220425709109</v>
      </c>
      <c r="BP448" s="442">
        <f t="shared" ca="1" si="136"/>
        <v>-8.646269755635636</v>
      </c>
      <c r="BQ448" s="442">
        <f t="shared" ca="1" si="136"/>
        <v>-1.0880467247223109</v>
      </c>
      <c r="BR448" s="442">
        <f t="shared" ca="1" si="136"/>
        <v>-14.916028718373017</v>
      </c>
      <c r="BS448" s="442">
        <f t="shared" ca="1" si="136"/>
        <v>305.49846900080274</v>
      </c>
      <c r="BT448" s="442">
        <f t="shared" ca="1" si="136"/>
        <v>357.08400725117173</v>
      </c>
    </row>
    <row r="449" spans="61:72" x14ac:dyDescent="0.25">
      <c r="BI449" s="1"/>
      <c r="BJ449" s="345"/>
      <c r="BK449" s="346"/>
      <c r="BL449" s="440"/>
      <c r="BN449" s="375">
        <f t="shared" si="135"/>
        <v>2043</v>
      </c>
      <c r="BO449" s="442">
        <f t="shared" ca="1" si="133"/>
        <v>-7.0635793039633672</v>
      </c>
      <c r="BP449" s="442">
        <f t="shared" ca="1" si="136"/>
        <v>-8.4355599323467718</v>
      </c>
      <c r="BQ449" s="442">
        <f t="shared" ca="1" si="136"/>
        <v>-1.0622349380438643</v>
      </c>
      <c r="BR449" s="442">
        <f t="shared" ca="1" si="136"/>
        <v>-14.49275898554429</v>
      </c>
      <c r="BS449" s="442">
        <f t="shared" ca="1" si="136"/>
        <v>302.42105719857625</v>
      </c>
      <c r="BT449" s="442">
        <f t="shared" ca="1" si="136"/>
        <v>350.41037779333089</v>
      </c>
    </row>
    <row r="450" spans="61:72" x14ac:dyDescent="0.25">
      <c r="BI450" s="1"/>
      <c r="BJ450" s="345"/>
      <c r="BK450" s="346"/>
      <c r="BL450" s="440"/>
      <c r="BN450" s="375">
        <f t="shared" si="135"/>
        <v>2044</v>
      </c>
      <c r="BO450" s="442">
        <f t="shared" ca="1" si="133"/>
        <v>-7.3293481043573383</v>
      </c>
      <c r="BP450" s="442">
        <f t="shared" ca="1" si="136"/>
        <v>-8.2282682171279991</v>
      </c>
      <c r="BQ450" s="442">
        <f t="shared" ca="1" si="136"/>
        <v>-1.0367991368425638</v>
      </c>
      <c r="BR450" s="442">
        <f t="shared" ca="1" si="136"/>
        <v>-14.079983331692972</v>
      </c>
      <c r="BS450" s="442">
        <f t="shared" ca="1" si="136"/>
        <v>299.12844856900546</v>
      </c>
      <c r="BT450" s="442">
        <f t="shared" ca="1" si="136"/>
        <v>343.72187366767434</v>
      </c>
    </row>
    <row r="451" spans="61:72" x14ac:dyDescent="0.25">
      <c r="BI451" s="1"/>
      <c r="BJ451" s="345"/>
      <c r="BK451" s="346"/>
      <c r="BL451" s="440"/>
      <c r="BN451" s="375">
        <f t="shared" si="135"/>
        <v>2045</v>
      </c>
      <c r="BO451" s="442">
        <f t="shared" ca="1" si="133"/>
        <v>-7.5642240690642693</v>
      </c>
      <c r="BP451" s="442">
        <f t="shared" ca="1" si="136"/>
        <v>-8.0244433795113483</v>
      </c>
      <c r="BQ451" s="442">
        <f t="shared" ca="1" si="136"/>
        <v>-1.0117485822750445</v>
      </c>
      <c r="BR451" s="442">
        <f t="shared" ca="1" si="136"/>
        <v>-13.677520658632654</v>
      </c>
      <c r="BS451" s="442">
        <f t="shared" ca="1" si="136"/>
        <v>295.64174909851573</v>
      </c>
      <c r="BT451" s="442">
        <f t="shared" ca="1" si="136"/>
        <v>337.02951131234471</v>
      </c>
    </row>
    <row r="452" spans="61:72" x14ac:dyDescent="0.25">
      <c r="BI452" s="1"/>
      <c r="BJ452" s="345"/>
      <c r="BK452" s="346"/>
      <c r="BL452" s="440"/>
      <c r="BN452" s="385"/>
      <c r="BO452" s="389"/>
      <c r="BP452" s="389"/>
      <c r="BQ452" s="389"/>
      <c r="BR452" s="389"/>
      <c r="BS452" s="389"/>
      <c r="BT452" s="389"/>
    </row>
    <row r="453" spans="61:72" x14ac:dyDescent="0.25">
      <c r="BI453" s="1"/>
      <c r="BJ453" s="345"/>
      <c r="BK453" s="346"/>
      <c r="BL453" s="440"/>
      <c r="BN453" s="407" t="s">
        <v>56</v>
      </c>
      <c r="BO453" s="408">
        <f t="shared" ref="BO453:BT453" ca="1" si="137">SUM(BO432:BO451)</f>
        <v>-54.871917896738694</v>
      </c>
      <c r="BP453" s="408">
        <f t="shared" ca="1" si="137"/>
        <v>-141.39500779873384</v>
      </c>
      <c r="BQ453" s="408">
        <f t="shared" ca="1" si="137"/>
        <v>18.161244879772408</v>
      </c>
      <c r="BR453" s="408">
        <f t="shared" ca="1" si="137"/>
        <v>-285.02241632245494</v>
      </c>
      <c r="BS453" s="408">
        <f t="shared" ca="1" si="137"/>
        <v>6894.7948197029682</v>
      </c>
      <c r="BT453" s="408">
        <f t="shared" ca="1" si="137"/>
        <v>8869.3738783511162</v>
      </c>
    </row>
    <row r="454" spans="61:72" x14ac:dyDescent="0.25">
      <c r="BI454" s="1"/>
      <c r="BJ454" s="345"/>
      <c r="BK454" s="346"/>
      <c r="BL454" s="440"/>
    </row>
    <row r="455" spans="61:72" x14ac:dyDescent="0.25">
      <c r="BI455" s="1"/>
      <c r="BJ455" s="345"/>
      <c r="BK455" s="346"/>
      <c r="BL455" s="440"/>
    </row>
    <row r="456" spans="61:72" x14ac:dyDescent="0.25">
      <c r="BI456" s="1"/>
      <c r="BJ456" s="345"/>
      <c r="BK456" s="346"/>
      <c r="BL456" s="440"/>
    </row>
    <row r="457" spans="61:72" ht="18" x14ac:dyDescent="0.25">
      <c r="BI457" s="1"/>
      <c r="BJ457" s="345"/>
      <c r="BK457" s="346"/>
      <c r="BL457" s="440"/>
      <c r="BN457" s="316" t="s">
        <v>363</v>
      </c>
    </row>
    <row r="458" spans="61:72" x14ac:dyDescent="0.25">
      <c r="BI458" s="1"/>
      <c r="BJ458" s="345"/>
      <c r="BK458" s="346"/>
      <c r="BL458" s="440"/>
      <c r="BN458" s="2"/>
      <c r="BO458" s="310"/>
      <c r="BP458" s="310"/>
      <c r="BQ458" s="310"/>
      <c r="BR458" s="310"/>
      <c r="BS458" s="310"/>
      <c r="BT458" s="310"/>
    </row>
    <row r="459" spans="61:72" x14ac:dyDescent="0.25">
      <c r="BI459" s="1"/>
      <c r="BJ459" s="345"/>
      <c r="BK459" s="346"/>
      <c r="BL459" s="440"/>
    </row>
    <row r="460" spans="61:72" x14ac:dyDescent="0.25">
      <c r="BI460" s="1"/>
      <c r="BJ460" s="345"/>
      <c r="BK460" s="346"/>
      <c r="BL460" s="440"/>
    </row>
    <row r="461" spans="61:72" x14ac:dyDescent="0.25">
      <c r="BI461" s="1"/>
      <c r="BJ461" s="345"/>
      <c r="BK461" s="346"/>
      <c r="BL461" s="440"/>
    </row>
    <row r="462" spans="61:72" x14ac:dyDescent="0.25">
      <c r="BI462" s="1"/>
      <c r="BJ462" s="345"/>
      <c r="BK462" s="346"/>
      <c r="BL462" s="440"/>
      <c r="BN462" s="322"/>
      <c r="BO462" s="52">
        <v>1</v>
      </c>
      <c r="BP462" s="52">
        <v>2</v>
      </c>
      <c r="BQ462" s="52">
        <v>3</v>
      </c>
      <c r="BR462" s="52">
        <v>4</v>
      </c>
      <c r="BS462" s="52">
        <v>5</v>
      </c>
      <c r="BT462" s="52">
        <v>6</v>
      </c>
    </row>
    <row r="463" spans="61:72" x14ac:dyDescent="0.25">
      <c r="BI463" s="1"/>
      <c r="BJ463" s="345"/>
      <c r="BK463" s="346"/>
      <c r="BL463" s="440"/>
      <c r="BN463" s="335"/>
      <c r="BO463" s="1777" t="str">
        <f t="shared" ref="BO463:BT463" si="138">IF(ISBLANK(INDEX(ModelGroup,BO462,1)),"Not Used",INDEX(ModelGroup,BO462,1))</f>
        <v>SB Off-ramp to Ave 280</v>
      </c>
      <c r="BP463" s="1777" t="str">
        <f t="shared" si="138"/>
        <v>SB On-ramp from Ave 280</v>
      </c>
      <c r="BQ463" s="1777" t="str">
        <f t="shared" si="138"/>
        <v>NB Off-ramp to Ave 280</v>
      </c>
      <c r="BR463" s="1777" t="str">
        <f t="shared" si="138"/>
        <v>NB On-ramp from Ave 280</v>
      </c>
      <c r="BS463" s="1777" t="str">
        <f t="shared" si="138"/>
        <v>NB Mainline</v>
      </c>
      <c r="BT463" s="1777" t="str">
        <f t="shared" si="138"/>
        <v>SB Mainline</v>
      </c>
    </row>
    <row r="464" spans="61:72" x14ac:dyDescent="0.25">
      <c r="BI464" s="1"/>
      <c r="BJ464" s="345"/>
      <c r="BK464" s="346"/>
      <c r="BL464" s="440"/>
      <c r="BN464" s="77" t="s">
        <v>34</v>
      </c>
      <c r="BO464" s="1778"/>
      <c r="BP464" s="1778"/>
      <c r="BQ464" s="1778"/>
      <c r="BR464" s="1778"/>
      <c r="BS464" s="1778"/>
      <c r="BT464" s="1778"/>
    </row>
    <row r="465" spans="61:72" x14ac:dyDescent="0.25">
      <c r="BI465" s="1"/>
      <c r="BJ465" s="345"/>
      <c r="BK465" s="346"/>
      <c r="BL465" s="440"/>
      <c r="BN465" s="355"/>
      <c r="BO465" s="1779"/>
      <c r="BP465" s="1779"/>
      <c r="BQ465" s="1779"/>
      <c r="BR465" s="1779"/>
      <c r="BS465" s="1779"/>
      <c r="BT465" s="1779"/>
    </row>
    <row r="466" spans="61:72" x14ac:dyDescent="0.25">
      <c r="BI466" s="1"/>
      <c r="BJ466" s="345"/>
      <c r="BK466" s="346"/>
      <c r="BL466" s="440"/>
      <c r="BN466" s="375">
        <f>YearOpen</f>
        <v>2026</v>
      </c>
      <c r="BO466" s="441">
        <f t="shared" ref="BO466:BO485" ca="1" si="139">OFFSET($BK9,MATCH(BO$462,$A:$A),0)</f>
        <v>0.58555380675059676</v>
      </c>
      <c r="BP466" s="441">
        <f t="shared" ref="BP466:BT475" ca="1" si="140">OFFSET($BK9,MATCH(BP$462,$A:$A),0)</f>
        <v>-2.8340095706159221E-2</v>
      </c>
      <c r="BQ466" s="441">
        <f t="shared" ca="1" si="140"/>
        <v>2.4269423249201805</v>
      </c>
      <c r="BR466" s="441">
        <f t="shared" ca="1" si="140"/>
        <v>3.3716483214332555</v>
      </c>
      <c r="BS466" s="441">
        <f t="shared" ca="1" si="140"/>
        <v>25.569989165077946</v>
      </c>
      <c r="BT466" s="441">
        <f t="shared" ca="1" si="140"/>
        <v>38.008852517824629</v>
      </c>
    </row>
    <row r="467" spans="61:72" x14ac:dyDescent="0.25">
      <c r="BI467" s="1"/>
      <c r="BJ467" s="345"/>
      <c r="BK467" s="346"/>
      <c r="BL467" s="440"/>
      <c r="BN467" s="375">
        <f>BN466+1</f>
        <v>2027</v>
      </c>
      <c r="BO467" s="442">
        <f t="shared" ca="1" si="139"/>
        <v>0.43397375662647109</v>
      </c>
      <c r="BP467" s="442">
        <f t="shared" ca="1" si="140"/>
        <v>-2.772824238174746E-2</v>
      </c>
      <c r="BQ467" s="442">
        <f t="shared" ca="1" si="140"/>
        <v>2.3780776049682468</v>
      </c>
      <c r="BR467" s="442">
        <f t="shared" ca="1" si="140"/>
        <v>3.2842254627548439</v>
      </c>
      <c r="BS467" s="442">
        <f t="shared" ca="1" si="140"/>
        <v>25.962294581192744</v>
      </c>
      <c r="BT467" s="442">
        <f t="shared" ca="1" si="140"/>
        <v>37.666995378116788</v>
      </c>
    </row>
    <row r="468" spans="61:72" x14ac:dyDescent="0.25">
      <c r="BI468" s="1"/>
      <c r="BJ468" s="345"/>
      <c r="BK468" s="346"/>
      <c r="BL468" s="440"/>
      <c r="BN468" s="375">
        <f t="shared" ref="BN468:BN485" si="141">BN467+1</f>
        <v>2028</v>
      </c>
      <c r="BO468" s="442">
        <f t="shared" ca="1" si="139"/>
        <v>0.293187506501911</v>
      </c>
      <c r="BP468" s="442">
        <f t="shared" ca="1" si="140"/>
        <v>-2.7121531479172168E-2</v>
      </c>
      <c r="BQ468" s="442">
        <f t="shared" ca="1" si="140"/>
        <v>2.3293815582597754</v>
      </c>
      <c r="BR468" s="442">
        <f t="shared" ca="1" si="140"/>
        <v>3.1985397939134765</v>
      </c>
      <c r="BS468" s="442">
        <f t="shared" ca="1" si="140"/>
        <v>26.286597229847409</v>
      </c>
      <c r="BT468" s="442">
        <f t="shared" ca="1" si="140"/>
        <v>37.295208828271377</v>
      </c>
    </row>
    <row r="469" spans="61:72" x14ac:dyDescent="0.25">
      <c r="BI469" s="1"/>
      <c r="BJ469" s="345"/>
      <c r="BK469" s="346"/>
      <c r="BL469" s="440"/>
      <c r="BN469" s="375">
        <f t="shared" si="141"/>
        <v>2029</v>
      </c>
      <c r="BO469" s="442">
        <f t="shared" ca="1" si="139"/>
        <v>0.16258899491262963</v>
      </c>
      <c r="BP469" s="442">
        <f t="shared" ca="1" si="140"/>
        <v>-2.6520472535993579E-2</v>
      </c>
      <c r="BQ469" s="442">
        <f t="shared" ca="1" si="140"/>
        <v>2.2809134950185714</v>
      </c>
      <c r="BR469" s="442">
        <f t="shared" ca="1" si="140"/>
        <v>3.1145870086771357</v>
      </c>
      <c r="BS469" s="442">
        <f t="shared" ca="1" si="140"/>
        <v>26.547547759698507</v>
      </c>
      <c r="BT469" s="442">
        <f t="shared" ca="1" si="140"/>
        <v>36.896300836434605</v>
      </c>
    </row>
    <row r="470" spans="61:72" x14ac:dyDescent="0.25">
      <c r="BI470" s="1"/>
      <c r="BJ470" s="345"/>
      <c r="BK470" s="346"/>
      <c r="BL470" s="440"/>
      <c r="BN470" s="375">
        <f t="shared" si="141"/>
        <v>2030</v>
      </c>
      <c r="BO470" s="442">
        <f t="shared" ca="1" si="139"/>
        <v>4.160281334722829E-2</v>
      </c>
      <c r="BP470" s="442">
        <f t="shared" ca="1" si="140"/>
        <v>-2.5925528287439412E-2</v>
      </c>
      <c r="BQ470" s="442">
        <f t="shared" ca="1" si="140"/>
        <v>2.2327279136268947</v>
      </c>
      <c r="BR470" s="442">
        <f t="shared" ca="1" si="140"/>
        <v>3.0323605622549614</v>
      </c>
      <c r="BS470" s="442">
        <f t="shared" ca="1" si="140"/>
        <v>26.749539673007995</v>
      </c>
      <c r="BT470" s="442">
        <f t="shared" ca="1" si="140"/>
        <v>36.472907647478323</v>
      </c>
    </row>
    <row r="471" spans="61:72" x14ac:dyDescent="0.25">
      <c r="BI471" s="1"/>
      <c r="BJ471" s="345"/>
      <c r="BK471" s="346"/>
      <c r="BL471" s="440"/>
      <c r="BN471" s="375">
        <f t="shared" si="141"/>
        <v>2031</v>
      </c>
      <c r="BO471" s="442">
        <f t="shared" ca="1" si="139"/>
        <v>-7.0317255131655876E-2</v>
      </c>
      <c r="BP471" s="442">
        <f t="shared" ca="1" si="140"/>
        <v>-2.5337117512832453E-2</v>
      </c>
      <c r="BQ471" s="442">
        <f t="shared" ca="1" si="140"/>
        <v>2.4486313241127045</v>
      </c>
      <c r="BR471" s="442">
        <f t="shared" ca="1" si="140"/>
        <v>2.9518518498642607</v>
      </c>
      <c r="BS471" s="442">
        <f t="shared" ca="1" si="140"/>
        <v>26.896722226477561</v>
      </c>
      <c r="BT471" s="442">
        <f t="shared" ca="1" si="140"/>
        <v>36.027502838683766</v>
      </c>
    </row>
    <row r="472" spans="61:72" x14ac:dyDescent="0.25">
      <c r="BI472" s="1"/>
      <c r="BJ472" s="345"/>
      <c r="BK472" s="346"/>
      <c r="BL472" s="440"/>
      <c r="BN472" s="375">
        <f t="shared" si="141"/>
        <v>2032</v>
      </c>
      <c r="BO472" s="442">
        <f t="shared" ca="1" si="139"/>
        <v>-0.17368963019699676</v>
      </c>
      <c r="BP472" s="442">
        <f t="shared" ca="1" si="140"/>
        <v>0.16521779243056561</v>
      </c>
      <c r="BQ472" s="442">
        <f t="shared" ca="1" si="140"/>
        <v>2.3954402174651261</v>
      </c>
      <c r="BR472" s="442">
        <f t="shared" ca="1" si="140"/>
        <v>2.8730503748730576</v>
      </c>
      <c r="BS472" s="442">
        <f t="shared" ca="1" si="140"/>
        <v>26.993012720104801</v>
      </c>
      <c r="BT472" s="442">
        <f t="shared" ca="1" si="140"/>
        <v>35.56240593286234</v>
      </c>
    </row>
    <row r="473" spans="61:72" x14ac:dyDescent="0.25">
      <c r="BI473" s="1"/>
      <c r="BJ473" s="345"/>
      <c r="BK473" s="346"/>
      <c r="BL473" s="440"/>
      <c r="BN473" s="375">
        <f t="shared" si="141"/>
        <v>2033</v>
      </c>
      <c r="BO473" s="442">
        <f t="shared" ca="1" si="139"/>
        <v>-8.2430433658593635E-2</v>
      </c>
      <c r="BP473" s="442">
        <f t="shared" ca="1" si="140"/>
        <v>-4.992772932593028E-2</v>
      </c>
      <c r="BQ473" s="442">
        <f t="shared" ca="1" si="140"/>
        <v>0.74296689789552239</v>
      </c>
      <c r="BR473" s="442">
        <f t="shared" ca="1" si="140"/>
        <v>-0.14765736556357018</v>
      </c>
      <c r="BS473" s="442">
        <f t="shared" ca="1" si="140"/>
        <v>10.551635681521875</v>
      </c>
      <c r="BT473" s="442">
        <f t="shared" ca="1" si="140"/>
        <v>13.687881407745968</v>
      </c>
    </row>
    <row r="474" spans="61:72" x14ac:dyDescent="0.25">
      <c r="BI474" s="1"/>
      <c r="BJ474" s="345"/>
      <c r="BK474" s="346"/>
      <c r="BL474" s="440"/>
      <c r="BN474" s="375">
        <f t="shared" si="141"/>
        <v>2034</v>
      </c>
      <c r="BO474" s="442">
        <f t="shared" ca="1" si="139"/>
        <v>-0.10931243990914849</v>
      </c>
      <c r="BP474" s="442">
        <f t="shared" ca="1" si="140"/>
        <v>-4.8809959495696019E-2</v>
      </c>
      <c r="BQ474" s="442">
        <f t="shared" ca="1" si="140"/>
        <v>0.72641136299887188</v>
      </c>
      <c r="BR474" s="442">
        <f t="shared" ca="1" si="140"/>
        <v>-0.14351344296005886</v>
      </c>
      <c r="BS474" s="442">
        <f t="shared" ca="1" si="140"/>
        <v>10.553738201908583</v>
      </c>
      <c r="BT474" s="442">
        <f t="shared" ca="1" si="140"/>
        <v>13.493527082514248</v>
      </c>
    </row>
    <row r="475" spans="61:72" x14ac:dyDescent="0.25">
      <c r="BI475" s="1"/>
      <c r="BJ475" s="345"/>
      <c r="BK475" s="346"/>
      <c r="BL475" s="440"/>
      <c r="BN475" s="375">
        <f t="shared" si="141"/>
        <v>2035</v>
      </c>
      <c r="BO475" s="442">
        <f t="shared" ca="1" si="139"/>
        <v>-0.13400466101371697</v>
      </c>
      <c r="BP475" s="442">
        <f t="shared" ca="1" si="140"/>
        <v>-4.7704314372334744E-2</v>
      </c>
      <c r="BQ475" s="442">
        <f t="shared" ca="1" si="140"/>
        <v>0.71003026732815389</v>
      </c>
      <c r="BR475" s="442">
        <f t="shared" ca="1" si="140"/>
        <v>-0.13946985557817446</v>
      </c>
      <c r="BS475" s="442">
        <f t="shared" ca="1" si="140"/>
        <v>10.540070061434873</v>
      </c>
      <c r="BT475" s="442">
        <f t="shared" ca="1" si="140"/>
        <v>13.293874744714914</v>
      </c>
    </row>
    <row r="476" spans="61:72" x14ac:dyDescent="0.25">
      <c r="BI476" s="1"/>
      <c r="BJ476" s="345"/>
      <c r="BK476" s="346"/>
      <c r="BL476" s="440"/>
      <c r="BN476" s="375">
        <f t="shared" si="141"/>
        <v>2036</v>
      </c>
      <c r="BO476" s="442">
        <f t="shared" ca="1" si="139"/>
        <v>-0.15663577570209186</v>
      </c>
      <c r="BP476" s="442">
        <f t="shared" ref="BP476:BT485" ca="1" si="142">OFFSET($BK19,MATCH(BP$462,$A:$A),0)</f>
        <v>-4.6611514791753343E-2</v>
      </c>
      <c r="BQ476" s="442">
        <f t="shared" ca="1" si="142"/>
        <v>0.69383468291761052</v>
      </c>
      <c r="BR476" s="442">
        <f t="shared" ca="1" si="142"/>
        <v>-0.13552501538696629</v>
      </c>
      <c r="BS476" s="442">
        <f t="shared" ca="1" si="142"/>
        <v>10.511841277622</v>
      </c>
      <c r="BT476" s="442">
        <f t="shared" ca="1" si="142"/>
        <v>13.089619440174539</v>
      </c>
    </row>
    <row r="477" spans="61:72" x14ac:dyDescent="0.25">
      <c r="BI477" s="1"/>
      <c r="BJ477" s="345"/>
      <c r="BK477" s="346"/>
      <c r="BL477" s="440"/>
      <c r="BN477" s="375">
        <f t="shared" si="141"/>
        <v>2037</v>
      </c>
      <c r="BO477" s="442">
        <f t="shared" ca="1" si="139"/>
        <v>-0.17732780366737563</v>
      </c>
      <c r="BP477" s="442">
        <f t="shared" ca="1" si="142"/>
        <v>-4.5532208204985422E-2</v>
      </c>
      <c r="BQ477" s="442">
        <f t="shared" ca="1" si="142"/>
        <v>0.67783457206035136</v>
      </c>
      <c r="BR477" s="442">
        <f t="shared" ca="1" si="142"/>
        <v>-9.7529007470714538E-2</v>
      </c>
      <c r="BS477" s="442">
        <f t="shared" ca="1" si="142"/>
        <v>10.470192119100316</v>
      </c>
      <c r="BT477" s="442">
        <f t="shared" ca="1" si="142"/>
        <v>12.881410586952775</v>
      </c>
    </row>
    <row r="478" spans="61:72" x14ac:dyDescent="0.25">
      <c r="BI478" s="1"/>
      <c r="BJ478" s="345"/>
      <c r="BK478" s="346"/>
      <c r="BL478" s="440"/>
      <c r="BN478" s="375">
        <f t="shared" si="141"/>
        <v>2038</v>
      </c>
      <c r="BO478" s="442">
        <f t="shared" ca="1" si="139"/>
        <v>-0.19619642744642149</v>
      </c>
      <c r="BP478" s="442">
        <f t="shared" ca="1" si="142"/>
        <v>-4.4466973256856945E-2</v>
      </c>
      <c r="BQ478" s="442">
        <f t="shared" ca="1" si="142"/>
        <v>0.66203885629430548</v>
      </c>
      <c r="BR478" s="442">
        <f t="shared" ca="1" si="142"/>
        <v>-9.4719936959541465E-2</v>
      </c>
      <c r="BS478" s="442">
        <f t="shared" ca="1" si="142"/>
        <v>10.416196680941795</v>
      </c>
      <c r="BT478" s="442">
        <f t="shared" ca="1" si="142"/>
        <v>12.669854456996338</v>
      </c>
    </row>
    <row r="479" spans="61:72" x14ac:dyDescent="0.25">
      <c r="BI479" s="1"/>
      <c r="BJ479" s="345"/>
      <c r="BK479" s="346"/>
      <c r="BL479" s="440"/>
      <c r="BN479" s="375">
        <f t="shared" si="141"/>
        <v>2039</v>
      </c>
      <c r="BO479" s="442">
        <f t="shared" ca="1" si="139"/>
        <v>-0.21335129939088518</v>
      </c>
      <c r="BP479" s="442">
        <f t="shared" ca="1" si="142"/>
        <v>-4.3416324121002749E-2</v>
      </c>
      <c r="BQ479" s="442">
        <f t="shared" ca="1" si="142"/>
        <v>0.64645548172319156</v>
      </c>
      <c r="BR479" s="442">
        <f t="shared" ca="1" si="142"/>
        <v>-9.1982675115692233E-2</v>
      </c>
      <c r="BS479" s="442">
        <f t="shared" ca="1" si="142"/>
        <v>10.350866288145891</v>
      </c>
      <c r="BT479" s="442">
        <f t="shared" ca="1" si="142"/>
        <v>12.455516534393121</v>
      </c>
    </row>
    <row r="480" spans="61:72" x14ac:dyDescent="0.25">
      <c r="BI480" s="1"/>
      <c r="BJ480" s="345"/>
      <c r="BK480" s="346"/>
      <c r="BL480" s="440"/>
      <c r="BN480" s="375">
        <f t="shared" si="141"/>
        <v>2040</v>
      </c>
      <c r="BO480" s="442">
        <f t="shared" ca="1" si="139"/>
        <v>-0.22889633439961118</v>
      </c>
      <c r="BP480" s="442">
        <f t="shared" ca="1" si="142"/>
        <v>-4.2380714603207213E-2</v>
      </c>
      <c r="BQ480" s="442">
        <f t="shared" ca="1" si="142"/>
        <v>0.63109148085237865</v>
      </c>
      <c r="BR480" s="442">
        <f t="shared" ca="1" si="142"/>
        <v>-8.9315853625275624E-2</v>
      </c>
      <c r="BS480" s="442">
        <f t="shared" ca="1" si="142"/>
        <v>10.275152735208659</v>
      </c>
      <c r="BT480" s="442">
        <f t="shared" ca="1" si="142"/>
        <v>12.238923756047862</v>
      </c>
    </row>
    <row r="481" spans="61:72" x14ac:dyDescent="0.25">
      <c r="BI481" s="1"/>
      <c r="BJ481" s="345"/>
      <c r="BK481" s="346"/>
      <c r="BL481" s="440"/>
      <c r="BN481" s="375">
        <f t="shared" si="141"/>
        <v>2041</v>
      </c>
      <c r="BO481" s="442">
        <f t="shared" ca="1" si="139"/>
        <v>-0.24292998905353724</v>
      </c>
      <c r="BP481" s="442">
        <f t="shared" ca="1" si="142"/>
        <v>-1.1587667166025755E-2</v>
      </c>
      <c r="BQ481" s="442">
        <f t="shared" ca="1" si="142"/>
        <v>0.61595303111109101</v>
      </c>
      <c r="BR481" s="442">
        <f t="shared" ca="1" si="142"/>
        <v>-8.6718103203477073E-2</v>
      </c>
      <c r="BS481" s="442">
        <f t="shared" ca="1" si="142"/>
        <v>10.18995136934922</v>
      </c>
      <c r="BT481" s="442">
        <f t="shared" ca="1" si="142"/>
        <v>12.020566640335069</v>
      </c>
    </row>
    <row r="482" spans="61:72" x14ac:dyDescent="0.25">
      <c r="BI482" s="1"/>
      <c r="BJ482" s="345"/>
      <c r="BK482" s="346"/>
      <c r="BL482" s="440"/>
      <c r="BN482" s="375">
        <f t="shared" si="141"/>
        <v>2042</v>
      </c>
      <c r="BO482" s="442">
        <f t="shared" ca="1" si="139"/>
        <v>-0.1927900376992337</v>
      </c>
      <c r="BP482" s="442">
        <f t="shared" ca="1" si="142"/>
        <v>-1.1302070292181696E-2</v>
      </c>
      <c r="BQ482" s="442">
        <f t="shared" ca="1" si="142"/>
        <v>0.60104551022438135</v>
      </c>
      <c r="BR482" s="442">
        <f t="shared" ca="1" si="142"/>
        <v>-8.418805569337684E-2</v>
      </c>
      <c r="BS482" s="442">
        <f t="shared" ca="1" si="142"/>
        <v>10.09610402462806</v>
      </c>
      <c r="BT482" s="442">
        <f t="shared" ca="1" si="142"/>
        <v>11.800901309032085</v>
      </c>
    </row>
    <row r="483" spans="61:72" x14ac:dyDescent="0.25">
      <c r="BI483" s="1"/>
      <c r="BJ483" s="345"/>
      <c r="BK483" s="346"/>
      <c r="BL483" s="440"/>
      <c r="BN483" s="375">
        <f t="shared" si="141"/>
        <v>2043</v>
      </c>
      <c r="BO483" s="442">
        <f t="shared" ca="1" si="139"/>
        <v>-0.20584545668165732</v>
      </c>
      <c r="BP483" s="442">
        <f t="shared" ca="1" si="142"/>
        <v>-1.1021300889156831E-2</v>
      </c>
      <c r="BQ483" s="442">
        <f t="shared" ca="1" si="142"/>
        <v>0.58637354859062629</v>
      </c>
      <c r="BR483" s="442">
        <f t="shared" ca="1" si="142"/>
        <v>-8.1724346004759418E-2</v>
      </c>
      <c r="BS483" s="442">
        <f t="shared" ca="1" si="142"/>
        <v>9.9944018138657107</v>
      </c>
      <c r="BT483" s="442">
        <f t="shared" ca="1" si="142"/>
        <v>11.580351407592131</v>
      </c>
    </row>
    <row r="484" spans="61:72" x14ac:dyDescent="0.25">
      <c r="BI484" s="1"/>
      <c r="BJ484" s="345"/>
      <c r="BK484" s="346"/>
      <c r="BL484" s="440"/>
      <c r="BN484" s="375">
        <f t="shared" si="141"/>
        <v>2044</v>
      </c>
      <c r="BO484" s="442">
        <f t="shared" ca="1" si="139"/>
        <v>-0.21761142030197289</v>
      </c>
      <c r="BP484" s="442">
        <f t="shared" ca="1" si="142"/>
        <v>-1.0745410093624737E-2</v>
      </c>
      <c r="BQ484" s="442">
        <f t="shared" ca="1" si="142"/>
        <v>0.57194107881298328</v>
      </c>
      <c r="BR484" s="442">
        <f t="shared" ca="1" si="142"/>
        <v>-7.9325613902110362E-2</v>
      </c>
      <c r="BS484" s="442">
        <f t="shared" ca="1" si="142"/>
        <v>9.885587784959899</v>
      </c>
      <c r="BT484" s="442">
        <f t="shared" ca="1" si="142"/>
        <v>11.359309928586873</v>
      </c>
    </row>
    <row r="485" spans="61:72" x14ac:dyDescent="0.25">
      <c r="BI485" s="1"/>
      <c r="BJ485" s="345"/>
      <c r="BK485" s="346"/>
      <c r="BL485" s="440"/>
      <c r="BN485" s="375">
        <f t="shared" si="141"/>
        <v>2045</v>
      </c>
      <c r="BO485" s="442">
        <f t="shared" ca="1" si="139"/>
        <v>-0.2281678046842148</v>
      </c>
      <c r="BP485" s="442">
        <f t="shared" ca="1" si="142"/>
        <v>-1.0474437967440128E-2</v>
      </c>
      <c r="BQ485" s="442">
        <f t="shared" ca="1" si="142"/>
        <v>0.55775138252623713</v>
      </c>
      <c r="BR485" s="442">
        <f t="shared" ca="1" si="142"/>
        <v>-7.6990505650544397E-2</v>
      </c>
      <c r="BS485" s="442">
        <f t="shared" ca="1" si="142"/>
        <v>9.7703594479020577</v>
      </c>
      <c r="BT485" s="442">
        <f t="shared" ca="1" si="142"/>
        <v>11.138140942925821</v>
      </c>
    </row>
    <row r="486" spans="61:72" x14ac:dyDescent="0.25">
      <c r="BI486" s="1"/>
      <c r="BJ486" s="345"/>
      <c r="BK486" s="346"/>
      <c r="BL486" s="440"/>
      <c r="BN486" s="385"/>
      <c r="BO486" s="389"/>
      <c r="BP486" s="389"/>
      <c r="BQ486" s="389"/>
      <c r="BR486" s="389"/>
      <c r="BS486" s="389"/>
      <c r="BT486" s="389"/>
    </row>
    <row r="487" spans="61:72" x14ac:dyDescent="0.25">
      <c r="BI487" s="1"/>
      <c r="BJ487" s="345"/>
      <c r="BK487" s="346"/>
      <c r="BL487" s="440"/>
      <c r="BN487" s="407" t="s">
        <v>56</v>
      </c>
      <c r="BO487" s="408">
        <f t="shared" ref="BO487:BT487" ca="1" si="143">SUM(BO466:BO485)</f>
        <v>-1.1125998907982764</v>
      </c>
      <c r="BP487" s="408">
        <f t="shared" ca="1" si="143"/>
        <v>-0.41973582005297461</v>
      </c>
      <c r="BQ487" s="408">
        <f t="shared" ca="1" si="143"/>
        <v>24.915842591707204</v>
      </c>
      <c r="BR487" s="408">
        <f t="shared" ca="1" si="143"/>
        <v>20.477603596656721</v>
      </c>
      <c r="BS487" s="408">
        <f t="shared" ca="1" si="143"/>
        <v>318.61180084199589</v>
      </c>
      <c r="BT487" s="408">
        <f t="shared" ca="1" si="143"/>
        <v>419.64005221768355</v>
      </c>
    </row>
    <row r="488" spans="61:72" x14ac:dyDescent="0.25">
      <c r="BI488" s="1"/>
      <c r="BJ488" s="345"/>
      <c r="BK488" s="346"/>
      <c r="BL488" s="440"/>
    </row>
    <row r="489" spans="61:72" x14ac:dyDescent="0.25">
      <c r="BI489" s="1"/>
      <c r="BJ489" s="345"/>
      <c r="BK489" s="346"/>
      <c r="BL489" s="440"/>
    </row>
    <row r="490" spans="61:72" x14ac:dyDescent="0.25">
      <c r="BI490" s="1"/>
      <c r="BJ490" s="345"/>
      <c r="BK490" s="346"/>
      <c r="BL490" s="440"/>
    </row>
    <row r="491" spans="61:72" x14ac:dyDescent="0.25">
      <c r="BI491" s="1"/>
      <c r="BJ491" s="345"/>
      <c r="BK491" s="346"/>
      <c r="BL491" s="440"/>
    </row>
    <row r="492" spans="61:72" x14ac:dyDescent="0.25">
      <c r="BI492" s="1"/>
      <c r="BJ492" s="345"/>
      <c r="BK492" s="346"/>
      <c r="BL492" s="440"/>
    </row>
    <row r="493" spans="61:72" x14ac:dyDescent="0.25">
      <c r="BI493" s="1"/>
      <c r="BJ493" s="345"/>
      <c r="BK493" s="346"/>
      <c r="BL493" s="440"/>
    </row>
    <row r="494" spans="61:72" x14ac:dyDescent="0.25">
      <c r="BI494" s="1"/>
      <c r="BJ494" s="345"/>
      <c r="BK494" s="346"/>
      <c r="BL494" s="440"/>
    </row>
    <row r="495" spans="61:72" x14ac:dyDescent="0.25">
      <c r="BI495" s="1"/>
      <c r="BJ495" s="345"/>
      <c r="BK495" s="346"/>
      <c r="BL495" s="440"/>
    </row>
    <row r="496" spans="61:72" x14ac:dyDescent="0.25">
      <c r="BI496" s="1"/>
      <c r="BJ496" s="345"/>
      <c r="BK496" s="346"/>
      <c r="BL496" s="440"/>
    </row>
    <row r="497" spans="61:64" x14ac:dyDescent="0.25">
      <c r="BI497" s="1"/>
      <c r="BJ497" s="345"/>
      <c r="BK497" s="346"/>
      <c r="BL497" s="440"/>
    </row>
    <row r="498" spans="61:64" x14ac:dyDescent="0.25">
      <c r="BI498" s="1"/>
      <c r="BJ498" s="345"/>
      <c r="BK498" s="346"/>
      <c r="BL498" s="440"/>
    </row>
    <row r="499" spans="61:64" x14ac:dyDescent="0.25">
      <c r="BI499" s="1"/>
      <c r="BJ499" s="345"/>
      <c r="BK499" s="346"/>
      <c r="BL499" s="440"/>
    </row>
    <row r="500" spans="61:64" x14ac:dyDescent="0.25">
      <c r="BI500" s="1"/>
      <c r="BJ500" s="345"/>
      <c r="BK500" s="346"/>
      <c r="BL500" s="440"/>
    </row>
    <row r="501" spans="61:64" x14ac:dyDescent="0.25">
      <c r="BI501" s="1"/>
      <c r="BJ501" s="345"/>
      <c r="BK501" s="346"/>
      <c r="BL501" s="440"/>
    </row>
    <row r="502" spans="61:64" x14ac:dyDescent="0.25">
      <c r="BI502" s="1"/>
      <c r="BJ502" s="345"/>
      <c r="BK502" s="346"/>
      <c r="BL502" s="440"/>
    </row>
    <row r="503" spans="61:64" x14ac:dyDescent="0.25">
      <c r="BI503" s="1"/>
      <c r="BJ503" s="345"/>
      <c r="BK503" s="346"/>
      <c r="BL503" s="440"/>
    </row>
    <row r="504" spans="61:64" x14ac:dyDescent="0.25">
      <c r="BI504" s="1"/>
      <c r="BJ504" s="345"/>
      <c r="BK504" s="346"/>
      <c r="BL504" s="440"/>
    </row>
    <row r="505" spans="61:64" x14ac:dyDescent="0.25">
      <c r="BI505" s="1"/>
      <c r="BJ505" s="345"/>
      <c r="BK505" s="346"/>
      <c r="BL505" s="440"/>
    </row>
    <row r="506" spans="61:64" x14ac:dyDescent="0.25">
      <c r="BI506" s="1"/>
      <c r="BJ506" s="345"/>
      <c r="BK506" s="346"/>
      <c r="BL506" s="440"/>
    </row>
    <row r="507" spans="61:64" x14ac:dyDescent="0.25">
      <c r="BI507" s="1"/>
      <c r="BJ507" s="345"/>
      <c r="BK507" s="346"/>
      <c r="BL507" s="440"/>
    </row>
    <row r="508" spans="61:64" x14ac:dyDescent="0.25">
      <c r="BI508" s="1"/>
      <c r="BJ508" s="345"/>
      <c r="BK508" s="346"/>
      <c r="BL508" s="440"/>
    </row>
    <row r="509" spans="61:64" x14ac:dyDescent="0.25">
      <c r="BI509" s="1"/>
      <c r="BJ509" s="345"/>
      <c r="BK509" s="346"/>
      <c r="BL509" s="440"/>
    </row>
    <row r="510" spans="61:64" x14ac:dyDescent="0.25">
      <c r="BI510" s="1"/>
      <c r="BJ510" s="345"/>
      <c r="BK510" s="346"/>
      <c r="BL510" s="440"/>
    </row>
    <row r="511" spans="61:64" x14ac:dyDescent="0.25">
      <c r="BI511" s="1"/>
      <c r="BJ511" s="345"/>
      <c r="BK511" s="346"/>
      <c r="BL511" s="440"/>
    </row>
    <row r="512" spans="61:64" x14ac:dyDescent="0.25">
      <c r="BI512" s="1"/>
      <c r="BJ512" s="345"/>
      <c r="BK512" s="346"/>
      <c r="BL512" s="440"/>
    </row>
    <row r="513" spans="61:64" x14ac:dyDescent="0.25">
      <c r="BI513" s="1"/>
      <c r="BJ513" s="345"/>
      <c r="BK513" s="346"/>
      <c r="BL513" s="440"/>
    </row>
    <row r="514" spans="61:64" x14ac:dyDescent="0.25">
      <c r="BI514" s="1"/>
      <c r="BJ514" s="345"/>
      <c r="BK514" s="346"/>
      <c r="BL514" s="440"/>
    </row>
    <row r="515" spans="61:64" x14ac:dyDescent="0.25">
      <c r="BI515" s="1"/>
      <c r="BJ515" s="345"/>
      <c r="BK515" s="346"/>
      <c r="BL515" s="440"/>
    </row>
    <row r="516" spans="61:64" x14ac:dyDescent="0.25">
      <c r="BI516" s="1"/>
      <c r="BJ516" s="345"/>
      <c r="BK516" s="346"/>
      <c r="BL516" s="440"/>
    </row>
    <row r="517" spans="61:64" x14ac:dyDescent="0.25">
      <c r="BI517" s="1"/>
      <c r="BJ517" s="345"/>
      <c r="BK517" s="346"/>
      <c r="BL517" s="440"/>
    </row>
    <row r="518" spans="61:64" x14ac:dyDescent="0.25">
      <c r="BI518" s="1"/>
      <c r="BJ518" s="345"/>
      <c r="BK518" s="346"/>
      <c r="BL518" s="440"/>
    </row>
    <row r="519" spans="61:64" x14ac:dyDescent="0.25">
      <c r="BI519" s="1"/>
      <c r="BJ519" s="345"/>
      <c r="BK519" s="346"/>
      <c r="BL519" s="440"/>
    </row>
    <row r="520" spans="61:64" x14ac:dyDescent="0.25">
      <c r="BI520" s="1"/>
      <c r="BJ520" s="345"/>
      <c r="BK520" s="346"/>
      <c r="BL520" s="440"/>
    </row>
    <row r="521" spans="61:64" x14ac:dyDescent="0.25">
      <c r="BI521" s="1"/>
      <c r="BJ521" s="345"/>
      <c r="BK521" s="346"/>
      <c r="BL521" s="440"/>
    </row>
    <row r="522" spans="61:64" x14ac:dyDescent="0.25">
      <c r="BI522" s="1"/>
      <c r="BJ522" s="345"/>
      <c r="BK522" s="346"/>
      <c r="BL522" s="440"/>
    </row>
    <row r="523" spans="61:64" x14ac:dyDescent="0.25">
      <c r="BI523" s="1"/>
      <c r="BJ523" s="345"/>
      <c r="BK523" s="346"/>
      <c r="BL523" s="440"/>
    </row>
    <row r="524" spans="61:64" x14ac:dyDescent="0.25">
      <c r="BI524" s="1"/>
      <c r="BJ524" s="345"/>
      <c r="BK524" s="346"/>
      <c r="BL524" s="440"/>
    </row>
    <row r="525" spans="61:64" x14ac:dyDescent="0.25">
      <c r="BI525" s="1"/>
      <c r="BJ525" s="345"/>
      <c r="BK525" s="346"/>
      <c r="BL525" s="440"/>
    </row>
    <row r="526" spans="61:64" x14ac:dyDescent="0.25">
      <c r="BI526" s="1"/>
      <c r="BJ526" s="345"/>
      <c r="BK526" s="346"/>
      <c r="BL526" s="440"/>
    </row>
    <row r="527" spans="61:64" x14ac:dyDescent="0.25">
      <c r="BI527" s="1"/>
      <c r="BJ527" s="345"/>
      <c r="BK527" s="346"/>
      <c r="BL527" s="440"/>
    </row>
    <row r="528" spans="61:64" x14ac:dyDescent="0.25">
      <c r="BI528" s="1"/>
      <c r="BJ528" s="345"/>
      <c r="BK528" s="346"/>
      <c r="BL528" s="440"/>
    </row>
    <row r="529" spans="61:64" x14ac:dyDescent="0.25">
      <c r="BI529" s="1"/>
      <c r="BJ529" s="345"/>
      <c r="BK529" s="346"/>
      <c r="BL529" s="440"/>
    </row>
    <row r="530" spans="61:64" x14ac:dyDescent="0.25">
      <c r="BI530" s="1"/>
      <c r="BJ530" s="345"/>
      <c r="BK530" s="346"/>
      <c r="BL530" s="440"/>
    </row>
    <row r="531" spans="61:64" x14ac:dyDescent="0.25">
      <c r="BI531" s="1"/>
      <c r="BJ531" s="345"/>
      <c r="BK531" s="346"/>
      <c r="BL531" s="440"/>
    </row>
    <row r="532" spans="61:64" x14ac:dyDescent="0.25">
      <c r="BI532" s="1"/>
      <c r="BJ532" s="345"/>
      <c r="BK532" s="346"/>
      <c r="BL532" s="440"/>
    </row>
    <row r="533" spans="61:64" x14ac:dyDescent="0.25">
      <c r="BI533" s="1"/>
      <c r="BJ533" s="345"/>
      <c r="BK533" s="346"/>
      <c r="BL533" s="440"/>
    </row>
    <row r="534" spans="61:64" x14ac:dyDescent="0.25">
      <c r="BI534" s="1"/>
      <c r="BJ534" s="345"/>
      <c r="BK534" s="346"/>
      <c r="BL534" s="440"/>
    </row>
    <row r="535" spans="61:64" x14ac:dyDescent="0.25">
      <c r="BI535" s="1"/>
      <c r="BJ535" s="345"/>
      <c r="BK535" s="346"/>
      <c r="BL535" s="440"/>
    </row>
    <row r="536" spans="61:64" x14ac:dyDescent="0.25">
      <c r="BI536" s="1"/>
      <c r="BJ536" s="345"/>
      <c r="BK536" s="346"/>
      <c r="BL536" s="440"/>
    </row>
    <row r="537" spans="61:64" x14ac:dyDescent="0.25">
      <c r="BI537" s="1"/>
      <c r="BJ537" s="345"/>
      <c r="BK537" s="346"/>
      <c r="BL537" s="440"/>
    </row>
    <row r="538" spans="61:64" x14ac:dyDescent="0.25">
      <c r="BI538" s="1"/>
      <c r="BJ538" s="345"/>
      <c r="BK538" s="346"/>
      <c r="BL538" s="440"/>
    </row>
    <row r="539" spans="61:64" x14ac:dyDescent="0.25">
      <c r="BI539" s="1"/>
      <c r="BJ539" s="345"/>
      <c r="BK539" s="346"/>
      <c r="BL539" s="440"/>
    </row>
    <row r="540" spans="61:64" x14ac:dyDescent="0.25">
      <c r="BI540" s="1"/>
      <c r="BJ540" s="345"/>
      <c r="BK540" s="346"/>
      <c r="BL540" s="440"/>
    </row>
    <row r="541" spans="61:64" x14ac:dyDescent="0.25">
      <c r="BI541" s="1"/>
      <c r="BJ541" s="345"/>
      <c r="BK541" s="346"/>
      <c r="BL541" s="440"/>
    </row>
    <row r="542" spans="61:64" x14ac:dyDescent="0.25">
      <c r="BI542" s="1"/>
      <c r="BJ542" s="345"/>
      <c r="BK542" s="346"/>
      <c r="BL542" s="440"/>
    </row>
    <row r="543" spans="61:64" x14ac:dyDescent="0.25">
      <c r="BI543" s="1"/>
      <c r="BJ543" s="345"/>
      <c r="BK543" s="346"/>
      <c r="BL543" s="440"/>
    </row>
    <row r="544" spans="61:64" x14ac:dyDescent="0.25">
      <c r="BI544" s="1"/>
      <c r="BJ544" s="345"/>
      <c r="BK544" s="346"/>
      <c r="BL544" s="440"/>
    </row>
    <row r="545" spans="61:64" x14ac:dyDescent="0.25">
      <c r="BI545" s="1"/>
      <c r="BJ545" s="345"/>
      <c r="BK545" s="346"/>
      <c r="BL545" s="440"/>
    </row>
    <row r="546" spans="61:64" x14ac:dyDescent="0.25">
      <c r="BI546" s="1"/>
      <c r="BJ546" s="345"/>
      <c r="BK546" s="346"/>
      <c r="BL546" s="440"/>
    </row>
    <row r="547" spans="61:64" x14ac:dyDescent="0.25">
      <c r="BI547" s="1"/>
      <c r="BJ547" s="345"/>
      <c r="BK547" s="346"/>
      <c r="BL547" s="440"/>
    </row>
    <row r="548" spans="61:64" x14ac:dyDescent="0.25">
      <c r="BI548" s="1"/>
      <c r="BJ548" s="345"/>
      <c r="BK548" s="346"/>
      <c r="BL548" s="440"/>
    </row>
    <row r="549" spans="61:64" x14ac:dyDescent="0.25">
      <c r="BI549" s="1"/>
      <c r="BJ549" s="345"/>
      <c r="BK549" s="346"/>
      <c r="BL549" s="440"/>
    </row>
    <row r="550" spans="61:64" x14ac:dyDescent="0.25">
      <c r="BI550" s="1"/>
      <c r="BJ550" s="345"/>
      <c r="BK550" s="346"/>
      <c r="BL550" s="440"/>
    </row>
    <row r="551" spans="61:64" x14ac:dyDescent="0.25">
      <c r="BI551" s="1"/>
      <c r="BJ551" s="345"/>
      <c r="BK551" s="346"/>
      <c r="BL551" s="440"/>
    </row>
    <row r="552" spans="61:64" x14ac:dyDescent="0.25">
      <c r="BI552" s="1"/>
      <c r="BJ552" s="345"/>
      <c r="BK552" s="346"/>
      <c r="BL552" s="440"/>
    </row>
    <row r="553" spans="61:64" x14ac:dyDescent="0.25">
      <c r="BI553" s="1"/>
      <c r="BJ553" s="345"/>
      <c r="BK553" s="346"/>
      <c r="BL553" s="440"/>
    </row>
    <row r="554" spans="61:64" x14ac:dyDescent="0.25">
      <c r="BI554" s="1"/>
      <c r="BJ554" s="345"/>
      <c r="BK554" s="346"/>
      <c r="BL554" s="440"/>
    </row>
    <row r="555" spans="61:64" x14ac:dyDescent="0.25">
      <c r="BI555" s="1"/>
      <c r="BJ555" s="345"/>
      <c r="BK555" s="346"/>
      <c r="BL555" s="440"/>
    </row>
    <row r="556" spans="61:64" x14ac:dyDescent="0.25">
      <c r="BI556" s="1"/>
      <c r="BJ556" s="345"/>
      <c r="BK556" s="346"/>
      <c r="BL556" s="440"/>
    </row>
    <row r="557" spans="61:64" x14ac:dyDescent="0.25">
      <c r="BI557" s="1"/>
      <c r="BJ557" s="345"/>
      <c r="BK557" s="346"/>
      <c r="BL557" s="440"/>
    </row>
    <row r="558" spans="61:64" x14ac:dyDescent="0.25">
      <c r="BI558" s="1"/>
      <c r="BJ558" s="345"/>
      <c r="BK558" s="346"/>
      <c r="BL558" s="440"/>
    </row>
    <row r="559" spans="61:64" x14ac:dyDescent="0.25">
      <c r="BI559" s="1"/>
      <c r="BJ559" s="345"/>
      <c r="BK559" s="346"/>
      <c r="BL559" s="440"/>
    </row>
    <row r="560" spans="61:64" x14ac:dyDescent="0.25">
      <c r="BI560" s="1"/>
      <c r="BJ560" s="345"/>
      <c r="BK560" s="346"/>
      <c r="BL560" s="440"/>
    </row>
    <row r="561" spans="61:64" x14ac:dyDescent="0.25">
      <c r="BI561" s="352"/>
      <c r="BJ561" s="354"/>
      <c r="BK561" s="354"/>
      <c r="BL561" s="440"/>
    </row>
    <row r="562" spans="61:64" x14ac:dyDescent="0.25">
      <c r="BI562" s="362"/>
      <c r="BJ562" s="354"/>
      <c r="BK562" s="354"/>
      <c r="BL562" s="440"/>
    </row>
    <row r="563" spans="61:64" x14ac:dyDescent="0.25">
      <c r="BI563" s="372"/>
      <c r="BJ563" s="373"/>
      <c r="BK563" s="373"/>
      <c r="BL563" s="440"/>
    </row>
    <row r="564" spans="61:64" x14ac:dyDescent="0.25">
      <c r="BI564" s="372"/>
      <c r="BJ564" s="373"/>
      <c r="BK564" s="373"/>
      <c r="BL564" s="440"/>
    </row>
    <row r="565" spans="61:64" x14ac:dyDescent="0.25">
      <c r="BI565" s="372"/>
      <c r="BJ565" s="373"/>
      <c r="BK565" s="373"/>
      <c r="BL565" s="440"/>
    </row>
    <row r="566" spans="61:64" x14ac:dyDescent="0.25">
      <c r="BI566" s="372"/>
      <c r="BJ566" s="373"/>
      <c r="BK566" s="373"/>
      <c r="BL566" s="440"/>
    </row>
    <row r="567" spans="61:64" x14ac:dyDescent="0.25">
      <c r="BI567" s="372"/>
      <c r="BJ567" s="373"/>
      <c r="BK567" s="373"/>
      <c r="BL567" s="440"/>
    </row>
    <row r="568" spans="61:64" x14ac:dyDescent="0.25">
      <c r="BI568" s="372"/>
      <c r="BJ568" s="373"/>
      <c r="BK568" s="373"/>
      <c r="BL568" s="440"/>
    </row>
    <row r="569" spans="61:64" x14ac:dyDescent="0.25">
      <c r="BI569" s="372"/>
      <c r="BJ569" s="373"/>
      <c r="BK569" s="373"/>
      <c r="BL569" s="440"/>
    </row>
    <row r="570" spans="61:64" x14ac:dyDescent="0.25">
      <c r="BI570" s="372"/>
      <c r="BJ570" s="373"/>
      <c r="BK570" s="373"/>
      <c r="BL570" s="440"/>
    </row>
    <row r="571" spans="61:64" x14ac:dyDescent="0.25">
      <c r="BI571" s="372"/>
      <c r="BJ571" s="373"/>
      <c r="BK571" s="373"/>
      <c r="BL571" s="440"/>
    </row>
    <row r="572" spans="61:64" x14ac:dyDescent="0.25">
      <c r="BI572" s="372"/>
      <c r="BJ572" s="373"/>
      <c r="BK572" s="373"/>
      <c r="BL572" s="440"/>
    </row>
    <row r="573" spans="61:64" x14ac:dyDescent="0.25">
      <c r="BI573" s="372"/>
      <c r="BJ573" s="373"/>
      <c r="BK573" s="373"/>
      <c r="BL573" s="440"/>
    </row>
    <row r="574" spans="61:64" x14ac:dyDescent="0.25">
      <c r="BI574" s="372"/>
      <c r="BJ574" s="373"/>
      <c r="BK574" s="373"/>
      <c r="BL574" s="440"/>
    </row>
    <row r="575" spans="61:64" x14ac:dyDescent="0.25">
      <c r="BI575" s="372"/>
      <c r="BJ575" s="373"/>
      <c r="BK575" s="373"/>
      <c r="BL575" s="440"/>
    </row>
    <row r="576" spans="61:64" x14ac:dyDescent="0.25">
      <c r="BI576" s="372"/>
      <c r="BJ576" s="373"/>
      <c r="BK576" s="373"/>
      <c r="BL576" s="440"/>
    </row>
    <row r="577" spans="61:64" x14ac:dyDescent="0.25">
      <c r="BI577" s="372"/>
      <c r="BJ577" s="373"/>
      <c r="BK577" s="373"/>
      <c r="BL577" s="440"/>
    </row>
    <row r="578" spans="61:64" x14ac:dyDescent="0.25">
      <c r="BI578" s="372"/>
      <c r="BJ578" s="373"/>
      <c r="BK578" s="373"/>
      <c r="BL578" s="440"/>
    </row>
    <row r="579" spans="61:64" x14ac:dyDescent="0.25">
      <c r="BI579" s="372"/>
      <c r="BJ579" s="373"/>
      <c r="BK579" s="373"/>
      <c r="BL579" s="440"/>
    </row>
    <row r="580" spans="61:64" x14ac:dyDescent="0.25">
      <c r="BI580" s="372"/>
      <c r="BJ580" s="373"/>
      <c r="BK580" s="373"/>
      <c r="BL580" s="440"/>
    </row>
    <row r="581" spans="61:64" x14ac:dyDescent="0.25">
      <c r="BI581" s="372"/>
      <c r="BJ581" s="373"/>
      <c r="BK581" s="373"/>
      <c r="BL581" s="440"/>
    </row>
    <row r="582" spans="61:64" x14ac:dyDescent="0.25">
      <c r="BI582" s="372"/>
      <c r="BJ582" s="373"/>
      <c r="BK582" s="373"/>
      <c r="BL582" s="440"/>
    </row>
    <row r="583" spans="61:64" x14ac:dyDescent="0.25">
      <c r="BI583" s="372"/>
      <c r="BJ583" s="373"/>
      <c r="BK583" s="373"/>
      <c r="BL583" s="440"/>
    </row>
    <row r="584" spans="61:64" x14ac:dyDescent="0.25">
      <c r="BI584" s="372"/>
      <c r="BJ584" s="373"/>
      <c r="BK584" s="373"/>
      <c r="BL584" s="440"/>
    </row>
    <row r="585" spans="61:64" x14ac:dyDescent="0.25">
      <c r="BI585" s="352"/>
      <c r="BJ585" s="417"/>
      <c r="BK585" s="2"/>
      <c r="BL585" s="440"/>
    </row>
    <row r="586" spans="61:64" x14ac:dyDescent="0.25">
      <c r="BL586" s="440"/>
    </row>
    <row r="587" spans="61:64" x14ac:dyDescent="0.25">
      <c r="BL587" s="440"/>
    </row>
    <row r="588" spans="61:64" x14ac:dyDescent="0.25">
      <c r="BI588" s="319"/>
      <c r="BJ588" s="2"/>
      <c r="BK588" s="2"/>
      <c r="BL588" s="440"/>
    </row>
    <row r="589" spans="61:64" x14ac:dyDescent="0.25">
      <c r="BI589" s="2"/>
      <c r="BJ589" s="2"/>
      <c r="BK589" s="321"/>
      <c r="BL589" s="440"/>
    </row>
    <row r="590" spans="61:64" ht="15.75" x14ac:dyDescent="0.25">
      <c r="BI590" s="2"/>
      <c r="BJ590" s="332"/>
      <c r="BK590" s="38"/>
      <c r="BL590" s="440"/>
    </row>
    <row r="591" spans="61:64" x14ac:dyDescent="0.25">
      <c r="BI591" s="1"/>
      <c r="BJ591" s="345"/>
      <c r="BK591" s="346"/>
      <c r="BL591" s="354"/>
    </row>
    <row r="592" spans="61:64" x14ac:dyDescent="0.25">
      <c r="BI592" s="352"/>
      <c r="BJ592" s="354"/>
      <c r="BK592" s="354"/>
      <c r="BL592" s="354"/>
    </row>
    <row r="593" spans="61:64" x14ac:dyDescent="0.25">
      <c r="BI593" s="362"/>
      <c r="BJ593" s="354"/>
      <c r="BK593" s="354"/>
      <c r="BL593" s="431"/>
    </row>
    <row r="594" spans="61:64" x14ac:dyDescent="0.25">
      <c r="BI594" s="372"/>
      <c r="BJ594" s="373"/>
      <c r="BK594" s="373"/>
      <c r="BL594" s="431"/>
    </row>
    <row r="595" spans="61:64" x14ac:dyDescent="0.25">
      <c r="BI595" s="372"/>
      <c r="BJ595" s="373"/>
      <c r="BK595" s="373"/>
      <c r="BL595" s="374"/>
    </row>
    <row r="596" spans="61:64" x14ac:dyDescent="0.25">
      <c r="BI596" s="372"/>
      <c r="BJ596" s="373"/>
      <c r="BK596" s="373"/>
      <c r="BL596" s="431"/>
    </row>
    <row r="597" spans="61:64" x14ac:dyDescent="0.25">
      <c r="BI597" s="372"/>
      <c r="BJ597" s="373"/>
      <c r="BK597" s="373"/>
      <c r="BL597" s="431"/>
    </row>
    <row r="598" spans="61:64" x14ac:dyDescent="0.25">
      <c r="BI598" s="372"/>
      <c r="BJ598" s="373"/>
      <c r="BK598" s="373"/>
      <c r="BL598" s="431"/>
    </row>
    <row r="599" spans="61:64" x14ac:dyDescent="0.25">
      <c r="BI599" s="372"/>
      <c r="BJ599" s="373"/>
      <c r="BK599" s="373"/>
      <c r="BL599" s="431"/>
    </row>
    <row r="600" spans="61:64" x14ac:dyDescent="0.25">
      <c r="BI600" s="372"/>
      <c r="BJ600" s="373"/>
      <c r="BK600" s="373"/>
      <c r="BL600" s="431"/>
    </row>
    <row r="601" spans="61:64" x14ac:dyDescent="0.25">
      <c r="BI601" s="372"/>
      <c r="BJ601" s="373"/>
      <c r="BK601" s="373"/>
      <c r="BL601" s="431"/>
    </row>
    <row r="602" spans="61:64" x14ac:dyDescent="0.25">
      <c r="BI602" s="372"/>
      <c r="BJ602" s="373"/>
      <c r="BK602" s="373"/>
      <c r="BL602" s="431"/>
    </row>
    <row r="603" spans="61:64" x14ac:dyDescent="0.25">
      <c r="BI603" s="372"/>
      <c r="BJ603" s="373"/>
      <c r="BK603" s="373"/>
      <c r="BL603" s="431"/>
    </row>
    <row r="604" spans="61:64" x14ac:dyDescent="0.25">
      <c r="BI604" s="372"/>
      <c r="BJ604" s="373"/>
      <c r="BK604" s="373"/>
      <c r="BL604" s="431"/>
    </row>
    <row r="605" spans="61:64" x14ac:dyDescent="0.25">
      <c r="BI605" s="372"/>
      <c r="BJ605" s="373"/>
      <c r="BK605" s="373"/>
      <c r="BL605" s="431"/>
    </row>
    <row r="606" spans="61:64" x14ac:dyDescent="0.25">
      <c r="BI606" s="372"/>
      <c r="BJ606" s="373"/>
      <c r="BK606" s="373"/>
      <c r="BL606" s="431"/>
    </row>
    <row r="607" spans="61:64" x14ac:dyDescent="0.25">
      <c r="BI607" s="372"/>
      <c r="BJ607" s="373"/>
      <c r="BK607" s="373"/>
      <c r="BL607" s="431"/>
    </row>
    <row r="608" spans="61:64" x14ac:dyDescent="0.25">
      <c r="BI608" s="372"/>
      <c r="BJ608" s="373"/>
      <c r="BK608" s="373"/>
      <c r="BL608" s="431"/>
    </row>
    <row r="609" spans="61:64" x14ac:dyDescent="0.25">
      <c r="BI609" s="372"/>
      <c r="BJ609" s="373"/>
      <c r="BK609" s="373"/>
      <c r="BL609" s="431"/>
    </row>
    <row r="610" spans="61:64" x14ac:dyDescent="0.25">
      <c r="BI610" s="372"/>
      <c r="BJ610" s="373"/>
      <c r="BK610" s="373"/>
      <c r="BL610" s="431"/>
    </row>
    <row r="611" spans="61:64" x14ac:dyDescent="0.25">
      <c r="BI611" s="372"/>
      <c r="BJ611" s="373"/>
      <c r="BK611" s="373"/>
      <c r="BL611" s="431"/>
    </row>
    <row r="612" spans="61:64" x14ac:dyDescent="0.25">
      <c r="BI612" s="372"/>
      <c r="BJ612" s="373"/>
      <c r="BK612" s="373"/>
      <c r="BL612" s="431"/>
    </row>
    <row r="613" spans="61:64" x14ac:dyDescent="0.25">
      <c r="BI613" s="372"/>
      <c r="BJ613" s="373"/>
      <c r="BK613" s="373"/>
      <c r="BL613" s="431"/>
    </row>
    <row r="614" spans="61:64" x14ac:dyDescent="0.25">
      <c r="BI614" s="372"/>
      <c r="BJ614" s="373"/>
      <c r="BK614" s="373"/>
      <c r="BL614" s="374"/>
    </row>
    <row r="615" spans="61:64" x14ac:dyDescent="0.25">
      <c r="BI615" s="372"/>
      <c r="BJ615" s="373"/>
      <c r="BK615" s="373"/>
      <c r="BL615" s="2"/>
    </row>
    <row r="616" spans="61:64" x14ac:dyDescent="0.25">
      <c r="BI616" s="352"/>
      <c r="BJ616" s="417"/>
      <c r="BK616" s="2"/>
    </row>
    <row r="618" spans="61:64" x14ac:dyDescent="0.25">
      <c r="BL618" s="2"/>
    </row>
    <row r="619" spans="61:64" x14ac:dyDescent="0.25">
      <c r="BL619" s="321"/>
    </row>
    <row r="620" spans="61:64" ht="15.75" x14ac:dyDescent="0.25">
      <c r="BL620" s="332"/>
    </row>
    <row r="621" spans="61:64" x14ac:dyDescent="0.25">
      <c r="BL621" s="345"/>
    </row>
    <row r="622" spans="61:64" x14ac:dyDescent="0.25">
      <c r="BL622" s="354"/>
    </row>
    <row r="623" spans="61:64" x14ac:dyDescent="0.25">
      <c r="BL623" s="354"/>
    </row>
    <row r="624" spans="61:64" x14ac:dyDescent="0.25">
      <c r="BL624" s="392"/>
    </row>
    <row r="625" spans="64:64" x14ac:dyDescent="0.25">
      <c r="BL625" s="392"/>
    </row>
    <row r="626" spans="64:64" x14ac:dyDescent="0.25">
      <c r="BL626" s="392"/>
    </row>
    <row r="627" spans="64:64" x14ac:dyDescent="0.25">
      <c r="BL627" s="392"/>
    </row>
    <row r="628" spans="64:64" x14ac:dyDescent="0.25">
      <c r="BL628" s="392"/>
    </row>
    <row r="629" spans="64:64" x14ac:dyDescent="0.25">
      <c r="BL629" s="392"/>
    </row>
    <row r="630" spans="64:64" x14ac:dyDescent="0.25">
      <c r="BL630" s="392"/>
    </row>
    <row r="631" spans="64:64" x14ac:dyDescent="0.25">
      <c r="BL631" s="392"/>
    </row>
    <row r="632" spans="64:64" x14ac:dyDescent="0.25">
      <c r="BL632" s="392"/>
    </row>
    <row r="633" spans="64:64" x14ac:dyDescent="0.25">
      <c r="BL633" s="392"/>
    </row>
    <row r="634" spans="64:64" x14ac:dyDescent="0.25">
      <c r="BL634" s="392"/>
    </row>
    <row r="635" spans="64:64" x14ac:dyDescent="0.25">
      <c r="BL635" s="392"/>
    </row>
    <row r="636" spans="64:64" x14ac:dyDescent="0.25">
      <c r="BL636" s="392"/>
    </row>
    <row r="637" spans="64:64" x14ac:dyDescent="0.25">
      <c r="BL637" s="392"/>
    </row>
    <row r="638" spans="64:64" x14ac:dyDescent="0.25">
      <c r="BL638" s="392"/>
    </row>
    <row r="639" spans="64:64" x14ac:dyDescent="0.25">
      <c r="BL639" s="392"/>
    </row>
    <row r="640" spans="64:64" x14ac:dyDescent="0.25">
      <c r="BL640" s="392"/>
    </row>
    <row r="641" spans="64:64" x14ac:dyDescent="0.25">
      <c r="BL641" s="392"/>
    </row>
    <row r="642" spans="64:64" x14ac:dyDescent="0.25">
      <c r="BL642" s="392"/>
    </row>
    <row r="643" spans="64:64" x14ac:dyDescent="0.25">
      <c r="BL643" s="392"/>
    </row>
    <row r="644" spans="64:64" x14ac:dyDescent="0.25">
      <c r="BL644" s="392"/>
    </row>
    <row r="645" spans="64:64" x14ac:dyDescent="0.25">
      <c r="BL645" s="373"/>
    </row>
    <row r="646" spans="64:64" x14ac:dyDescent="0.25">
      <c r="BL646" s="2"/>
    </row>
  </sheetData>
  <mergeCells count="132">
    <mergeCell ref="BP463:BP465"/>
    <mergeCell ref="BQ463:BQ465"/>
    <mergeCell ref="BR463:BR465"/>
    <mergeCell ref="BS463:BS465"/>
    <mergeCell ref="BT463:BT465"/>
    <mergeCell ref="BP429:BP431"/>
    <mergeCell ref="BQ429:BQ431"/>
    <mergeCell ref="BR429:BR431"/>
    <mergeCell ref="BS429:BS431"/>
    <mergeCell ref="BT429:BT431"/>
    <mergeCell ref="BP395:BP397"/>
    <mergeCell ref="BQ395:BQ397"/>
    <mergeCell ref="BR395:BR397"/>
    <mergeCell ref="BS395:BS397"/>
    <mergeCell ref="BT395:BT397"/>
    <mergeCell ref="BP361:BP363"/>
    <mergeCell ref="BQ361:BQ363"/>
    <mergeCell ref="BR361:BR363"/>
    <mergeCell ref="BS361:BS363"/>
    <mergeCell ref="BT361:BT363"/>
    <mergeCell ref="BP327:BP329"/>
    <mergeCell ref="BQ327:BQ329"/>
    <mergeCell ref="BR327:BR329"/>
    <mergeCell ref="BS327:BS329"/>
    <mergeCell ref="BT327:BT329"/>
    <mergeCell ref="BP293:BP295"/>
    <mergeCell ref="BQ293:BQ295"/>
    <mergeCell ref="BR293:BR295"/>
    <mergeCell ref="BS293:BS295"/>
    <mergeCell ref="BT293:BT295"/>
    <mergeCell ref="BP259:BP261"/>
    <mergeCell ref="BQ259:BQ261"/>
    <mergeCell ref="BR259:BR261"/>
    <mergeCell ref="BS259:BS261"/>
    <mergeCell ref="BT259:BT261"/>
    <mergeCell ref="BP225:BP227"/>
    <mergeCell ref="BQ225:BQ227"/>
    <mergeCell ref="BR225:BR227"/>
    <mergeCell ref="BS225:BS227"/>
    <mergeCell ref="BT225:BT227"/>
    <mergeCell ref="BP191:BP193"/>
    <mergeCell ref="BQ191:BQ193"/>
    <mergeCell ref="BR191:BR193"/>
    <mergeCell ref="BS191:BS193"/>
    <mergeCell ref="BT191:BT193"/>
    <mergeCell ref="BR89:BR91"/>
    <mergeCell ref="BS89:BS91"/>
    <mergeCell ref="BT89:BT91"/>
    <mergeCell ref="BP123:BP125"/>
    <mergeCell ref="BQ123:BQ125"/>
    <mergeCell ref="BR123:BR125"/>
    <mergeCell ref="BS123:BS125"/>
    <mergeCell ref="BT123:BT125"/>
    <mergeCell ref="BR21:BR23"/>
    <mergeCell ref="BS21:BS23"/>
    <mergeCell ref="BT21:BT23"/>
    <mergeCell ref="BP55:BP57"/>
    <mergeCell ref="BQ55:BQ57"/>
    <mergeCell ref="BR55:BR57"/>
    <mergeCell ref="BS55:BS57"/>
    <mergeCell ref="BT55:BT57"/>
    <mergeCell ref="AK179:AQ179"/>
    <mergeCell ref="AR179:AX179"/>
    <mergeCell ref="AY179:BE179"/>
    <mergeCell ref="BP21:BP23"/>
    <mergeCell ref="BQ21:BQ23"/>
    <mergeCell ref="BP89:BP91"/>
    <mergeCell ref="BQ89:BQ91"/>
    <mergeCell ref="BP157:BP159"/>
    <mergeCell ref="BQ157:BQ159"/>
    <mergeCell ref="AK51:AQ51"/>
    <mergeCell ref="AR51:AX51"/>
    <mergeCell ref="AY51:BE51"/>
    <mergeCell ref="BR157:BR159"/>
    <mergeCell ref="BS157:BS159"/>
    <mergeCell ref="BT157:BT159"/>
    <mergeCell ref="W179:X179"/>
    <mergeCell ref="Y179:Z179"/>
    <mergeCell ref="AD179:AJ179"/>
    <mergeCell ref="AK115:AQ115"/>
    <mergeCell ref="AR115:AX115"/>
    <mergeCell ref="AY115:BE115"/>
    <mergeCell ref="Q147:T147"/>
    <mergeCell ref="U147:V147"/>
    <mergeCell ref="W147:X147"/>
    <mergeCell ref="Y147:Z147"/>
    <mergeCell ref="AD147:AJ147"/>
    <mergeCell ref="AK147:AQ147"/>
    <mergeCell ref="AR147:AX147"/>
    <mergeCell ref="AY147:BE147"/>
    <mergeCell ref="Q115:T115"/>
    <mergeCell ref="U115:V115"/>
    <mergeCell ref="W115:X115"/>
    <mergeCell ref="Y115:Z115"/>
    <mergeCell ref="AD115:AJ115"/>
    <mergeCell ref="BO395:BO397"/>
    <mergeCell ref="BO429:BO431"/>
    <mergeCell ref="BO463:BO465"/>
    <mergeCell ref="BO21:BO23"/>
    <mergeCell ref="BO89:BO91"/>
    <mergeCell ref="BO327:BO329"/>
    <mergeCell ref="BO55:BO57"/>
    <mergeCell ref="BO123:BO125"/>
    <mergeCell ref="BO157:BO159"/>
    <mergeCell ref="BO191:BO193"/>
    <mergeCell ref="BO225:BO227"/>
    <mergeCell ref="BO259:BO261"/>
    <mergeCell ref="BO293:BO295"/>
    <mergeCell ref="Q19:T19"/>
    <mergeCell ref="U19:V19"/>
    <mergeCell ref="AR19:AX19"/>
    <mergeCell ref="AY19:BE19"/>
    <mergeCell ref="W19:X19"/>
    <mergeCell ref="Y19:Z19"/>
    <mergeCell ref="AD19:AJ19"/>
    <mergeCell ref="AK19:AQ19"/>
    <mergeCell ref="BO361:BO363"/>
    <mergeCell ref="Q83:T83"/>
    <mergeCell ref="U83:V83"/>
    <mergeCell ref="W83:X83"/>
    <mergeCell ref="Y83:Z83"/>
    <mergeCell ref="AD83:AJ83"/>
    <mergeCell ref="AK83:AQ83"/>
    <mergeCell ref="AR83:AX83"/>
    <mergeCell ref="AY83:BE83"/>
    <mergeCell ref="Q51:T51"/>
    <mergeCell ref="U51:V51"/>
    <mergeCell ref="W51:X51"/>
    <mergeCell ref="Y51:Z51"/>
    <mergeCell ref="AD51:AJ51"/>
    <mergeCell ref="Q179:T179"/>
    <mergeCell ref="U179:V179"/>
  </mergeCells>
  <printOptions horizontalCentered="1"/>
  <pageMargins left="0.5" right="0.5" top="0.75" bottom="0.75" header="0.5" footer="0.5"/>
  <pageSetup scale="53" orientation="landscape" r:id="rId1"/>
  <headerFooter alignWithMargins="0">
    <oddFooter>&amp;L&amp;8Transportation Economics
Caltrans DOTP&amp;C&amp;8Cal-B/C &amp;A&amp;R&amp;8Page &amp;P
&amp;D</oddFooter>
  </headerFooter>
  <colBreaks count="1" manualBreakCount="1">
    <brk id="77" min="14" max="76"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B1:BL85"/>
  <sheetViews>
    <sheetView showGridLines="0" zoomScale="70" zoomScaleNormal="70" workbookViewId="0"/>
  </sheetViews>
  <sheetFormatPr defaultColWidth="8.5703125" defaultRowHeight="12.75" x14ac:dyDescent="0.2"/>
  <cols>
    <col min="1" max="1" width="5.5703125" style="1" customWidth="1"/>
    <col min="2" max="2" width="7.5703125" style="1" customWidth="1"/>
    <col min="3" max="6" width="14.5703125" style="1" customWidth="1"/>
    <col min="7" max="18" width="14.42578125" style="1" customWidth="1"/>
    <col min="19" max="19" width="17.5703125" style="1" customWidth="1"/>
    <col min="20" max="20" width="16.5703125" style="1" customWidth="1"/>
    <col min="21" max="21" width="17.5703125" style="1" customWidth="1"/>
    <col min="22" max="22" width="5.5703125" style="1" customWidth="1"/>
    <col min="23" max="23" width="13.42578125" style="1" bestFit="1" customWidth="1"/>
    <col min="24" max="24" width="10.140625" style="1" bestFit="1" customWidth="1"/>
    <col min="25" max="43" width="14.5703125" style="1" customWidth="1"/>
    <col min="44" max="45" width="17.5703125" style="1" customWidth="1"/>
    <col min="46" max="46" width="16.5703125" style="1" customWidth="1"/>
    <col min="47" max="48" width="17.5703125" style="1" customWidth="1"/>
    <col min="49" max="49" width="13.85546875" style="1" bestFit="1" customWidth="1"/>
    <col min="50" max="50" width="16.5703125" style="1" customWidth="1"/>
    <col min="51" max="51" width="17.5703125" style="1" customWidth="1"/>
    <col min="52" max="52" width="15.85546875" style="1" customWidth="1"/>
    <col min="53" max="53" width="8.5703125" style="1"/>
    <col min="54" max="54" width="15.42578125" style="1" bestFit="1" customWidth="1"/>
    <col min="55" max="55" width="16.42578125" style="1" bestFit="1" customWidth="1"/>
    <col min="56" max="16384" width="8.5703125" style="1"/>
  </cols>
  <sheetData>
    <row r="1" spans="2:51" ht="20.25" x14ac:dyDescent="0.3">
      <c r="B1" s="282" t="s">
        <v>364</v>
      </c>
      <c r="X1" s="282"/>
      <c r="AX1" s="282"/>
    </row>
    <row r="2" spans="2:51" x14ac:dyDescent="0.2">
      <c r="B2" s="184"/>
      <c r="X2" s="184"/>
      <c r="AX2" s="184"/>
    </row>
    <row r="3" spans="2:51" ht="18.75" x14ac:dyDescent="0.2">
      <c r="B3" s="284" t="s">
        <v>365</v>
      </c>
      <c r="X3" s="284"/>
      <c r="AX3" s="284"/>
    </row>
    <row r="4" spans="2:51" ht="18.75" x14ac:dyDescent="0.2">
      <c r="B4" s="284" t="s">
        <v>366</v>
      </c>
      <c r="X4" s="284"/>
      <c r="AX4" s="284"/>
    </row>
    <row r="14" spans="2:51" ht="20.25" x14ac:dyDescent="0.25">
      <c r="B14" s="159" t="s">
        <v>186</v>
      </c>
      <c r="C14" s="312" t="s">
        <v>367</v>
      </c>
      <c r="D14" s="313"/>
      <c r="E14" s="313"/>
      <c r="F14" s="313"/>
      <c r="G14" s="313"/>
      <c r="H14" s="313"/>
      <c r="I14" s="313"/>
      <c r="J14" s="313"/>
      <c r="K14" s="313"/>
      <c r="L14" s="313"/>
      <c r="M14" s="313"/>
      <c r="N14" s="313"/>
      <c r="O14" s="443"/>
      <c r="P14" s="443"/>
      <c r="Q14" s="443"/>
      <c r="R14" s="443"/>
      <c r="S14" s="444"/>
      <c r="T14" s="444"/>
      <c r="U14" s="444"/>
      <c r="X14" s="159" t="s">
        <v>188</v>
      </c>
      <c r="Y14" s="312" t="s">
        <v>368</v>
      </c>
      <c r="Z14" s="313"/>
      <c r="AA14" s="313"/>
      <c r="AB14" s="313"/>
      <c r="AC14" s="313"/>
      <c r="AD14" s="313"/>
      <c r="AE14" s="313"/>
      <c r="AF14" s="313"/>
      <c r="AG14" s="313"/>
      <c r="AH14" s="443"/>
      <c r="AI14" s="443"/>
      <c r="AJ14" s="443"/>
      <c r="AK14" s="443"/>
      <c r="AL14" s="443"/>
      <c r="AM14" s="443"/>
      <c r="AN14" s="443"/>
      <c r="AO14" s="443"/>
      <c r="AP14" s="443"/>
      <c r="AQ14" s="443"/>
      <c r="AR14" s="444"/>
      <c r="AS14" s="444"/>
      <c r="AT14" s="444"/>
      <c r="AU14" s="444"/>
      <c r="AV14" s="444"/>
      <c r="AW14" s="162"/>
      <c r="AY14" s="444"/>
    </row>
    <row r="15" spans="2:51" x14ac:dyDescent="0.2">
      <c r="B15" s="2"/>
      <c r="C15" s="310"/>
      <c r="D15" s="311"/>
      <c r="E15" s="311"/>
      <c r="F15" s="2"/>
      <c r="G15" s="2"/>
      <c r="H15" s="2"/>
      <c r="I15" s="2"/>
      <c r="J15" s="2"/>
      <c r="K15" s="2"/>
      <c r="L15" s="2"/>
      <c r="M15" s="2"/>
      <c r="N15" s="2"/>
      <c r="O15" s="2"/>
      <c r="P15" s="2"/>
      <c r="Q15" s="2"/>
      <c r="R15" s="2"/>
      <c r="S15" s="310"/>
      <c r="T15" s="310"/>
      <c r="U15" s="310"/>
      <c r="X15" s="2"/>
      <c r="Y15" s="310"/>
      <c r="Z15" s="311"/>
      <c r="AA15" s="311"/>
      <c r="AB15" s="2"/>
      <c r="AC15" s="2"/>
      <c r="AD15" s="2"/>
      <c r="AE15" s="2"/>
      <c r="AF15" s="2"/>
      <c r="AG15" s="2"/>
      <c r="AH15" s="2"/>
      <c r="AI15" s="2"/>
      <c r="AJ15" s="2"/>
      <c r="AK15" s="2"/>
      <c r="AL15" s="2"/>
      <c r="AM15" s="2"/>
      <c r="AN15" s="2"/>
      <c r="AO15" s="2"/>
      <c r="AP15" s="2"/>
      <c r="AQ15" s="2"/>
      <c r="AR15" s="310"/>
      <c r="AS15" s="310"/>
      <c r="AT15" s="310"/>
      <c r="AU15" s="310"/>
      <c r="AV15" s="310"/>
      <c r="AX15" s="2"/>
      <c r="AY15" s="310"/>
    </row>
    <row r="19" spans="2:55" x14ac:dyDescent="0.2">
      <c r="B19" s="322"/>
      <c r="C19" s="331" t="s">
        <v>369</v>
      </c>
      <c r="D19" s="331"/>
      <c r="E19" s="331"/>
      <c r="F19" s="331"/>
      <c r="G19" s="331"/>
      <c r="H19" s="445" t="s">
        <v>369</v>
      </c>
      <c r="I19" s="445"/>
      <c r="J19" s="445"/>
      <c r="K19" s="445"/>
      <c r="L19" s="445"/>
      <c r="M19" s="445" t="s">
        <v>369</v>
      </c>
      <c r="N19" s="445"/>
      <c r="O19" s="445"/>
      <c r="P19" s="445"/>
      <c r="Q19" s="445"/>
      <c r="R19" s="445" t="s">
        <v>369</v>
      </c>
      <c r="S19" s="445"/>
      <c r="T19" s="445"/>
      <c r="U19" s="445"/>
      <c r="V19" s="445"/>
      <c r="W19" s="446" t="s">
        <v>39</v>
      </c>
      <c r="X19" s="447" t="s">
        <v>39</v>
      </c>
      <c r="Y19" s="446"/>
      <c r="AB19" s="322"/>
      <c r="AC19" s="331" t="s">
        <v>370</v>
      </c>
      <c r="AD19" s="331"/>
      <c r="AE19" s="331"/>
      <c r="AF19" s="331"/>
      <c r="AG19" s="331"/>
      <c r="AH19" s="445" t="s">
        <v>370</v>
      </c>
      <c r="AI19" s="445"/>
      <c r="AJ19" s="445"/>
      <c r="AK19" s="445"/>
      <c r="AL19" s="445"/>
      <c r="AM19" s="445" t="s">
        <v>370</v>
      </c>
      <c r="AN19" s="445"/>
      <c r="AO19" s="445"/>
      <c r="AP19" s="445"/>
      <c r="AQ19" s="445"/>
      <c r="AR19" s="445" t="s">
        <v>370</v>
      </c>
      <c r="AS19" s="445"/>
      <c r="AT19" s="445"/>
      <c r="AU19" s="445"/>
      <c r="AV19" s="445"/>
      <c r="AW19" s="446"/>
      <c r="AX19" s="447" t="s">
        <v>56</v>
      </c>
      <c r="AY19" s="446"/>
      <c r="AZ19" s="446"/>
      <c r="BB19" s="52"/>
      <c r="BC19" s="446"/>
    </row>
    <row r="20" spans="2:55" x14ac:dyDescent="0.2">
      <c r="B20" s="448"/>
      <c r="C20" s="449" t="s">
        <v>371</v>
      </c>
      <c r="D20" s="450"/>
      <c r="E20" s="450"/>
      <c r="F20" s="450"/>
      <c r="G20" s="451"/>
      <c r="H20" s="452" t="s">
        <v>372</v>
      </c>
      <c r="I20" s="453"/>
      <c r="J20" s="453"/>
      <c r="K20" s="453"/>
      <c r="L20" s="454"/>
      <c r="M20" s="452" t="s">
        <v>373</v>
      </c>
      <c r="N20" s="453"/>
      <c r="O20" s="453"/>
      <c r="P20" s="453"/>
      <c r="Q20" s="454"/>
      <c r="R20" s="452" t="s">
        <v>374</v>
      </c>
      <c r="S20" s="453"/>
      <c r="T20" s="453"/>
      <c r="U20" s="453"/>
      <c r="V20" s="454"/>
      <c r="W20" s="455" t="s">
        <v>49</v>
      </c>
      <c r="X20" s="456" t="s">
        <v>49</v>
      </c>
      <c r="Y20" s="455"/>
      <c r="AB20" s="448"/>
      <c r="AC20" s="449" t="s">
        <v>371</v>
      </c>
      <c r="AD20" s="450"/>
      <c r="AE20" s="450"/>
      <c r="AF20" s="450"/>
      <c r="AG20" s="451"/>
      <c r="AH20" s="452" t="s">
        <v>372</v>
      </c>
      <c r="AI20" s="453"/>
      <c r="AJ20" s="453"/>
      <c r="AK20" s="453"/>
      <c r="AL20" s="454"/>
      <c r="AM20" s="452" t="s">
        <v>373</v>
      </c>
      <c r="AN20" s="453"/>
      <c r="AO20" s="453"/>
      <c r="AP20" s="453"/>
      <c r="AQ20" s="454"/>
      <c r="AR20" s="452" t="s">
        <v>374</v>
      </c>
      <c r="AS20" s="453"/>
      <c r="AT20" s="453"/>
      <c r="AU20" s="453"/>
      <c r="AV20" s="454"/>
      <c r="AW20" s="455" t="s">
        <v>375</v>
      </c>
      <c r="AX20" s="456" t="s">
        <v>35</v>
      </c>
      <c r="AY20" s="455" t="s">
        <v>376</v>
      </c>
      <c r="AZ20" s="455" t="s">
        <v>377</v>
      </c>
      <c r="BB20" s="77" t="s">
        <v>40</v>
      </c>
      <c r="BC20" s="455" t="s">
        <v>376</v>
      </c>
    </row>
    <row r="21" spans="2:55" x14ac:dyDescent="0.2">
      <c r="B21" s="335"/>
      <c r="C21" s="353" t="s">
        <v>378</v>
      </c>
      <c r="D21" s="353"/>
      <c r="E21" s="353" t="s">
        <v>91</v>
      </c>
      <c r="F21" s="353"/>
      <c r="G21" s="353" t="s">
        <v>91</v>
      </c>
      <c r="H21" s="457" t="s">
        <v>378</v>
      </c>
      <c r="I21" s="457"/>
      <c r="J21" s="457" t="s">
        <v>91</v>
      </c>
      <c r="K21" s="457"/>
      <c r="L21" s="457" t="s">
        <v>91</v>
      </c>
      <c r="M21" s="457" t="s">
        <v>378</v>
      </c>
      <c r="N21" s="457"/>
      <c r="O21" s="457" t="s">
        <v>91</v>
      </c>
      <c r="P21" s="457"/>
      <c r="Q21" s="457" t="s">
        <v>91</v>
      </c>
      <c r="R21" s="457" t="s">
        <v>378</v>
      </c>
      <c r="S21" s="457"/>
      <c r="T21" s="457" t="s">
        <v>91</v>
      </c>
      <c r="U21" s="457"/>
      <c r="V21" s="457" t="s">
        <v>91</v>
      </c>
      <c r="W21" s="455" t="s">
        <v>379</v>
      </c>
      <c r="X21" s="456" t="s">
        <v>379</v>
      </c>
      <c r="Y21" s="455" t="s">
        <v>380</v>
      </c>
      <c r="AB21" s="335"/>
      <c r="AC21" s="353" t="s">
        <v>378</v>
      </c>
      <c r="AD21" s="353"/>
      <c r="AE21" s="353" t="s">
        <v>91</v>
      </c>
      <c r="AF21" s="353"/>
      <c r="AG21" s="353" t="s">
        <v>91</v>
      </c>
      <c r="AH21" s="457" t="s">
        <v>378</v>
      </c>
      <c r="AI21" s="457"/>
      <c r="AJ21" s="457" t="s">
        <v>91</v>
      </c>
      <c r="AK21" s="457"/>
      <c r="AL21" s="457" t="s">
        <v>91</v>
      </c>
      <c r="AM21" s="457" t="s">
        <v>378</v>
      </c>
      <c r="AN21" s="457"/>
      <c r="AO21" s="457" t="s">
        <v>91</v>
      </c>
      <c r="AP21" s="457"/>
      <c r="AQ21" s="457" t="s">
        <v>91</v>
      </c>
      <c r="AR21" s="457" t="s">
        <v>378</v>
      </c>
      <c r="AS21" s="457"/>
      <c r="AT21" s="457" t="s">
        <v>91</v>
      </c>
      <c r="AU21" s="457"/>
      <c r="AV21" s="457" t="s">
        <v>91</v>
      </c>
      <c r="AW21" s="455" t="s">
        <v>381</v>
      </c>
      <c r="AX21" s="456" t="s">
        <v>382</v>
      </c>
      <c r="AY21" s="455" t="s">
        <v>383</v>
      </c>
      <c r="AZ21" s="455" t="s">
        <v>383</v>
      </c>
      <c r="BB21" s="458" t="s">
        <v>384</v>
      </c>
      <c r="BC21" s="455" t="s">
        <v>383</v>
      </c>
    </row>
    <row r="22" spans="2:55" x14ac:dyDescent="0.2">
      <c r="B22" s="77" t="s">
        <v>34</v>
      </c>
      <c r="C22" s="459" t="s">
        <v>385</v>
      </c>
      <c r="D22" s="353" t="s">
        <v>833</v>
      </c>
      <c r="E22" s="353" t="s">
        <v>386</v>
      </c>
      <c r="F22" s="353" t="s">
        <v>103</v>
      </c>
      <c r="G22" s="353" t="s">
        <v>343</v>
      </c>
      <c r="H22" s="460" t="s">
        <v>385</v>
      </c>
      <c r="I22" s="457" t="s">
        <v>833</v>
      </c>
      <c r="J22" s="457" t="s">
        <v>386</v>
      </c>
      <c r="K22" s="457" t="s">
        <v>103</v>
      </c>
      <c r="L22" s="457" t="s">
        <v>343</v>
      </c>
      <c r="M22" s="460" t="s">
        <v>385</v>
      </c>
      <c r="N22" s="457" t="s">
        <v>833</v>
      </c>
      <c r="O22" s="457" t="s">
        <v>386</v>
      </c>
      <c r="P22" s="457" t="s">
        <v>103</v>
      </c>
      <c r="Q22" s="457" t="s">
        <v>343</v>
      </c>
      <c r="R22" s="460" t="s">
        <v>385</v>
      </c>
      <c r="S22" s="457" t="s">
        <v>833</v>
      </c>
      <c r="T22" s="457" t="s">
        <v>386</v>
      </c>
      <c r="U22" s="457" t="s">
        <v>103</v>
      </c>
      <c r="V22" s="457" t="s">
        <v>343</v>
      </c>
      <c r="W22" s="455" t="s">
        <v>387</v>
      </c>
      <c r="X22" s="456" t="s">
        <v>35</v>
      </c>
      <c r="Y22" s="455" t="s">
        <v>388</v>
      </c>
      <c r="AB22" s="77" t="s">
        <v>34</v>
      </c>
      <c r="AC22" s="459" t="s">
        <v>385</v>
      </c>
      <c r="AD22" s="353" t="s">
        <v>833</v>
      </c>
      <c r="AE22" s="353" t="s">
        <v>386</v>
      </c>
      <c r="AF22" s="353" t="s">
        <v>103</v>
      </c>
      <c r="AG22" s="353" t="s">
        <v>343</v>
      </c>
      <c r="AH22" s="460" t="s">
        <v>385</v>
      </c>
      <c r="AI22" s="457" t="s">
        <v>833</v>
      </c>
      <c r="AJ22" s="457" t="s">
        <v>386</v>
      </c>
      <c r="AK22" s="457" t="s">
        <v>103</v>
      </c>
      <c r="AL22" s="457" t="s">
        <v>343</v>
      </c>
      <c r="AM22" s="460" t="s">
        <v>385</v>
      </c>
      <c r="AN22" s="457" t="s">
        <v>833</v>
      </c>
      <c r="AO22" s="457" t="s">
        <v>386</v>
      </c>
      <c r="AP22" s="457" t="s">
        <v>103</v>
      </c>
      <c r="AQ22" s="457" t="s">
        <v>343</v>
      </c>
      <c r="AR22" s="460" t="s">
        <v>385</v>
      </c>
      <c r="AS22" s="457" t="s">
        <v>833</v>
      </c>
      <c r="AT22" s="457" t="s">
        <v>386</v>
      </c>
      <c r="AU22" s="457" t="s">
        <v>103</v>
      </c>
      <c r="AV22" s="457" t="s">
        <v>343</v>
      </c>
      <c r="AW22" s="455" t="s">
        <v>208</v>
      </c>
      <c r="AX22" s="456" t="s">
        <v>208</v>
      </c>
      <c r="AY22" s="455" t="s">
        <v>389</v>
      </c>
      <c r="AZ22" s="455" t="s">
        <v>390</v>
      </c>
      <c r="BB22" s="77" t="s">
        <v>43</v>
      </c>
      <c r="BC22" s="455" t="s">
        <v>389</v>
      </c>
    </row>
    <row r="23" spans="2:55" x14ac:dyDescent="0.2">
      <c r="B23" s="355"/>
      <c r="C23" s="361" t="s">
        <v>47</v>
      </c>
      <c r="D23" s="361" t="s">
        <v>47</v>
      </c>
      <c r="E23" s="361" t="s">
        <v>47</v>
      </c>
      <c r="F23" s="361" t="s">
        <v>391</v>
      </c>
      <c r="G23" s="361" t="s">
        <v>391</v>
      </c>
      <c r="H23" s="461" t="s">
        <v>47</v>
      </c>
      <c r="I23" s="461" t="s">
        <v>47</v>
      </c>
      <c r="J23" s="461" t="s">
        <v>47</v>
      </c>
      <c r="K23" s="461" t="s">
        <v>391</v>
      </c>
      <c r="L23" s="461" t="s">
        <v>391</v>
      </c>
      <c r="M23" s="461" t="s">
        <v>47</v>
      </c>
      <c r="N23" s="461" t="s">
        <v>47</v>
      </c>
      <c r="O23" s="461" t="s">
        <v>47</v>
      </c>
      <c r="P23" s="461" t="s">
        <v>391</v>
      </c>
      <c r="Q23" s="461" t="s">
        <v>391</v>
      </c>
      <c r="R23" s="461" t="s">
        <v>47</v>
      </c>
      <c r="S23" s="461" t="s">
        <v>47</v>
      </c>
      <c r="T23" s="461" t="s">
        <v>47</v>
      </c>
      <c r="U23" s="461" t="s">
        <v>391</v>
      </c>
      <c r="V23" s="461" t="s">
        <v>391</v>
      </c>
      <c r="W23" s="462" t="s">
        <v>392</v>
      </c>
      <c r="X23" s="463" t="s">
        <v>283</v>
      </c>
      <c r="Y23" s="462" t="s">
        <v>393</v>
      </c>
      <c r="AB23" s="355"/>
      <c r="AC23" s="361" t="s">
        <v>47</v>
      </c>
      <c r="AD23" s="361" t="s">
        <v>47</v>
      </c>
      <c r="AE23" s="361" t="s">
        <v>47</v>
      </c>
      <c r="AF23" s="361" t="s">
        <v>391</v>
      </c>
      <c r="AG23" s="361" t="s">
        <v>391</v>
      </c>
      <c r="AH23" s="461" t="s">
        <v>47</v>
      </c>
      <c r="AI23" s="461" t="s">
        <v>47</v>
      </c>
      <c r="AJ23" s="461" t="s">
        <v>47</v>
      </c>
      <c r="AK23" s="461" t="s">
        <v>391</v>
      </c>
      <c r="AL23" s="461" t="s">
        <v>391</v>
      </c>
      <c r="AM23" s="461" t="s">
        <v>47</v>
      </c>
      <c r="AN23" s="461" t="s">
        <v>47</v>
      </c>
      <c r="AO23" s="461" t="s">
        <v>47</v>
      </c>
      <c r="AP23" s="461" t="s">
        <v>391</v>
      </c>
      <c r="AQ23" s="461" t="s">
        <v>391</v>
      </c>
      <c r="AR23" s="461" t="s">
        <v>47</v>
      </c>
      <c r="AS23" s="461" t="s">
        <v>47</v>
      </c>
      <c r="AT23" s="461" t="s">
        <v>47</v>
      </c>
      <c r="AU23" s="461" t="s">
        <v>391</v>
      </c>
      <c r="AV23" s="461" t="s">
        <v>391</v>
      </c>
      <c r="AW23" s="462" t="s">
        <v>48</v>
      </c>
      <c r="AX23" s="463" t="s">
        <v>48</v>
      </c>
      <c r="AY23" s="462" t="s">
        <v>394</v>
      </c>
      <c r="AZ23" s="462" t="s">
        <v>395</v>
      </c>
      <c r="BB23" s="464" t="s">
        <v>396</v>
      </c>
      <c r="BC23" s="462" t="s">
        <v>394</v>
      </c>
    </row>
    <row r="24" spans="2:55" x14ac:dyDescent="0.2">
      <c r="B24" s="97" t="s">
        <v>51</v>
      </c>
      <c r="C24" s="98"/>
      <c r="D24" s="98"/>
      <c r="E24" s="99"/>
      <c r="F24" s="99"/>
      <c r="G24" s="99"/>
      <c r="H24" s="99"/>
      <c r="I24" s="99"/>
      <c r="J24" s="99"/>
      <c r="K24" s="99"/>
      <c r="L24" s="99"/>
      <c r="M24" s="99"/>
      <c r="N24" s="99"/>
      <c r="O24" s="99"/>
      <c r="P24" s="99"/>
      <c r="Q24" s="99"/>
      <c r="R24" s="99"/>
      <c r="S24" s="99"/>
      <c r="T24" s="99"/>
      <c r="U24" s="99"/>
      <c r="V24" s="99"/>
      <c r="W24" s="99"/>
      <c r="X24" s="99"/>
      <c r="Y24" s="100"/>
      <c r="AB24" s="97" t="s">
        <v>51</v>
      </c>
      <c r="AC24" s="98"/>
      <c r="AD24" s="98"/>
      <c r="AE24" s="99"/>
      <c r="AF24" s="99"/>
      <c r="AG24" s="99"/>
      <c r="AH24" s="99"/>
      <c r="AI24" s="99"/>
      <c r="AJ24" s="99"/>
      <c r="AK24" s="99"/>
      <c r="AL24" s="99"/>
      <c r="AM24" s="99"/>
      <c r="AN24" s="99"/>
      <c r="AO24" s="99"/>
      <c r="AP24" s="99"/>
      <c r="AQ24" s="99"/>
      <c r="AR24" s="99"/>
      <c r="AS24" s="99"/>
      <c r="AT24" s="99"/>
      <c r="AU24" s="99"/>
      <c r="AV24" s="99"/>
      <c r="AW24" s="99"/>
      <c r="AX24" s="99"/>
      <c r="AY24" s="99"/>
      <c r="AZ24" s="100"/>
      <c r="BB24" s="102">
        <f>YearStart</f>
        <v>2023</v>
      </c>
      <c r="BC24" s="469">
        <f t="shared" ref="BC24:BC51" si="0">IFERROR(IF(ISNA(VLOOKUP(BB24,$AB$34:$AY$53,24,FALSE)),VLOOKUP(BB24,$AB$25:$AY$32,24,FALSE),VLOOKUP(BB24,$AB$34:$AY$53,24,FALSE)),0)</f>
        <v>-31075567.000000004</v>
      </c>
    </row>
    <row r="25" spans="2:55" x14ac:dyDescent="0.2">
      <c r="B25" s="102">
        <f>YearStart</f>
        <v>2023</v>
      </c>
      <c r="C25" s="465"/>
      <c r="D25" s="1183"/>
      <c r="E25" s="466"/>
      <c r="F25" s="466"/>
      <c r="G25" s="467"/>
      <c r="H25" s="468"/>
      <c r="I25" s="184"/>
      <c r="J25" s="184"/>
      <c r="K25" s="184"/>
      <c r="L25" s="467"/>
      <c r="M25" s="468"/>
      <c r="N25" s="184"/>
      <c r="O25" s="184"/>
      <c r="P25" s="184"/>
      <c r="Q25" s="184"/>
      <c r="R25" s="468"/>
      <c r="S25" s="184"/>
      <c r="T25" s="184"/>
      <c r="U25" s="184"/>
      <c r="V25" s="184"/>
      <c r="W25" s="469">
        <f t="shared" ref="W25:W32" si="1">SUM(C25:V25)</f>
        <v>0</v>
      </c>
      <c r="X25" s="470">
        <f>'1) Project Information'!AE15</f>
        <v>29880352.884615388</v>
      </c>
      <c r="Y25" s="469">
        <f>W25-X25</f>
        <v>-29880352.884615388</v>
      </c>
      <c r="AB25" s="102">
        <f>YearStart</f>
        <v>2023</v>
      </c>
      <c r="AC25" s="465"/>
      <c r="AD25" s="1183"/>
      <c r="AE25" s="466"/>
      <c r="AF25" s="466"/>
      <c r="AG25" s="467"/>
      <c r="AH25" s="468"/>
      <c r="AI25" s="184"/>
      <c r="AJ25" s="184"/>
      <c r="AK25" s="184"/>
      <c r="AL25" s="467"/>
      <c r="AM25" s="468"/>
      <c r="AN25" s="184"/>
      <c r="AO25" s="184"/>
      <c r="AP25" s="184"/>
      <c r="AQ25" s="184"/>
      <c r="AR25" s="468"/>
      <c r="AS25" s="184"/>
      <c r="AT25" s="184"/>
      <c r="AU25" s="184"/>
      <c r="AV25" s="184"/>
      <c r="AW25" s="469">
        <f t="shared" ref="AW25:AW32" si="2">SUM(AC25:AV25)</f>
        <v>0</v>
      </c>
      <c r="AX25" s="470">
        <f>'1) Project Information'!AD15</f>
        <v>31075567.000000004</v>
      </c>
      <c r="AY25" s="469">
        <f>AW25-AX25</f>
        <v>-31075567.000000004</v>
      </c>
      <c r="AZ25" s="471"/>
      <c r="BB25" s="102">
        <f>BB24+1</f>
        <v>2024</v>
      </c>
      <c r="BC25" s="469">
        <f t="shared" si="0"/>
        <v>-18475567</v>
      </c>
    </row>
    <row r="26" spans="2:55" x14ac:dyDescent="0.2">
      <c r="B26" s="112">
        <f>B25+1</f>
        <v>2024</v>
      </c>
      <c r="C26" s="472"/>
      <c r="D26" s="5"/>
      <c r="E26" s="184"/>
      <c r="F26" s="184"/>
      <c r="G26" s="473"/>
      <c r="H26" s="474"/>
      <c r="I26" s="184"/>
      <c r="J26" s="184"/>
      <c r="K26" s="184"/>
      <c r="L26" s="473"/>
      <c r="M26" s="474"/>
      <c r="N26" s="184"/>
      <c r="O26" s="184"/>
      <c r="P26" s="184"/>
      <c r="Q26" s="184"/>
      <c r="R26" s="474"/>
      <c r="S26" s="184"/>
      <c r="T26" s="184"/>
      <c r="U26" s="184"/>
      <c r="V26" s="184"/>
      <c r="W26" s="469">
        <f t="shared" si="1"/>
        <v>0</v>
      </c>
      <c r="X26" s="470">
        <f>'1) Project Information'!AE16</f>
        <v>17081700.258875739</v>
      </c>
      <c r="Y26" s="469">
        <f t="shared" ref="Y26:Y32" si="3">W26-X26</f>
        <v>-17081700.258875739</v>
      </c>
      <c r="AB26" s="112">
        <f>AB25+1</f>
        <v>2024</v>
      </c>
      <c r="AC26" s="472"/>
      <c r="AD26" s="5"/>
      <c r="AE26" s="184"/>
      <c r="AF26" s="184"/>
      <c r="AG26" s="473"/>
      <c r="AH26" s="474"/>
      <c r="AI26" s="184"/>
      <c r="AJ26" s="184"/>
      <c r="AK26" s="184"/>
      <c r="AL26" s="473"/>
      <c r="AM26" s="474"/>
      <c r="AN26" s="184"/>
      <c r="AO26" s="184"/>
      <c r="AP26" s="184"/>
      <c r="AQ26" s="184"/>
      <c r="AR26" s="474"/>
      <c r="AS26" s="184"/>
      <c r="AT26" s="184"/>
      <c r="AU26" s="184"/>
      <c r="AV26" s="184"/>
      <c r="AW26" s="469">
        <f t="shared" si="2"/>
        <v>0</v>
      </c>
      <c r="AX26" s="470">
        <f>'1) Project Information'!AD16</f>
        <v>18475567</v>
      </c>
      <c r="AY26" s="469">
        <f t="shared" ref="AY26:AY32" si="4">AW26-AX26</f>
        <v>-18475567</v>
      </c>
      <c r="AZ26" s="377"/>
      <c r="BB26" s="102">
        <f t="shared" ref="BB26:BB51" si="5">BB25+1</f>
        <v>2025</v>
      </c>
      <c r="BC26" s="469">
        <f t="shared" si="0"/>
        <v>-18475567</v>
      </c>
    </row>
    <row r="27" spans="2:55" x14ac:dyDescent="0.2">
      <c r="B27" s="112">
        <f t="shared" ref="B27:B32" si="6">B26+1</f>
        <v>2025</v>
      </c>
      <c r="C27" s="472"/>
      <c r="D27" s="5"/>
      <c r="E27" s="184"/>
      <c r="F27" s="184"/>
      <c r="G27" s="473"/>
      <c r="H27" s="474"/>
      <c r="I27" s="184"/>
      <c r="J27" s="184"/>
      <c r="K27" s="184"/>
      <c r="L27" s="473"/>
      <c r="M27" s="474"/>
      <c r="N27" s="184"/>
      <c r="O27" s="184"/>
      <c r="P27" s="184"/>
      <c r="Q27" s="184"/>
      <c r="R27" s="474"/>
      <c r="S27" s="184"/>
      <c r="T27" s="184"/>
      <c r="U27" s="184"/>
      <c r="V27" s="184"/>
      <c r="W27" s="469">
        <f t="shared" si="1"/>
        <v>0</v>
      </c>
      <c r="X27" s="470">
        <f>'1) Project Information'!AE17</f>
        <v>16424711.787380518</v>
      </c>
      <c r="Y27" s="469">
        <f t="shared" si="3"/>
        <v>-16424711.787380518</v>
      </c>
      <c r="AB27" s="112">
        <f t="shared" ref="AB27:AB32" si="7">AB26+1</f>
        <v>2025</v>
      </c>
      <c r="AC27" s="472"/>
      <c r="AD27" s="5"/>
      <c r="AE27" s="184"/>
      <c r="AF27" s="184"/>
      <c r="AG27" s="473"/>
      <c r="AH27" s="474"/>
      <c r="AI27" s="184"/>
      <c r="AJ27" s="184"/>
      <c r="AK27" s="184"/>
      <c r="AL27" s="473"/>
      <c r="AM27" s="474"/>
      <c r="AN27" s="184"/>
      <c r="AO27" s="184"/>
      <c r="AP27" s="184"/>
      <c r="AQ27" s="184"/>
      <c r="AR27" s="474"/>
      <c r="AS27" s="184"/>
      <c r="AT27" s="184"/>
      <c r="AU27" s="184"/>
      <c r="AV27" s="184"/>
      <c r="AW27" s="469">
        <f t="shared" si="2"/>
        <v>0</v>
      </c>
      <c r="AX27" s="470">
        <f>'1) Project Information'!AD17</f>
        <v>18475567</v>
      </c>
      <c r="AY27" s="469">
        <f t="shared" si="4"/>
        <v>-18475567</v>
      </c>
      <c r="AZ27" s="377"/>
      <c r="BB27" s="102">
        <f t="shared" si="5"/>
        <v>2026</v>
      </c>
      <c r="BC27" s="469">
        <f t="shared" ca="1" si="0"/>
        <v>5623462.2707199473</v>
      </c>
    </row>
    <row r="28" spans="2:55" x14ac:dyDescent="0.2">
      <c r="B28" s="112">
        <f t="shared" si="6"/>
        <v>2026</v>
      </c>
      <c r="C28" s="472"/>
      <c r="D28" s="5"/>
      <c r="E28" s="184"/>
      <c r="F28" s="184"/>
      <c r="G28" s="473"/>
      <c r="H28" s="474"/>
      <c r="I28" s="184"/>
      <c r="J28" s="184"/>
      <c r="K28" s="184"/>
      <c r="L28" s="473"/>
      <c r="M28" s="474"/>
      <c r="N28" s="184"/>
      <c r="O28" s="184"/>
      <c r="P28" s="184"/>
      <c r="Q28" s="184"/>
      <c r="R28" s="474"/>
      <c r="S28" s="184"/>
      <c r="T28" s="184"/>
      <c r="U28" s="184"/>
      <c r="V28" s="184"/>
      <c r="W28" s="469">
        <f t="shared" si="1"/>
        <v>0</v>
      </c>
      <c r="X28" s="470">
        <f>'1) Project Information'!AE18</f>
        <v>0</v>
      </c>
      <c r="Y28" s="469">
        <f t="shared" si="3"/>
        <v>0</v>
      </c>
      <c r="AB28" s="112">
        <f t="shared" si="7"/>
        <v>2026</v>
      </c>
      <c r="AC28" s="472"/>
      <c r="AD28" s="5"/>
      <c r="AE28" s="184"/>
      <c r="AF28" s="184"/>
      <c r="AG28" s="473"/>
      <c r="AH28" s="474"/>
      <c r="AI28" s="184"/>
      <c r="AJ28" s="184"/>
      <c r="AK28" s="184"/>
      <c r="AL28" s="473"/>
      <c r="AM28" s="474"/>
      <c r="AN28" s="184"/>
      <c r="AO28" s="184"/>
      <c r="AP28" s="184"/>
      <c r="AQ28" s="184"/>
      <c r="AR28" s="474"/>
      <c r="AS28" s="184"/>
      <c r="AT28" s="184"/>
      <c r="AU28" s="184"/>
      <c r="AV28" s="184"/>
      <c r="AW28" s="469">
        <f t="shared" si="2"/>
        <v>0</v>
      </c>
      <c r="AX28" s="470">
        <f>'1) Project Information'!AD18</f>
        <v>0</v>
      </c>
      <c r="AY28" s="469">
        <f t="shared" si="4"/>
        <v>0</v>
      </c>
      <c r="AZ28" s="377"/>
      <c r="BB28" s="102">
        <f t="shared" si="5"/>
        <v>2027</v>
      </c>
      <c r="BC28" s="469">
        <f t="shared" ca="1" si="0"/>
        <v>5785158.6199291609</v>
      </c>
    </row>
    <row r="29" spans="2:55" x14ac:dyDescent="0.2">
      <c r="B29" s="112">
        <f t="shared" si="6"/>
        <v>2027</v>
      </c>
      <c r="C29" s="472"/>
      <c r="D29" s="5"/>
      <c r="E29" s="184"/>
      <c r="F29" s="184"/>
      <c r="G29" s="473"/>
      <c r="H29" s="474"/>
      <c r="I29" s="184"/>
      <c r="J29" s="184"/>
      <c r="K29" s="184"/>
      <c r="L29" s="473"/>
      <c r="M29" s="474"/>
      <c r="N29" s="184"/>
      <c r="O29" s="184"/>
      <c r="P29" s="184"/>
      <c r="Q29" s="184"/>
      <c r="R29" s="474"/>
      <c r="S29" s="184"/>
      <c r="T29" s="184"/>
      <c r="U29" s="184"/>
      <c r="V29" s="184"/>
      <c r="W29" s="469">
        <f t="shared" si="1"/>
        <v>0</v>
      </c>
      <c r="X29" s="470">
        <f>'1) Project Information'!AE19</f>
        <v>0</v>
      </c>
      <c r="Y29" s="469">
        <f t="shared" si="3"/>
        <v>0</v>
      </c>
      <c r="AB29" s="112">
        <f t="shared" si="7"/>
        <v>2027</v>
      </c>
      <c r="AC29" s="472"/>
      <c r="AD29" s="5"/>
      <c r="AE29" s="184"/>
      <c r="AF29" s="184"/>
      <c r="AG29" s="473"/>
      <c r="AH29" s="474"/>
      <c r="AI29" s="184"/>
      <c r="AJ29" s="184"/>
      <c r="AK29" s="184"/>
      <c r="AL29" s="473"/>
      <c r="AM29" s="474"/>
      <c r="AN29" s="184"/>
      <c r="AO29" s="184"/>
      <c r="AP29" s="184"/>
      <c r="AQ29" s="184"/>
      <c r="AR29" s="474"/>
      <c r="AS29" s="184"/>
      <c r="AT29" s="184"/>
      <c r="AU29" s="184"/>
      <c r="AV29" s="184"/>
      <c r="AW29" s="469">
        <f t="shared" si="2"/>
        <v>0</v>
      </c>
      <c r="AX29" s="470">
        <f>'1) Project Information'!AD19</f>
        <v>0</v>
      </c>
      <c r="AY29" s="469">
        <f t="shared" si="4"/>
        <v>0</v>
      </c>
      <c r="AZ29" s="377"/>
      <c r="BB29" s="102">
        <f t="shared" si="5"/>
        <v>2028</v>
      </c>
      <c r="BC29" s="469">
        <f t="shared" ca="1" si="0"/>
        <v>5947438.2498663105</v>
      </c>
    </row>
    <row r="30" spans="2:55" x14ac:dyDescent="0.2">
      <c r="B30" s="112">
        <f t="shared" si="6"/>
        <v>2028</v>
      </c>
      <c r="C30" s="472"/>
      <c r="D30" s="5"/>
      <c r="E30" s="184"/>
      <c r="F30" s="184"/>
      <c r="G30" s="473"/>
      <c r="H30" s="474"/>
      <c r="I30" s="184"/>
      <c r="J30" s="184"/>
      <c r="K30" s="184"/>
      <c r="L30" s="473"/>
      <c r="M30" s="474"/>
      <c r="N30" s="184"/>
      <c r="O30" s="184"/>
      <c r="P30" s="184"/>
      <c r="Q30" s="184"/>
      <c r="R30" s="474"/>
      <c r="S30" s="184"/>
      <c r="T30" s="184"/>
      <c r="U30" s="184"/>
      <c r="V30" s="184"/>
      <c r="W30" s="469">
        <f t="shared" si="1"/>
        <v>0</v>
      </c>
      <c r="X30" s="470">
        <f>'1) Project Information'!AE20</f>
        <v>0</v>
      </c>
      <c r="Y30" s="469">
        <f t="shared" si="3"/>
        <v>0</v>
      </c>
      <c r="AB30" s="112">
        <f t="shared" si="7"/>
        <v>2028</v>
      </c>
      <c r="AC30" s="472"/>
      <c r="AD30" s="5"/>
      <c r="AE30" s="184"/>
      <c r="AF30" s="184"/>
      <c r="AG30" s="473"/>
      <c r="AH30" s="474"/>
      <c r="AI30" s="184"/>
      <c r="AJ30" s="184"/>
      <c r="AK30" s="184"/>
      <c r="AL30" s="473"/>
      <c r="AM30" s="474"/>
      <c r="AN30" s="184"/>
      <c r="AO30" s="184"/>
      <c r="AP30" s="184"/>
      <c r="AQ30" s="184"/>
      <c r="AR30" s="474"/>
      <c r="AS30" s="184"/>
      <c r="AT30" s="184"/>
      <c r="AU30" s="184"/>
      <c r="AV30" s="184"/>
      <c r="AW30" s="469">
        <f t="shared" si="2"/>
        <v>0</v>
      </c>
      <c r="AX30" s="470">
        <f>'1) Project Information'!AD20</f>
        <v>0</v>
      </c>
      <c r="AY30" s="469">
        <f t="shared" si="4"/>
        <v>0</v>
      </c>
      <c r="AZ30" s="377"/>
      <c r="BB30" s="102">
        <f t="shared" si="5"/>
        <v>2029</v>
      </c>
      <c r="BC30" s="469">
        <f t="shared" ca="1" si="0"/>
        <v>6110285.5820890414</v>
      </c>
    </row>
    <row r="31" spans="2:55" x14ac:dyDescent="0.2">
      <c r="B31" s="112">
        <f t="shared" si="6"/>
        <v>2029</v>
      </c>
      <c r="C31" s="472"/>
      <c r="D31" s="5"/>
      <c r="E31" s="184"/>
      <c r="F31" s="184"/>
      <c r="G31" s="473"/>
      <c r="H31" s="474"/>
      <c r="I31" s="184"/>
      <c r="J31" s="184"/>
      <c r="K31" s="184"/>
      <c r="L31" s="473"/>
      <c r="M31" s="474"/>
      <c r="N31" s="184"/>
      <c r="O31" s="184"/>
      <c r="P31" s="184"/>
      <c r="Q31" s="184"/>
      <c r="R31" s="474"/>
      <c r="S31" s="184"/>
      <c r="T31" s="184"/>
      <c r="U31" s="184"/>
      <c r="V31" s="184"/>
      <c r="W31" s="469">
        <f t="shared" si="1"/>
        <v>0</v>
      </c>
      <c r="X31" s="470">
        <f>'1) Project Information'!AE21</f>
        <v>0</v>
      </c>
      <c r="Y31" s="469">
        <f t="shared" si="3"/>
        <v>0</v>
      </c>
      <c r="AB31" s="112">
        <f t="shared" si="7"/>
        <v>2029</v>
      </c>
      <c r="AC31" s="472"/>
      <c r="AD31" s="5"/>
      <c r="AE31" s="184"/>
      <c r="AF31" s="184"/>
      <c r="AG31" s="473"/>
      <c r="AH31" s="474"/>
      <c r="AI31" s="184"/>
      <c r="AJ31" s="184"/>
      <c r="AK31" s="184"/>
      <c r="AL31" s="473"/>
      <c r="AM31" s="474"/>
      <c r="AN31" s="184"/>
      <c r="AO31" s="184"/>
      <c r="AP31" s="184"/>
      <c r="AQ31" s="184"/>
      <c r="AR31" s="474"/>
      <c r="AS31" s="184"/>
      <c r="AT31" s="184"/>
      <c r="AU31" s="184"/>
      <c r="AV31" s="184"/>
      <c r="AW31" s="469">
        <f t="shared" si="2"/>
        <v>0</v>
      </c>
      <c r="AX31" s="470">
        <f>'1) Project Information'!AD21</f>
        <v>0</v>
      </c>
      <c r="AY31" s="469">
        <f t="shared" si="4"/>
        <v>0</v>
      </c>
      <c r="AZ31" s="377"/>
      <c r="BB31" s="102">
        <f t="shared" si="5"/>
        <v>2030</v>
      </c>
      <c r="BC31" s="469">
        <f t="shared" ca="1" si="0"/>
        <v>6273686.2820714917</v>
      </c>
    </row>
    <row r="32" spans="2:55" x14ac:dyDescent="0.2">
      <c r="B32" s="112">
        <f t="shared" si="6"/>
        <v>2030</v>
      </c>
      <c r="C32" s="475"/>
      <c r="D32" s="1184"/>
      <c r="E32" s="476"/>
      <c r="F32" s="476"/>
      <c r="G32" s="477"/>
      <c r="H32" s="478"/>
      <c r="I32" s="184"/>
      <c r="J32" s="184"/>
      <c r="K32" s="184"/>
      <c r="L32" s="477"/>
      <c r="M32" s="478"/>
      <c r="N32" s="184"/>
      <c r="O32" s="184"/>
      <c r="P32" s="184"/>
      <c r="Q32" s="184"/>
      <c r="R32" s="478"/>
      <c r="S32" s="184"/>
      <c r="T32" s="184"/>
      <c r="U32" s="184"/>
      <c r="V32" s="184"/>
      <c r="W32" s="469">
        <f t="shared" si="1"/>
        <v>0</v>
      </c>
      <c r="X32" s="470">
        <f>'1) Project Information'!AE22</f>
        <v>0</v>
      </c>
      <c r="Y32" s="469">
        <f t="shared" si="3"/>
        <v>0</v>
      </c>
      <c r="AB32" s="112">
        <f t="shared" si="7"/>
        <v>2030</v>
      </c>
      <c r="AC32" s="475"/>
      <c r="AD32" s="1184"/>
      <c r="AE32" s="476"/>
      <c r="AF32" s="476"/>
      <c r="AG32" s="477"/>
      <c r="AH32" s="478"/>
      <c r="AI32" s="184"/>
      <c r="AJ32" s="184"/>
      <c r="AK32" s="184"/>
      <c r="AL32" s="477"/>
      <c r="AM32" s="478"/>
      <c r="AN32" s="184"/>
      <c r="AO32" s="184"/>
      <c r="AP32" s="184"/>
      <c r="AQ32" s="184"/>
      <c r="AR32" s="478"/>
      <c r="AS32" s="184"/>
      <c r="AT32" s="184"/>
      <c r="AU32" s="184"/>
      <c r="AV32" s="184"/>
      <c r="AW32" s="469">
        <f t="shared" si="2"/>
        <v>0</v>
      </c>
      <c r="AX32" s="470">
        <f>'1) Project Information'!AD22</f>
        <v>0</v>
      </c>
      <c r="AY32" s="469">
        <f t="shared" si="4"/>
        <v>0</v>
      </c>
      <c r="AZ32" s="479"/>
      <c r="BB32" s="102">
        <f t="shared" si="5"/>
        <v>2031</v>
      </c>
      <c r="BC32" s="469">
        <f t="shared" ca="1" si="0"/>
        <v>6438545.2084945096</v>
      </c>
    </row>
    <row r="33" spans="2:55" x14ac:dyDescent="0.2">
      <c r="B33" s="139" t="s">
        <v>55</v>
      </c>
      <c r="C33" s="98"/>
      <c r="D33" s="98"/>
      <c r="E33" s="99"/>
      <c r="F33" s="99"/>
      <c r="G33" s="99"/>
      <c r="H33" s="99"/>
      <c r="I33" s="99"/>
      <c r="J33" s="99"/>
      <c r="K33" s="99"/>
      <c r="L33" s="99"/>
      <c r="M33" s="99"/>
      <c r="N33" s="99"/>
      <c r="O33" s="99"/>
      <c r="P33" s="99"/>
      <c r="Q33" s="99"/>
      <c r="R33" s="99"/>
      <c r="S33" s="99"/>
      <c r="T33" s="99"/>
      <c r="U33" s="99"/>
      <c r="V33" s="99"/>
      <c r="W33" s="99"/>
      <c r="X33" s="99"/>
      <c r="Y33" s="100"/>
      <c r="AB33" s="139" t="s">
        <v>55</v>
      </c>
      <c r="AC33" s="98"/>
      <c r="AD33" s="98"/>
      <c r="AE33" s="99"/>
      <c r="AF33" s="99"/>
      <c r="AG33" s="99"/>
      <c r="AH33" s="99"/>
      <c r="AI33" s="99"/>
      <c r="AJ33" s="99"/>
      <c r="AK33" s="99"/>
      <c r="AL33" s="99"/>
      <c r="AM33" s="99"/>
      <c r="AN33" s="99"/>
      <c r="AO33" s="99"/>
      <c r="AP33" s="99"/>
      <c r="AQ33" s="99"/>
      <c r="AR33" s="99"/>
      <c r="AS33" s="99"/>
      <c r="AT33" s="99"/>
      <c r="AU33" s="99"/>
      <c r="AV33" s="99"/>
      <c r="AW33" s="99"/>
      <c r="AX33" s="99"/>
      <c r="AY33" s="99"/>
      <c r="AZ33" s="100"/>
      <c r="BB33" s="102">
        <f t="shared" si="5"/>
        <v>2032</v>
      </c>
      <c r="BC33" s="469">
        <f t="shared" ca="1" si="0"/>
        <v>6600823.4576748051</v>
      </c>
    </row>
    <row r="34" spans="2:55" x14ac:dyDescent="0.2">
      <c r="B34" s="375">
        <f>YearOpen</f>
        <v>2026</v>
      </c>
      <c r="C34" s="376">
        <f ca="1">'Travel Time'!AD24+'Consumer Surplus'!AK24</f>
        <v>1600080.8986686389</v>
      </c>
      <c r="D34" s="376">
        <f ca="1">Reliability!AL26</f>
        <v>114729.20157319117</v>
      </c>
      <c r="E34" s="376">
        <f ca="1">'Vehicle Operating Costs'!AE24</f>
        <v>1509386.8794737034</v>
      </c>
      <c r="F34" s="376">
        <f ca="1">'Accident Costs'!AC30</f>
        <v>1511995.0687121856</v>
      </c>
      <c r="G34" s="376">
        <f ca="1">IFERROR(Emissions!BV24,0)</f>
        <v>110212.80834748986</v>
      </c>
      <c r="H34" s="480"/>
      <c r="I34" s="480"/>
      <c r="J34" s="480"/>
      <c r="K34" s="481"/>
      <c r="L34" s="480"/>
      <c r="M34" s="480"/>
      <c r="N34" s="480"/>
      <c r="O34" s="480"/>
      <c r="P34" s="481"/>
      <c r="Q34" s="480"/>
      <c r="R34" s="480"/>
      <c r="S34" s="480"/>
      <c r="T34" s="480"/>
      <c r="U34" s="481"/>
      <c r="V34" s="480"/>
      <c r="W34" s="469">
        <f t="shared" ref="W34:W53" ca="1" si="8">SUM(C34:V34)</f>
        <v>4846404.8567752093</v>
      </c>
      <c r="X34" s="470">
        <f>'1) Project Information'!AE24</f>
        <v>8548.0419102972573</v>
      </c>
      <c r="Y34" s="469">
        <f ca="1">W34-X34</f>
        <v>4837856.8148649121</v>
      </c>
      <c r="AB34" s="375">
        <f>YearOpen</f>
        <v>2026</v>
      </c>
      <c r="AC34" s="376">
        <f ca="1">'Travel Time'!AF24+'Consumer Surplus'!AM24</f>
        <v>1871868.3360000001</v>
      </c>
      <c r="AD34" s="376">
        <f ca="1">Reliability!AN26</f>
        <v>98071.002338258011</v>
      </c>
      <c r="AE34" s="376">
        <f ca="1">'Vehicle Operating Costs'!AG24</f>
        <v>1765769.1613040005</v>
      </c>
      <c r="AF34" s="376">
        <f ca="1">'Accident Costs'!AE30</f>
        <v>1768820.3738107388</v>
      </c>
      <c r="AG34" s="376">
        <f ca="1">IFERROR(Emissions!BX24,0)</f>
        <v>128933.39726695049</v>
      </c>
      <c r="AH34" s="480"/>
      <c r="AI34" s="480"/>
      <c r="AJ34" s="480"/>
      <c r="AK34" s="481"/>
      <c r="AL34" s="480"/>
      <c r="AM34" s="480"/>
      <c r="AN34" s="480"/>
      <c r="AO34" s="480"/>
      <c r="AP34" s="481"/>
      <c r="AQ34" s="480"/>
      <c r="AR34" s="480"/>
      <c r="AS34" s="480"/>
      <c r="AT34" s="480"/>
      <c r="AU34" s="481"/>
      <c r="AV34" s="480"/>
      <c r="AW34" s="469">
        <f t="shared" ref="AW34:AW53" ca="1" si="9">SUM(AC34:AV34)</f>
        <v>5633462.2707199473</v>
      </c>
      <c r="AX34" s="470">
        <f>'1) Project Information'!AD24</f>
        <v>10000</v>
      </c>
      <c r="AY34" s="469">
        <f ca="1">AW34-AX34</f>
        <v>5623462.2707199473</v>
      </c>
      <c r="AZ34" s="469">
        <f ca="1">AY34</f>
        <v>5623462.2707199473</v>
      </c>
      <c r="BB34" s="102">
        <f t="shared" si="5"/>
        <v>2033</v>
      </c>
      <c r="BC34" s="469">
        <f t="shared" ca="1" si="0"/>
        <v>6713875.8390745223</v>
      </c>
    </row>
    <row r="35" spans="2:55" x14ac:dyDescent="0.2">
      <c r="B35" s="375">
        <f>B34+1</f>
        <v>2027</v>
      </c>
      <c r="C35" s="376">
        <f ca="1">'Travel Time'!AD25+'Consumer Surplus'!AK25</f>
        <v>1589975.6995475525</v>
      </c>
      <c r="D35" s="376">
        <f ca="1">Reliability!AL27</f>
        <v>111792.01670257235</v>
      </c>
      <c r="E35" s="376">
        <f ca="1">'Vehicle Operating Costs'!AE25</f>
        <v>1506305.2415916373</v>
      </c>
      <c r="F35" s="376">
        <f ca="1">'Accident Costs'!AC31</f>
        <v>1479480.7251890707</v>
      </c>
      <c r="G35" s="376">
        <f ca="1">IFERROR(Emissions!BV25,0)</f>
        <v>111913.610516599</v>
      </c>
      <c r="H35" s="480"/>
      <c r="I35" s="480"/>
      <c r="J35" s="480"/>
      <c r="K35" s="481"/>
      <c r="L35" s="480"/>
      <c r="M35" s="480"/>
      <c r="N35" s="480"/>
      <c r="O35" s="480"/>
      <c r="P35" s="481"/>
      <c r="Q35" s="480"/>
      <c r="R35" s="480"/>
      <c r="S35" s="480"/>
      <c r="T35" s="480"/>
      <c r="U35" s="481"/>
      <c r="V35" s="480"/>
      <c r="W35" s="469">
        <f t="shared" ca="1" si="8"/>
        <v>4799467.2935474319</v>
      </c>
      <c r="X35" s="470">
        <f>'1) Project Information'!AE25</f>
        <v>8219.2710675935159</v>
      </c>
      <c r="Y35" s="469">
        <f ca="1">W35-X35</f>
        <v>4791248.0224798387</v>
      </c>
      <c r="AB35" s="375">
        <f>AB34+1</f>
        <v>2027</v>
      </c>
      <c r="AC35" s="376">
        <f ca="1">'Travel Time'!AF25+'Consumer Surplus'!AM25</f>
        <v>1934448.5496000007</v>
      </c>
      <c r="AD35" s="376">
        <f ca="1">Reliability!AN27</f>
        <v>91884.888847138398</v>
      </c>
      <c r="AE35" s="376">
        <f ca="1">'Vehicle Operating Costs'!AG25</f>
        <v>1832650.6440827991</v>
      </c>
      <c r="AF35" s="376">
        <f ca="1">'Accident Costs'!AE31</f>
        <v>1800014.5183461402</v>
      </c>
      <c r="AG35" s="376">
        <f ca="1">IFERROR(Emissions!BX25,0)</f>
        <v>136160.01905308338</v>
      </c>
      <c r="AH35" s="480"/>
      <c r="AI35" s="480"/>
      <c r="AJ35" s="480"/>
      <c r="AK35" s="481"/>
      <c r="AL35" s="480"/>
      <c r="AM35" s="480"/>
      <c r="AN35" s="480"/>
      <c r="AO35" s="480"/>
      <c r="AP35" s="481"/>
      <c r="AQ35" s="480"/>
      <c r="AR35" s="480"/>
      <c r="AS35" s="480"/>
      <c r="AT35" s="480"/>
      <c r="AU35" s="481"/>
      <c r="AV35" s="480"/>
      <c r="AW35" s="469">
        <f t="shared" ca="1" si="9"/>
        <v>5795158.6199291609</v>
      </c>
      <c r="AX35" s="470">
        <f>'1) Project Information'!AD25</f>
        <v>10000</v>
      </c>
      <c r="AY35" s="469">
        <f t="shared" ref="AY35:AY53" ca="1" si="10">AW35-AX35</f>
        <v>5785158.6199291609</v>
      </c>
      <c r="AZ35" s="469">
        <f ca="1">AZ34+AY35</f>
        <v>11408620.890649108</v>
      </c>
      <c r="BB35" s="102">
        <f t="shared" si="5"/>
        <v>2034</v>
      </c>
      <c r="BC35" s="469">
        <f t="shared" ca="1" si="0"/>
        <v>6877065.3245105892</v>
      </c>
    </row>
    <row r="36" spans="2:55" x14ac:dyDescent="0.2">
      <c r="B36" s="375">
        <f t="shared" ref="B36:B53" si="11">B35+1</f>
        <v>2028</v>
      </c>
      <c r="C36" s="376">
        <f ca="1">'Travel Time'!AD26+'Consumer Surplus'!AK26</f>
        <v>1578280.8398578689</v>
      </c>
      <c r="D36" s="376">
        <f ca="1">Reliability!AL28</f>
        <v>108911.05137588705</v>
      </c>
      <c r="E36" s="376">
        <f ca="1">'Vehicle Operating Costs'!AE26</f>
        <v>1501227.8319498003</v>
      </c>
      <c r="F36" s="376">
        <f ca="1">'Accident Costs'!AC32</f>
        <v>1447230.8059181541</v>
      </c>
      <c r="G36" s="376">
        <f ca="1">IFERROR(Emissions!BV26,0)</f>
        <v>113484.98592785711</v>
      </c>
      <c r="H36" s="480"/>
      <c r="I36" s="480"/>
      <c r="J36" s="480"/>
      <c r="K36" s="481"/>
      <c r="L36" s="480"/>
      <c r="M36" s="480"/>
      <c r="N36" s="480"/>
      <c r="O36" s="480"/>
      <c r="P36" s="481"/>
      <c r="Q36" s="480"/>
      <c r="R36" s="480"/>
      <c r="S36" s="480"/>
      <c r="T36" s="480"/>
      <c r="U36" s="481"/>
      <c r="V36" s="480"/>
      <c r="W36" s="469">
        <f t="shared" ca="1" si="8"/>
        <v>4749135.5150295682</v>
      </c>
      <c r="X36" s="470">
        <f>'1) Project Information'!AE26</f>
        <v>7903.1452573014567</v>
      </c>
      <c r="Y36" s="469">
        <f t="shared" ref="Y36:Y53" ca="1" si="12">W36-X36</f>
        <v>4741232.3697722666</v>
      </c>
      <c r="AB36" s="375">
        <f t="shared" ref="AB36:AB53" si="13">AB35+1</f>
        <v>2028</v>
      </c>
      <c r="AC36" s="376">
        <f ca="1">'Travel Time'!AF26+'Consumer Surplus'!AM26</f>
        <v>1997028.7632000018</v>
      </c>
      <c r="AD36" s="376">
        <f ca="1">Reliability!AN28</f>
        <v>86073.985914905701</v>
      </c>
      <c r="AE36" s="376">
        <f ca="1">'Vehicle Operating Costs'!AG26</f>
        <v>1899532.1268615997</v>
      </c>
      <c r="AF36" s="376">
        <f ca="1">'Accident Costs'!AE32</f>
        <v>1831208.6628815343</v>
      </c>
      <c r="AG36" s="376">
        <f ca="1">IFERROR(Emissions!BX26,0)</f>
        <v>143594.71100826858</v>
      </c>
      <c r="AH36" s="480"/>
      <c r="AI36" s="480"/>
      <c r="AJ36" s="480"/>
      <c r="AK36" s="481"/>
      <c r="AL36" s="480"/>
      <c r="AM36" s="480"/>
      <c r="AN36" s="480"/>
      <c r="AO36" s="480"/>
      <c r="AP36" s="481"/>
      <c r="AQ36" s="480"/>
      <c r="AR36" s="480"/>
      <c r="AS36" s="480"/>
      <c r="AT36" s="480"/>
      <c r="AU36" s="481"/>
      <c r="AV36" s="480"/>
      <c r="AW36" s="469">
        <f t="shared" ca="1" si="9"/>
        <v>5957438.2498663105</v>
      </c>
      <c r="AX36" s="470">
        <f>'1) Project Information'!AD26</f>
        <v>10000</v>
      </c>
      <c r="AY36" s="469">
        <f t="shared" ca="1" si="10"/>
        <v>5947438.2498663105</v>
      </c>
      <c r="AZ36" s="469">
        <f t="shared" ref="AZ36:AZ53" ca="1" si="14">AZ35+AY36</f>
        <v>17356059.140515417</v>
      </c>
      <c r="BB36" s="102">
        <f t="shared" si="5"/>
        <v>2035</v>
      </c>
      <c r="BC36" s="469">
        <f t="shared" ca="1" si="0"/>
        <v>7040693.6426290628</v>
      </c>
    </row>
    <row r="37" spans="2:55" x14ac:dyDescent="0.2">
      <c r="B37" s="375">
        <f t="shared" si="11"/>
        <v>2029</v>
      </c>
      <c r="C37" s="376">
        <f ca="1">'Travel Time'!AD27+'Consumer Surplus'!AK27</f>
        <v>1565133.5497011961</v>
      </c>
      <c r="D37" s="376">
        <f ca="1">Reliability!AL29</f>
        <v>106086.32596086597</v>
      </c>
      <c r="E37" s="376">
        <f ca="1">'Vehicle Operating Costs'!AE27</f>
        <v>1494312.7300887089</v>
      </c>
      <c r="F37" s="376">
        <f ca="1">'Accident Costs'!AC33</f>
        <v>1415273.0687136468</v>
      </c>
      <c r="G37" s="376">
        <f ca="1">IFERROR(Emissions!BV27,0)</f>
        <v>114932.47733915685</v>
      </c>
      <c r="H37" s="480"/>
      <c r="I37" s="480"/>
      <c r="J37" s="480"/>
      <c r="K37" s="481"/>
      <c r="L37" s="480"/>
      <c r="M37" s="480"/>
      <c r="N37" s="480"/>
      <c r="O37" s="480"/>
      <c r="P37" s="481"/>
      <c r="Q37" s="480"/>
      <c r="R37" s="480"/>
      <c r="S37" s="480"/>
      <c r="T37" s="480"/>
      <c r="U37" s="481"/>
      <c r="V37" s="480"/>
      <c r="W37" s="469">
        <f t="shared" ca="1" si="8"/>
        <v>4695738.1518035745</v>
      </c>
      <c r="X37" s="470">
        <f>'1) Project Information'!AE27</f>
        <v>7599.1781320206328</v>
      </c>
      <c r="Y37" s="469">
        <f t="shared" ca="1" si="12"/>
        <v>4688138.9736715537</v>
      </c>
      <c r="AB37" s="375">
        <f t="shared" si="13"/>
        <v>2029</v>
      </c>
      <c r="AC37" s="376">
        <f ca="1">'Travel Time'!AF27+'Consumer Surplus'!AM27</f>
        <v>2059608.9768000015</v>
      </c>
      <c r="AD37" s="376">
        <f ca="1">Reliability!AN29</f>
        <v>80616.888834822545</v>
      </c>
      <c r="AE37" s="376">
        <f ca="1">'Vehicle Operating Costs'!AG27</f>
        <v>1966413.6096404006</v>
      </c>
      <c r="AF37" s="376">
        <f ca="1">'Accident Costs'!AE33</f>
        <v>1862402.8074169168</v>
      </c>
      <c r="AG37" s="376">
        <f ca="1">IFERROR(Emissions!BX27,0)</f>
        <v>151243.29939689956</v>
      </c>
      <c r="AH37" s="480"/>
      <c r="AI37" s="480"/>
      <c r="AJ37" s="480"/>
      <c r="AK37" s="481"/>
      <c r="AL37" s="480"/>
      <c r="AM37" s="480"/>
      <c r="AN37" s="480"/>
      <c r="AO37" s="480"/>
      <c r="AP37" s="481"/>
      <c r="AQ37" s="480"/>
      <c r="AR37" s="480"/>
      <c r="AS37" s="480"/>
      <c r="AT37" s="480"/>
      <c r="AU37" s="481"/>
      <c r="AV37" s="480"/>
      <c r="AW37" s="469">
        <f t="shared" ca="1" si="9"/>
        <v>6120285.5820890414</v>
      </c>
      <c r="AX37" s="470">
        <f>'1) Project Information'!AD27</f>
        <v>10000</v>
      </c>
      <c r="AY37" s="469">
        <f t="shared" ca="1" si="10"/>
        <v>6110285.5820890414</v>
      </c>
      <c r="AZ37" s="469">
        <f t="shared" ca="1" si="14"/>
        <v>23466344.722604457</v>
      </c>
      <c r="BB37" s="102">
        <f t="shared" si="5"/>
        <v>2036</v>
      </c>
      <c r="BC37" s="469">
        <f t="shared" ca="1" si="0"/>
        <v>7204751.4574513491</v>
      </c>
    </row>
    <row r="38" spans="2:55" x14ac:dyDescent="0.2">
      <c r="B38" s="375">
        <f t="shared" si="11"/>
        <v>2030</v>
      </c>
      <c r="C38" s="376">
        <f ca="1">'Travel Time'!AD28+'Consumer Surplus'!AK28</f>
        <v>1550662.8545863708</v>
      </c>
      <c r="D38" s="376">
        <f ca="1">Reliability!AL30</f>
        <v>103317.77609348572</v>
      </c>
      <c r="E38" s="376">
        <f ca="1">'Vehicle Operating Costs'!AE28</f>
        <v>1485708.8079093122</v>
      </c>
      <c r="F38" s="376">
        <f ca="1">'Accident Costs'!AC34</f>
        <v>1383632.7450131685</v>
      </c>
      <c r="G38" s="376">
        <f ca="1">IFERROR(Emissions!BV28,0)</f>
        <v>116261.40475612879</v>
      </c>
      <c r="H38" s="480"/>
      <c r="I38" s="480"/>
      <c r="J38" s="480"/>
      <c r="K38" s="481"/>
      <c r="L38" s="480"/>
      <c r="M38" s="480"/>
      <c r="N38" s="480"/>
      <c r="O38" s="480"/>
      <c r="P38" s="481"/>
      <c r="Q38" s="480"/>
      <c r="R38" s="480"/>
      <c r="S38" s="480"/>
      <c r="T38" s="480"/>
      <c r="U38" s="481"/>
      <c r="V38" s="480"/>
      <c r="W38" s="469">
        <f t="shared" ca="1" si="8"/>
        <v>4639583.5883584656</v>
      </c>
      <c r="X38" s="470">
        <f>'1) Project Information'!AE28</f>
        <v>7306.9020500198376</v>
      </c>
      <c r="Y38" s="469">
        <f t="shared" ca="1" si="12"/>
        <v>4632276.6863084454</v>
      </c>
      <c r="AB38" s="375">
        <f t="shared" si="13"/>
        <v>2030</v>
      </c>
      <c r="AC38" s="376">
        <f ca="1">'Travel Time'!AF28+'Consumer Surplus'!AM28</f>
        <v>2122189.1904000011</v>
      </c>
      <c r="AD38" s="376">
        <f ca="1">Reliability!AN30</f>
        <v>75493.286994098147</v>
      </c>
      <c r="AE38" s="376">
        <f ca="1">'Vehicle Operating Costs'!AG28</f>
        <v>2033295.0924191992</v>
      </c>
      <c r="AF38" s="376">
        <f ca="1">'Accident Costs'!AE34</f>
        <v>1893596.9519523149</v>
      </c>
      <c r="AG38" s="376">
        <f ca="1">IFERROR(Emissions!BX28,0)</f>
        <v>159111.76030587839</v>
      </c>
      <c r="AH38" s="480"/>
      <c r="AI38" s="480"/>
      <c r="AJ38" s="480"/>
      <c r="AK38" s="481"/>
      <c r="AL38" s="480"/>
      <c r="AM38" s="480"/>
      <c r="AN38" s="480"/>
      <c r="AO38" s="480"/>
      <c r="AP38" s="481"/>
      <c r="AQ38" s="480"/>
      <c r="AR38" s="480"/>
      <c r="AS38" s="480"/>
      <c r="AT38" s="480"/>
      <c r="AU38" s="481"/>
      <c r="AV38" s="480"/>
      <c r="AW38" s="469">
        <f t="shared" ca="1" si="9"/>
        <v>6283686.2820714917</v>
      </c>
      <c r="AX38" s="470">
        <f>'1) Project Information'!AD28</f>
        <v>10000</v>
      </c>
      <c r="AY38" s="469">
        <f t="shared" ca="1" si="10"/>
        <v>6273686.2820714917</v>
      </c>
      <c r="AZ38" s="469">
        <f t="shared" ca="1" si="14"/>
        <v>29740031.004675947</v>
      </c>
      <c r="BB38" s="102">
        <f t="shared" si="5"/>
        <v>2037</v>
      </c>
      <c r="BC38" s="469">
        <f t="shared" ca="1" si="0"/>
        <v>7368813.1363173034</v>
      </c>
    </row>
    <row r="39" spans="2:55" x14ac:dyDescent="0.2">
      <c r="B39" s="375">
        <f t="shared" si="11"/>
        <v>2031</v>
      </c>
      <c r="C39" s="376">
        <f ca="1">'Travel Time'!AD29+'Consumer Surplus'!AK29</f>
        <v>1534990.0035488671</v>
      </c>
      <c r="D39" s="376">
        <f ca="1">Reliability!AL31</f>
        <v>100605.25916566602</v>
      </c>
      <c r="E39" s="376">
        <f ca="1">'Vehicle Operating Costs'!AE29</f>
        <v>1476014.7485735072</v>
      </c>
      <c r="F39" s="376">
        <f ca="1">'Accident Costs'!AC35</f>
        <v>1352332.6931524947</v>
      </c>
      <c r="G39" s="376">
        <f ca="1">IFERROR(Emissions!BV29,0)</f>
        <v>117663.29694799267</v>
      </c>
      <c r="H39" s="480"/>
      <c r="I39" s="480"/>
      <c r="J39" s="480"/>
      <c r="K39" s="481"/>
      <c r="L39" s="480"/>
      <c r="M39" s="480"/>
      <c r="N39" s="480"/>
      <c r="O39" s="480"/>
      <c r="P39" s="481"/>
      <c r="Q39" s="480"/>
      <c r="R39" s="480"/>
      <c r="S39" s="480"/>
      <c r="T39" s="480"/>
      <c r="U39" s="481"/>
      <c r="V39" s="480"/>
      <c r="W39" s="469">
        <f t="shared" ca="1" si="8"/>
        <v>4581606.0013885275</v>
      </c>
      <c r="X39" s="470">
        <f>'1) Project Information'!AE29</f>
        <v>7025.8673557883048</v>
      </c>
      <c r="Y39" s="469">
        <f t="shared" ca="1" si="12"/>
        <v>4574580.1340327393</v>
      </c>
      <c r="AB39" s="375">
        <f t="shared" si="13"/>
        <v>2031</v>
      </c>
      <c r="AC39" s="376">
        <f ca="1">'Travel Time'!AF29+'Consumer Surplus'!AM29</f>
        <v>2184769.4040000001</v>
      </c>
      <c r="AD39" s="376">
        <f ca="1">Reliability!AN31</f>
        <v>70683.920619267505</v>
      </c>
      <c r="AE39" s="376">
        <f ca="1">'Vehicle Operating Costs'!AG29</f>
        <v>2100829.2269530012</v>
      </c>
      <c r="AF39" s="376">
        <f ca="1">'Accident Costs'!AE35</f>
        <v>1924791.0964877054</v>
      </c>
      <c r="AG39" s="376">
        <f ca="1">IFERROR(Emissions!BX29,0)</f>
        <v>167471.56043453485</v>
      </c>
      <c r="AH39" s="480"/>
      <c r="AI39" s="480"/>
      <c r="AJ39" s="480"/>
      <c r="AK39" s="481"/>
      <c r="AL39" s="480"/>
      <c r="AM39" s="480"/>
      <c r="AN39" s="480"/>
      <c r="AO39" s="480"/>
      <c r="AP39" s="481"/>
      <c r="AQ39" s="480"/>
      <c r="AR39" s="480"/>
      <c r="AS39" s="480"/>
      <c r="AT39" s="480"/>
      <c r="AU39" s="481"/>
      <c r="AV39" s="480"/>
      <c r="AW39" s="469">
        <f t="shared" ca="1" si="9"/>
        <v>6448545.2084945096</v>
      </c>
      <c r="AX39" s="470">
        <f>'1) Project Information'!AD29</f>
        <v>10000</v>
      </c>
      <c r="AY39" s="469">
        <f t="shared" ca="1" si="10"/>
        <v>6438545.2084945096</v>
      </c>
      <c r="AZ39" s="469">
        <f t="shared" ca="1" si="14"/>
        <v>36178576.213170454</v>
      </c>
      <c r="BB39" s="102">
        <f t="shared" si="5"/>
        <v>2038</v>
      </c>
      <c r="BC39" s="469">
        <f t="shared" ca="1" si="0"/>
        <v>7533698.4980310686</v>
      </c>
    </row>
    <row r="40" spans="2:55" x14ac:dyDescent="0.2">
      <c r="B40" s="375">
        <f t="shared" si="11"/>
        <v>2032</v>
      </c>
      <c r="C40" s="376">
        <f ca="1">'Travel Time'!AD30+'Consumer Surplus'!AK30</f>
        <v>1518228.8764749193</v>
      </c>
      <c r="D40" s="376">
        <f ca="1">Reliability!AL32</f>
        <v>97948.560439256413</v>
      </c>
      <c r="E40" s="376">
        <f ca="1">'Vehicle Operating Costs'!AE30</f>
        <v>1463266.5174980117</v>
      </c>
      <c r="F40" s="376">
        <f ca="1">'Accident Costs'!AC36</f>
        <v>1321393.543587296</v>
      </c>
      <c r="G40" s="376">
        <f ca="1">IFERROR(Emissions!BV30,0)</f>
        <v>118444.07249426031</v>
      </c>
      <c r="H40" s="480"/>
      <c r="I40" s="480"/>
      <c r="J40" s="480"/>
      <c r="K40" s="481"/>
      <c r="L40" s="480"/>
      <c r="M40" s="480"/>
      <c r="N40" s="480"/>
      <c r="O40" s="480"/>
      <c r="P40" s="481"/>
      <c r="Q40" s="480"/>
      <c r="R40" s="480"/>
      <c r="S40" s="480"/>
      <c r="T40" s="480"/>
      <c r="U40" s="481"/>
      <c r="V40" s="480"/>
      <c r="W40" s="469">
        <f t="shared" ca="1" si="8"/>
        <v>4519281.5704937438</v>
      </c>
      <c r="X40" s="470">
        <f>'1) Project Information'!AE30</f>
        <v>6755.6416882579852</v>
      </c>
      <c r="Y40" s="469">
        <f t="shared" ca="1" si="12"/>
        <v>4512525.9288054854</v>
      </c>
      <c r="AB40" s="375">
        <f t="shared" si="13"/>
        <v>2032</v>
      </c>
      <c r="AC40" s="376">
        <f ca="1">'Travel Time'!AF30+'Consumer Surplus'!AM30</f>
        <v>2247349.6175999986</v>
      </c>
      <c r="AD40" s="376">
        <f ca="1">Reliability!AN32</f>
        <v>66170.537820829748</v>
      </c>
      <c r="AE40" s="376">
        <f ca="1">'Vehicle Operating Costs'!AG30</f>
        <v>2165991.8998388005</v>
      </c>
      <c r="AF40" s="376">
        <f ca="1">'Accident Costs'!AE36</f>
        <v>1955985.2410230944</v>
      </c>
      <c r="AG40" s="376">
        <f ca="1">IFERROR(Emissions!BX30,0)</f>
        <v>175326.16139208293</v>
      </c>
      <c r="AH40" s="480"/>
      <c r="AI40" s="480"/>
      <c r="AJ40" s="480"/>
      <c r="AK40" s="481"/>
      <c r="AL40" s="480"/>
      <c r="AM40" s="480"/>
      <c r="AN40" s="480"/>
      <c r="AO40" s="480"/>
      <c r="AP40" s="481"/>
      <c r="AQ40" s="480"/>
      <c r="AR40" s="480"/>
      <c r="AS40" s="480"/>
      <c r="AT40" s="480"/>
      <c r="AU40" s="481"/>
      <c r="AV40" s="480"/>
      <c r="AW40" s="469">
        <f t="shared" ca="1" si="9"/>
        <v>6610823.4576748051</v>
      </c>
      <c r="AX40" s="470">
        <f>'1) Project Information'!AD30</f>
        <v>10000</v>
      </c>
      <c r="AY40" s="469">
        <f t="shared" ca="1" si="10"/>
        <v>6600823.4576748051</v>
      </c>
      <c r="AZ40" s="469">
        <f t="shared" ca="1" si="14"/>
        <v>42779399.670845255</v>
      </c>
      <c r="BB40" s="102">
        <f t="shared" si="5"/>
        <v>2039</v>
      </c>
      <c r="BC40" s="469">
        <f t="shared" ca="1" si="0"/>
        <v>7698990.7399165565</v>
      </c>
    </row>
    <row r="41" spans="2:55" x14ac:dyDescent="0.2">
      <c r="B41" s="375">
        <f t="shared" si="11"/>
        <v>2033</v>
      </c>
      <c r="C41" s="376">
        <f ca="1">'Travel Time'!AD31+'Consumer Surplus'!AK31</f>
        <v>1500486.3715966782</v>
      </c>
      <c r="D41" s="376">
        <f ca="1">Reliability!AL33</f>
        <v>95347.398805461518</v>
      </c>
      <c r="E41" s="376">
        <f ca="1">'Vehicle Operating Costs'!AE31</f>
        <v>1450420.0565369802</v>
      </c>
      <c r="F41" s="376">
        <f ca="1">'Accident Costs'!AC37</f>
        <v>1290833.8364544036</v>
      </c>
      <c r="G41" s="376">
        <f ca="1">IFERROR(Emissions!BV31,0)</f>
        <v>85728.918144628406</v>
      </c>
      <c r="H41" s="480"/>
      <c r="I41" s="480"/>
      <c r="J41" s="480"/>
      <c r="K41" s="481"/>
      <c r="L41" s="480"/>
      <c r="M41" s="480"/>
      <c r="N41" s="480"/>
      <c r="O41" s="480"/>
      <c r="P41" s="481"/>
      <c r="Q41" s="480"/>
      <c r="R41" s="480"/>
      <c r="S41" s="480"/>
      <c r="T41" s="480"/>
      <c r="U41" s="481"/>
      <c r="V41" s="480"/>
      <c r="W41" s="469">
        <f t="shared" ca="1" si="8"/>
        <v>4422816.5815381519</v>
      </c>
      <c r="X41" s="470">
        <f>'1) Project Information'!AE31</f>
        <v>6495.8093156326786</v>
      </c>
      <c r="Y41" s="469">
        <f t="shared" ca="1" si="12"/>
        <v>4416320.7722225189</v>
      </c>
      <c r="AB41" s="375">
        <f t="shared" si="13"/>
        <v>2033</v>
      </c>
      <c r="AC41" s="376">
        <f ca="1">'Travel Time'!AF31+'Consumer Surplus'!AM31</f>
        <v>2309929.8311999999</v>
      </c>
      <c r="AD41" s="376">
        <f ca="1">Reliability!AN33</f>
        <v>61935.852138186106</v>
      </c>
      <c r="AE41" s="376">
        <f ca="1">'Vehicle Operating Costs'!AG31</f>
        <v>2232855.0393965994</v>
      </c>
      <c r="AF41" s="376">
        <f ca="1">'Accident Costs'!AE37</f>
        <v>1987179.385558486</v>
      </c>
      <c r="AG41" s="376">
        <f ca="1">IFERROR(Emissions!BX31,0)</f>
        <v>131975.73078125151</v>
      </c>
      <c r="AH41" s="480"/>
      <c r="AI41" s="480"/>
      <c r="AJ41" s="480"/>
      <c r="AK41" s="481"/>
      <c r="AL41" s="480"/>
      <c r="AM41" s="480"/>
      <c r="AN41" s="480"/>
      <c r="AO41" s="480"/>
      <c r="AP41" s="481"/>
      <c r="AQ41" s="480"/>
      <c r="AR41" s="480"/>
      <c r="AS41" s="480"/>
      <c r="AT41" s="480"/>
      <c r="AU41" s="481"/>
      <c r="AV41" s="480"/>
      <c r="AW41" s="469">
        <f t="shared" ca="1" si="9"/>
        <v>6723875.8390745223</v>
      </c>
      <c r="AX41" s="470">
        <f>'1) Project Information'!AD31</f>
        <v>10000</v>
      </c>
      <c r="AY41" s="469">
        <f t="shared" ca="1" si="10"/>
        <v>6713875.8390745223</v>
      </c>
      <c r="AZ41" s="469">
        <f t="shared" ca="1" si="14"/>
        <v>49493275.509919778</v>
      </c>
      <c r="BB41" s="102">
        <f t="shared" si="5"/>
        <v>2040</v>
      </c>
      <c r="BC41" s="469">
        <f t="shared" ca="1" si="0"/>
        <v>7864684.0758474376</v>
      </c>
    </row>
    <row r="42" spans="2:55" x14ac:dyDescent="0.2">
      <c r="B42" s="375">
        <f t="shared" si="11"/>
        <v>2034</v>
      </c>
      <c r="C42" s="376">
        <f ca="1">'Travel Time'!AD32+'Consumer Surplus'!AK32</f>
        <v>1481862.774081148</v>
      </c>
      <c r="D42" s="376">
        <f ca="1">Reliability!AL34</f>
        <v>92801.432207935941</v>
      </c>
      <c r="E42" s="376">
        <f ca="1">'Vehicle Operating Costs'!AE32</f>
        <v>1436397.1894405587</v>
      </c>
      <c r="F42" s="376">
        <f ca="1">'Accident Costs'!AC38</f>
        <v>1260670.1518471385</v>
      </c>
      <c r="G42" s="376">
        <f ca="1">IFERROR(Emissions!BV32,0)</f>
        <v>86506.735031436227</v>
      </c>
      <c r="H42" s="480"/>
      <c r="I42" s="480"/>
      <c r="J42" s="480"/>
      <c r="K42" s="481"/>
      <c r="L42" s="480"/>
      <c r="M42" s="480"/>
      <c r="N42" s="480"/>
      <c r="O42" s="480"/>
      <c r="P42" s="481"/>
      <c r="Q42" s="480"/>
      <c r="R42" s="480"/>
      <c r="S42" s="480"/>
      <c r="T42" s="480"/>
      <c r="U42" s="481"/>
      <c r="V42" s="480"/>
      <c r="W42" s="469">
        <f t="shared" ca="1" si="8"/>
        <v>4358238.2826082176</v>
      </c>
      <c r="X42" s="470">
        <f>'1) Project Information'!AE32</f>
        <v>6245.9704958006514</v>
      </c>
      <c r="Y42" s="469">
        <f t="shared" ca="1" si="12"/>
        <v>4351992.3121124171</v>
      </c>
      <c r="AB42" s="375">
        <f t="shared" si="13"/>
        <v>2034</v>
      </c>
      <c r="AC42" s="376">
        <f ca="1">'Travel Time'!AF32+'Consumer Surplus'!AM32</f>
        <v>2372510.0447999998</v>
      </c>
      <c r="AD42" s="376">
        <f ca="1">Reliability!AN34</f>
        <v>57963.500753881221</v>
      </c>
      <c r="AE42" s="376">
        <f ca="1">'Vehicle Operating Costs'!AG32</f>
        <v>2299718.1789544001</v>
      </c>
      <c r="AF42" s="376">
        <f ca="1">'Accident Costs'!AE38</f>
        <v>2018373.5300938804</v>
      </c>
      <c r="AG42" s="376">
        <f ca="1">IFERROR(Emissions!BX32,0)</f>
        <v>138500.06990842693</v>
      </c>
      <c r="AH42" s="480"/>
      <c r="AI42" s="480"/>
      <c r="AJ42" s="480"/>
      <c r="AK42" s="481"/>
      <c r="AL42" s="480"/>
      <c r="AM42" s="480"/>
      <c r="AN42" s="480"/>
      <c r="AO42" s="480"/>
      <c r="AP42" s="481"/>
      <c r="AQ42" s="480"/>
      <c r="AR42" s="480"/>
      <c r="AS42" s="480"/>
      <c r="AT42" s="480"/>
      <c r="AU42" s="481"/>
      <c r="AV42" s="480"/>
      <c r="AW42" s="469">
        <f t="shared" ca="1" si="9"/>
        <v>6887065.3245105892</v>
      </c>
      <c r="AX42" s="470">
        <f>'1) Project Information'!AD32</f>
        <v>10000</v>
      </c>
      <c r="AY42" s="469">
        <f t="shared" ca="1" si="10"/>
        <v>6877065.3245105892</v>
      </c>
      <c r="AZ42" s="469">
        <f t="shared" ca="1" si="14"/>
        <v>56370340.834430367</v>
      </c>
      <c r="BB42" s="102">
        <f t="shared" si="5"/>
        <v>2041</v>
      </c>
      <c r="BC42" s="469">
        <f t="shared" ca="1" si="0"/>
        <v>8027957.106463558</v>
      </c>
    </row>
    <row r="43" spans="2:55" x14ac:dyDescent="0.2">
      <c r="B43" s="375">
        <f t="shared" si="11"/>
        <v>2035</v>
      </c>
      <c r="C43" s="376">
        <f ca="1">'Travel Time'!AD33+'Consumer Surplus'!AK33</f>
        <v>1462452.1065940363</v>
      </c>
      <c r="D43" s="376">
        <f ca="1">Reliability!AL35</f>
        <v>90310.262746898443</v>
      </c>
      <c r="E43" s="376">
        <f ca="1">'Vehicle Operating Costs'!AE33</f>
        <v>1421307.4126288656</v>
      </c>
      <c r="F43" s="376">
        <f ca="1">'Accident Costs'!AC39</f>
        <v>1230917.2331616525</v>
      </c>
      <c r="G43" s="376">
        <f ca="1">IFERROR(Emissions!BV33,0)</f>
        <v>87213.199256505526</v>
      </c>
      <c r="H43" s="480"/>
      <c r="I43" s="480"/>
      <c r="J43" s="480"/>
      <c r="K43" s="481"/>
      <c r="L43" s="480"/>
      <c r="M43" s="480"/>
      <c r="N43" s="480"/>
      <c r="O43" s="480"/>
      <c r="P43" s="481"/>
      <c r="Q43" s="480"/>
      <c r="R43" s="480"/>
      <c r="S43" s="480"/>
      <c r="T43" s="480"/>
      <c r="U43" s="481"/>
      <c r="V43" s="480"/>
      <c r="W43" s="469">
        <f t="shared" ca="1" si="8"/>
        <v>4292200.2143879589</v>
      </c>
      <c r="X43" s="470">
        <f>'1) Project Information'!AE33</f>
        <v>6005.7408613467796</v>
      </c>
      <c r="Y43" s="469">
        <f t="shared" ca="1" si="12"/>
        <v>4286194.4735266119</v>
      </c>
      <c r="AB43" s="375">
        <f t="shared" si="13"/>
        <v>2035</v>
      </c>
      <c r="AC43" s="376">
        <f ca="1">'Travel Time'!AF33+'Consumer Surplus'!AM33</f>
        <v>2435090.2583999992</v>
      </c>
      <c r="AD43" s="376">
        <f ca="1">Reliability!AN35</f>
        <v>54238.003517801189</v>
      </c>
      <c r="AE43" s="376">
        <f ca="1">'Vehicle Operating Costs'!AG33</f>
        <v>2366581.3185121994</v>
      </c>
      <c r="AF43" s="376">
        <f ca="1">'Accident Costs'!AE39</f>
        <v>2049567.6746292727</v>
      </c>
      <c r="AG43" s="376">
        <f ca="1">IFERROR(Emissions!BX33,0)</f>
        <v>145216.38756978948</v>
      </c>
      <c r="AH43" s="480"/>
      <c r="AI43" s="480"/>
      <c r="AJ43" s="480"/>
      <c r="AK43" s="481"/>
      <c r="AL43" s="480"/>
      <c r="AM43" s="480"/>
      <c r="AN43" s="480"/>
      <c r="AO43" s="480"/>
      <c r="AP43" s="481"/>
      <c r="AQ43" s="480"/>
      <c r="AR43" s="480"/>
      <c r="AS43" s="480"/>
      <c r="AT43" s="480"/>
      <c r="AU43" s="481"/>
      <c r="AV43" s="480"/>
      <c r="AW43" s="469">
        <f t="shared" ca="1" si="9"/>
        <v>7050693.6426290628</v>
      </c>
      <c r="AX43" s="470">
        <f>'1) Project Information'!AD33</f>
        <v>10000</v>
      </c>
      <c r="AY43" s="469">
        <f t="shared" ca="1" si="10"/>
        <v>7040693.6426290628</v>
      </c>
      <c r="AZ43" s="469">
        <f t="shared" ca="1" si="14"/>
        <v>63411034.477059431</v>
      </c>
      <c r="BB43" s="102">
        <f t="shared" si="5"/>
        <v>2042</v>
      </c>
      <c r="BC43" s="469">
        <f t="shared" ca="1" si="0"/>
        <v>8194285.5648643784</v>
      </c>
    </row>
    <row r="44" spans="2:55" x14ac:dyDescent="0.2">
      <c r="B44" s="375">
        <f t="shared" si="11"/>
        <v>2036</v>
      </c>
      <c r="C44" s="376">
        <f ca="1">'Travel Time'!AD34+'Consumer Surplus'!AK34</f>
        <v>1442342.4626797796</v>
      </c>
      <c r="D44" s="376">
        <f ca="1">Reliability!AL36</f>
        <v>87873.441480781054</v>
      </c>
      <c r="E44" s="376">
        <f ca="1">'Vehicle Operating Costs'!AE34</f>
        <v>1405253.5399662368</v>
      </c>
      <c r="F44" s="376">
        <f ca="1">'Accident Costs'!AC40</f>
        <v>1201588.1038545636</v>
      </c>
      <c r="G44" s="376">
        <f ca="1">IFERROR(Emissions!BV34,0)</f>
        <v>87851.275872194965</v>
      </c>
      <c r="H44" s="480"/>
      <c r="I44" s="480"/>
      <c r="J44" s="480"/>
      <c r="K44" s="481"/>
      <c r="L44" s="480"/>
      <c r="M44" s="480"/>
      <c r="N44" s="480"/>
      <c r="O44" s="480"/>
      <c r="P44" s="481"/>
      <c r="Q44" s="480"/>
      <c r="R44" s="480"/>
      <c r="S44" s="480"/>
      <c r="T44" s="480"/>
      <c r="U44" s="481"/>
      <c r="V44" s="480"/>
      <c r="W44" s="469">
        <f t="shared" ca="1" si="8"/>
        <v>4224908.8238535561</v>
      </c>
      <c r="X44" s="470">
        <f>'1) Project Information'!AE34</f>
        <v>5774.7508282180579</v>
      </c>
      <c r="Y44" s="469">
        <f t="shared" ca="1" si="12"/>
        <v>4219134.0730253384</v>
      </c>
      <c r="AB44" s="375">
        <f t="shared" si="13"/>
        <v>2036</v>
      </c>
      <c r="AC44" s="376">
        <f ca="1">'Travel Time'!AF34+'Consumer Surplus'!AM34</f>
        <v>2497670.4720000015</v>
      </c>
      <c r="AD44" s="376">
        <f ca="1">Reliability!AN36</f>
        <v>50744.722896951142</v>
      </c>
      <c r="AE44" s="376">
        <f ca="1">'Vehicle Operating Costs'!AG34</f>
        <v>2433444.4580699988</v>
      </c>
      <c r="AF44" s="376">
        <f ca="1">'Accident Costs'!AE40</f>
        <v>2080761.8191646605</v>
      </c>
      <c r="AG44" s="376">
        <f ca="1">IFERROR(Emissions!BX34,0)</f>
        <v>152129.98531973656</v>
      </c>
      <c r="AH44" s="480"/>
      <c r="AI44" s="480"/>
      <c r="AJ44" s="480"/>
      <c r="AK44" s="481"/>
      <c r="AL44" s="480"/>
      <c r="AM44" s="480"/>
      <c r="AN44" s="480"/>
      <c r="AO44" s="480"/>
      <c r="AP44" s="481"/>
      <c r="AQ44" s="480"/>
      <c r="AR44" s="480"/>
      <c r="AS44" s="480"/>
      <c r="AT44" s="480"/>
      <c r="AU44" s="481"/>
      <c r="AV44" s="480"/>
      <c r="AW44" s="469">
        <f t="shared" ca="1" si="9"/>
        <v>7214751.4574513491</v>
      </c>
      <c r="AX44" s="470">
        <f>'1) Project Information'!AD34</f>
        <v>10000</v>
      </c>
      <c r="AY44" s="469">
        <f t="shared" ca="1" si="10"/>
        <v>7204751.4574513491</v>
      </c>
      <c r="AZ44" s="469">
        <f t="shared" ca="1" si="14"/>
        <v>70615785.934510782</v>
      </c>
      <c r="BB44" s="102">
        <f t="shared" si="5"/>
        <v>2043</v>
      </c>
      <c r="BC44" s="469">
        <f t="shared" ca="1" si="0"/>
        <v>8349085.3021619879</v>
      </c>
    </row>
    <row r="45" spans="2:55" x14ac:dyDescent="0.2">
      <c r="B45" s="375">
        <f t="shared" si="11"/>
        <v>2037</v>
      </c>
      <c r="C45" s="376">
        <f ca="1">'Travel Time'!AD35+'Consumer Surplus'!AK35</f>
        <v>1421616.3237610054</v>
      </c>
      <c r="D45" s="376">
        <f ca="1">Reliability!AL37</f>
        <v>85490.472941129876</v>
      </c>
      <c r="E45" s="376">
        <f ca="1">'Vehicle Operating Costs'!AE35</f>
        <v>1388160.4154341971</v>
      </c>
      <c r="F45" s="376">
        <f ca="1">'Accident Costs'!AC41</f>
        <v>1172694.1779362496</v>
      </c>
      <c r="G45" s="376">
        <f ca="1">IFERROR(Emissions!BV35,0)</f>
        <v>88363.780878328282</v>
      </c>
      <c r="H45" s="480"/>
      <c r="I45" s="480"/>
      <c r="J45" s="480"/>
      <c r="K45" s="481"/>
      <c r="L45" s="480"/>
      <c r="M45" s="480"/>
      <c r="N45" s="480"/>
      <c r="O45" s="480"/>
      <c r="P45" s="481"/>
      <c r="Q45" s="480"/>
      <c r="R45" s="480"/>
      <c r="S45" s="480"/>
      <c r="T45" s="480"/>
      <c r="U45" s="481"/>
      <c r="V45" s="480"/>
      <c r="W45" s="469">
        <f t="shared" ca="1" si="8"/>
        <v>4156325.1709509105</v>
      </c>
      <c r="X45" s="470">
        <f>'1) Project Information'!AE35</f>
        <v>5552.6450271327476</v>
      </c>
      <c r="Y45" s="469">
        <f t="shared" ca="1" si="12"/>
        <v>4150772.5259237778</v>
      </c>
      <c r="AB45" s="375">
        <f t="shared" si="13"/>
        <v>2037</v>
      </c>
      <c r="AC45" s="376">
        <f ca="1">'Travel Time'!AF35+'Consumer Surplus'!AM35</f>
        <v>2560250.6856000009</v>
      </c>
      <c r="AD45" s="376">
        <f ca="1">Reliability!AN37</f>
        <v>47469.824944379157</v>
      </c>
      <c r="AE45" s="376">
        <f ca="1">'Vehicle Operating Costs'!AG35</f>
        <v>2499998.4847780005</v>
      </c>
      <c r="AF45" s="376">
        <f ca="1">'Accident Costs'!AE41</f>
        <v>2111955.9637000612</v>
      </c>
      <c r="AG45" s="376">
        <f ca="1">IFERROR(Emissions!BX35,0)</f>
        <v>159138.17729486158</v>
      </c>
      <c r="AH45" s="480"/>
      <c r="AI45" s="480"/>
      <c r="AJ45" s="480"/>
      <c r="AK45" s="481"/>
      <c r="AL45" s="480"/>
      <c r="AM45" s="480"/>
      <c r="AN45" s="480"/>
      <c r="AO45" s="480"/>
      <c r="AP45" s="481"/>
      <c r="AQ45" s="480"/>
      <c r="AR45" s="480"/>
      <c r="AS45" s="480"/>
      <c r="AT45" s="480"/>
      <c r="AU45" s="481"/>
      <c r="AV45" s="480"/>
      <c r="AW45" s="469">
        <f t="shared" ca="1" si="9"/>
        <v>7378813.1363173034</v>
      </c>
      <c r="AX45" s="470">
        <f>'1) Project Information'!AD35</f>
        <v>10000</v>
      </c>
      <c r="AY45" s="469">
        <f t="shared" ca="1" si="10"/>
        <v>7368813.1363173034</v>
      </c>
      <c r="AZ45" s="469">
        <f t="shared" ca="1" si="14"/>
        <v>77984599.07082808</v>
      </c>
      <c r="BB45" s="102">
        <f t="shared" si="5"/>
        <v>2044</v>
      </c>
      <c r="BC45" s="469">
        <f t="shared" ca="1" si="0"/>
        <v>8517070.861560693</v>
      </c>
    </row>
    <row r="46" spans="2:55" x14ac:dyDescent="0.2">
      <c r="B46" s="375">
        <f t="shared" si="11"/>
        <v>2038</v>
      </c>
      <c r="C46" s="376">
        <f ca="1">'Travel Time'!AD36+'Consumer Surplus'!AK36</f>
        <v>1400350.8605243266</v>
      </c>
      <c r="D46" s="376">
        <f ca="1">Reliability!AL38</f>
        <v>83160.819375711217</v>
      </c>
      <c r="E46" s="376">
        <f ca="1">'Vehicle Operating Costs'!AE36</f>
        <v>1370466.546071264</v>
      </c>
      <c r="F46" s="376">
        <f ca="1">'Accident Costs'!AC42</f>
        <v>1144245.3645088966</v>
      </c>
      <c r="G46" s="376">
        <f ca="1">IFERROR(Emissions!BV36,0)</f>
        <v>88873.880038010117</v>
      </c>
      <c r="H46" s="480"/>
      <c r="I46" s="480"/>
      <c r="J46" s="480"/>
      <c r="K46" s="481"/>
      <c r="L46" s="480"/>
      <c r="M46" s="480"/>
      <c r="N46" s="480"/>
      <c r="O46" s="480"/>
      <c r="P46" s="481"/>
      <c r="Q46" s="480"/>
      <c r="R46" s="480"/>
      <c r="S46" s="480"/>
      <c r="T46" s="480"/>
      <c r="U46" s="481"/>
      <c r="V46" s="480"/>
      <c r="W46" s="469">
        <f t="shared" ca="1" si="8"/>
        <v>4087097.4705182086</v>
      </c>
      <c r="X46" s="470">
        <f>'1) Project Information'!AE36</f>
        <v>5339.0817568584107</v>
      </c>
      <c r="Y46" s="469">
        <f t="shared" ca="1" si="12"/>
        <v>4081758.38876135</v>
      </c>
      <c r="AB46" s="375">
        <f t="shared" si="13"/>
        <v>2038</v>
      </c>
      <c r="AC46" s="376">
        <f ca="1">'Travel Time'!AF36+'Consumer Surplus'!AM36</f>
        <v>2622830.8992000008</v>
      </c>
      <c r="AD46" s="376">
        <f ca="1">Reliability!AN38</f>
        <v>44400.241361425717</v>
      </c>
      <c r="AE46" s="376">
        <f ca="1">'Vehicle Operating Costs'!AG36</f>
        <v>2566858.1386880004</v>
      </c>
      <c r="AF46" s="376">
        <f ca="1">'Accident Costs'!AE42</f>
        <v>2143150.1082354402</v>
      </c>
      <c r="AG46" s="376">
        <f ca="1">IFERROR(Emissions!BX36,0)</f>
        <v>166459.11054620135</v>
      </c>
      <c r="AH46" s="480"/>
      <c r="AI46" s="480"/>
      <c r="AJ46" s="480"/>
      <c r="AK46" s="481"/>
      <c r="AL46" s="480"/>
      <c r="AM46" s="480"/>
      <c r="AN46" s="480"/>
      <c r="AO46" s="480"/>
      <c r="AP46" s="481"/>
      <c r="AQ46" s="480"/>
      <c r="AR46" s="480"/>
      <c r="AS46" s="480"/>
      <c r="AT46" s="480"/>
      <c r="AU46" s="481"/>
      <c r="AV46" s="480"/>
      <c r="AW46" s="469">
        <f t="shared" ca="1" si="9"/>
        <v>7543698.4980310686</v>
      </c>
      <c r="AX46" s="470">
        <f>'1) Project Information'!AD36</f>
        <v>10000</v>
      </c>
      <c r="AY46" s="469">
        <f t="shared" ca="1" si="10"/>
        <v>7533698.4980310686</v>
      </c>
      <c r="AZ46" s="469">
        <f t="shared" ca="1" si="14"/>
        <v>85518297.568859145</v>
      </c>
      <c r="BB46" s="102">
        <f t="shared" si="5"/>
        <v>2045</v>
      </c>
      <c r="BC46" s="469">
        <f t="shared" ca="1" si="0"/>
        <v>8685388.9664465562</v>
      </c>
    </row>
    <row r="47" spans="2:55" x14ac:dyDescent="0.2">
      <c r="B47" s="375">
        <f t="shared" si="11"/>
        <v>2039</v>
      </c>
      <c r="C47" s="376">
        <f ca="1">'Travel Time'!AD37+'Consumer Surplus'!AK37</f>
        <v>1378618.2194245509</v>
      </c>
      <c r="D47" s="376">
        <f ca="1">Reliability!AL39</f>
        <v>80883.904734050797</v>
      </c>
      <c r="E47" s="376">
        <f ca="1">'Vehicle Operating Costs'!AE37</f>
        <v>1352080.2518435947</v>
      </c>
      <c r="F47" s="376">
        <f ca="1">'Accident Costs'!AC43</f>
        <v>1116250.1666441087</v>
      </c>
      <c r="G47" s="376">
        <f ca="1">IFERROR(Emissions!BV37,0)</f>
        <v>89323.838375809413</v>
      </c>
      <c r="H47" s="480"/>
      <c r="I47" s="480"/>
      <c r="J47" s="480"/>
      <c r="K47" s="481"/>
      <c r="L47" s="480"/>
      <c r="M47" s="480"/>
      <c r="N47" s="480"/>
      <c r="O47" s="480"/>
      <c r="P47" s="481"/>
      <c r="Q47" s="480"/>
      <c r="R47" s="480"/>
      <c r="S47" s="480"/>
      <c r="T47" s="480"/>
      <c r="U47" s="481"/>
      <c r="V47" s="480"/>
      <c r="W47" s="469">
        <f t="shared" ca="1" si="8"/>
        <v>4017156.3810221143</v>
      </c>
      <c r="X47" s="470">
        <f>'1) Project Information'!AE37</f>
        <v>5133.7324585177021</v>
      </c>
      <c r="Y47" s="469">
        <f t="shared" ca="1" si="12"/>
        <v>4012022.6485635964</v>
      </c>
      <c r="AB47" s="375">
        <f t="shared" si="13"/>
        <v>2039</v>
      </c>
      <c r="AC47" s="376">
        <f ca="1">'Travel Time'!AF37+'Consumer Surplus'!AM37</f>
        <v>2685411.1128000012</v>
      </c>
      <c r="AD47" s="376">
        <f ca="1">Reliability!AN39</f>
        <v>41523.632710485021</v>
      </c>
      <c r="AE47" s="376">
        <f ca="1">'Vehicle Operating Costs'!AG37</f>
        <v>2633717.7925980003</v>
      </c>
      <c r="AF47" s="376">
        <f ca="1">'Accident Costs'!AE43</f>
        <v>2174344.2527708411</v>
      </c>
      <c r="AG47" s="376">
        <f ca="1">IFERROR(Emissions!BX37,0)</f>
        <v>173993.94903722836</v>
      </c>
      <c r="AH47" s="480"/>
      <c r="AI47" s="480"/>
      <c r="AJ47" s="480"/>
      <c r="AK47" s="481"/>
      <c r="AL47" s="480"/>
      <c r="AM47" s="480"/>
      <c r="AN47" s="480"/>
      <c r="AO47" s="480"/>
      <c r="AP47" s="481"/>
      <c r="AQ47" s="480"/>
      <c r="AR47" s="480"/>
      <c r="AS47" s="480"/>
      <c r="AT47" s="480"/>
      <c r="AU47" s="481"/>
      <c r="AV47" s="480"/>
      <c r="AW47" s="469">
        <f t="shared" ca="1" si="9"/>
        <v>7708990.7399165565</v>
      </c>
      <c r="AX47" s="470">
        <f>'1) Project Information'!AD37</f>
        <v>10000</v>
      </c>
      <c r="AY47" s="469">
        <f t="shared" ca="1" si="10"/>
        <v>7698990.7399165565</v>
      </c>
      <c r="AZ47" s="469">
        <f t="shared" ca="1" si="14"/>
        <v>93217288.308775708</v>
      </c>
      <c r="BB47" s="102">
        <f t="shared" si="5"/>
        <v>2046</v>
      </c>
      <c r="BC47" s="469">
        <f t="shared" si="0"/>
        <v>0</v>
      </c>
    </row>
    <row r="48" spans="2:55" x14ac:dyDescent="0.2">
      <c r="B48" s="375">
        <f t="shared" si="11"/>
        <v>2040</v>
      </c>
      <c r="C48" s="376">
        <f ca="1">'Travel Time'!AD38+'Consumer Surplus'!AK38</f>
        <v>1356485.7950062295</v>
      </c>
      <c r="D48" s="376">
        <f ca="1">Reliability!AL40</f>
        <v>78659.118408944516</v>
      </c>
      <c r="E48" s="376">
        <f ca="1">'Vehicle Operating Costs'!AE38</f>
        <v>1333080.9705652851</v>
      </c>
      <c r="F48" s="376">
        <f ca="1">'Accident Costs'!AC44</f>
        <v>1088715.7748805848</v>
      </c>
      <c r="G48" s="376">
        <f ca="1">IFERROR(Emissions!BV38,0)</f>
        <v>89716.196621410025</v>
      </c>
      <c r="H48" s="480"/>
      <c r="I48" s="480"/>
      <c r="J48" s="480"/>
      <c r="K48" s="481"/>
      <c r="L48" s="480"/>
      <c r="M48" s="480"/>
      <c r="N48" s="480"/>
      <c r="O48" s="480"/>
      <c r="P48" s="481"/>
      <c r="Q48" s="480"/>
      <c r="R48" s="480"/>
      <c r="S48" s="480"/>
      <c r="T48" s="480"/>
      <c r="U48" s="481"/>
      <c r="V48" s="480"/>
      <c r="W48" s="469">
        <f t="shared" ca="1" si="8"/>
        <v>3946657.8554824539</v>
      </c>
      <c r="X48" s="470">
        <f>'1) Project Information'!AE38</f>
        <v>4936.2812101131749</v>
      </c>
      <c r="Y48" s="469">
        <f t="shared" ca="1" si="12"/>
        <v>3941721.5742723406</v>
      </c>
      <c r="AB48" s="375">
        <f t="shared" si="13"/>
        <v>2040</v>
      </c>
      <c r="AC48" s="376">
        <f ca="1">'Travel Time'!AF38+'Consumer Surplus'!AM38</f>
        <v>2747991.3263999992</v>
      </c>
      <c r="AD48" s="376">
        <f ca="1">Reliability!AN40</f>
        <v>38828.352820614011</v>
      </c>
      <c r="AE48" s="376">
        <f ca="1">'Vehicle Operating Costs'!AG38</f>
        <v>2700577.4465079987</v>
      </c>
      <c r="AF48" s="376">
        <f ca="1">'Accident Costs'!AE44</f>
        <v>2205538.3973062257</v>
      </c>
      <c r="AG48" s="376">
        <f ca="1">IFERROR(Emissions!BX38,0)</f>
        <v>181748.55281260019</v>
      </c>
      <c r="AH48" s="480"/>
      <c r="AI48" s="480"/>
      <c r="AJ48" s="480"/>
      <c r="AK48" s="481"/>
      <c r="AL48" s="480"/>
      <c r="AM48" s="480"/>
      <c r="AN48" s="480"/>
      <c r="AO48" s="480"/>
      <c r="AP48" s="481"/>
      <c r="AQ48" s="480"/>
      <c r="AR48" s="480"/>
      <c r="AS48" s="480"/>
      <c r="AT48" s="480"/>
      <c r="AU48" s="481"/>
      <c r="AV48" s="480"/>
      <c r="AW48" s="469">
        <f t="shared" ca="1" si="9"/>
        <v>7874684.0758474376</v>
      </c>
      <c r="AX48" s="470">
        <f>'1) Project Information'!AD38</f>
        <v>10000</v>
      </c>
      <c r="AY48" s="469">
        <f t="shared" ca="1" si="10"/>
        <v>7864684.0758474376</v>
      </c>
      <c r="AZ48" s="469">
        <f t="shared" ca="1" si="14"/>
        <v>101081972.38462314</v>
      </c>
      <c r="BB48" s="102">
        <f t="shared" si="5"/>
        <v>2047</v>
      </c>
      <c r="BC48" s="469">
        <f t="shared" si="0"/>
        <v>0</v>
      </c>
    </row>
    <row r="49" spans="2:58" x14ac:dyDescent="0.2">
      <c r="B49" s="375">
        <f t="shared" si="11"/>
        <v>2041</v>
      </c>
      <c r="C49" s="376">
        <f ca="1">'Travel Time'!AD39+'Consumer Surplus'!AK39</f>
        <v>1334016.488709697</v>
      </c>
      <c r="D49" s="376">
        <f ca="1">Reliability!AL41</f>
        <v>76485.818746813879</v>
      </c>
      <c r="E49" s="376">
        <f ca="1">'Vehicle Operating Costs'!AE39</f>
        <v>1312508.0952136945</v>
      </c>
      <c r="F49" s="376">
        <f ca="1">'Accident Costs'!AC45</f>
        <v>1061648.1556097555</v>
      </c>
      <c r="G49" s="376">
        <f ca="1">IFERROR(Emissions!BV39,0)</f>
        <v>89751.565263978264</v>
      </c>
      <c r="H49" s="480"/>
      <c r="I49" s="480"/>
      <c r="J49" s="480"/>
      <c r="K49" s="481"/>
      <c r="L49" s="480"/>
      <c r="M49" s="480"/>
      <c r="N49" s="480"/>
      <c r="O49" s="480"/>
      <c r="P49" s="481"/>
      <c r="Q49" s="480"/>
      <c r="R49" s="480"/>
      <c r="S49" s="480"/>
      <c r="T49" s="480"/>
      <c r="U49" s="481"/>
      <c r="V49" s="480"/>
      <c r="W49" s="469">
        <f t="shared" ca="1" si="8"/>
        <v>3874410.1235439396</v>
      </c>
      <c r="X49" s="470">
        <f>'1) Project Information'!AE39</f>
        <v>4746.4242404934375</v>
      </c>
      <c r="Y49" s="469">
        <f t="shared" ca="1" si="12"/>
        <v>3869663.6993034463</v>
      </c>
      <c r="AB49" s="375">
        <f t="shared" si="13"/>
        <v>2041</v>
      </c>
      <c r="AC49" s="376">
        <f ca="1">'Travel Time'!AF39+'Consumer Surplus'!AM39</f>
        <v>2810571.54</v>
      </c>
      <c r="AD49" s="376">
        <f ca="1">Reliability!AN41</f>
        <v>36303.414415386476</v>
      </c>
      <c r="AE49" s="376">
        <f ca="1">'Vehicle Operating Costs'!AG39</f>
        <v>2765256.5988859991</v>
      </c>
      <c r="AF49" s="376">
        <f ca="1">'Accident Costs'!AE45</f>
        <v>2236732.5418416173</v>
      </c>
      <c r="AG49" s="376">
        <f ca="1">IFERROR(Emissions!BX39,0)</f>
        <v>189093.01132055509</v>
      </c>
      <c r="AH49" s="480"/>
      <c r="AI49" s="480"/>
      <c r="AJ49" s="480"/>
      <c r="AK49" s="481"/>
      <c r="AL49" s="480"/>
      <c r="AM49" s="480"/>
      <c r="AN49" s="480"/>
      <c r="AO49" s="480"/>
      <c r="AP49" s="481"/>
      <c r="AQ49" s="480"/>
      <c r="AR49" s="480"/>
      <c r="AS49" s="480"/>
      <c r="AT49" s="480"/>
      <c r="AU49" s="481"/>
      <c r="AV49" s="480"/>
      <c r="AW49" s="469">
        <f t="shared" ca="1" si="9"/>
        <v>8037957.106463558</v>
      </c>
      <c r="AX49" s="470">
        <f>'1) Project Information'!AD39</f>
        <v>10000</v>
      </c>
      <c r="AY49" s="469">
        <f t="shared" ca="1" si="10"/>
        <v>8027957.106463558</v>
      </c>
      <c r="AZ49" s="469">
        <f t="shared" ca="1" si="14"/>
        <v>109109929.49108669</v>
      </c>
      <c r="BB49" s="102">
        <f t="shared" si="5"/>
        <v>2048</v>
      </c>
      <c r="BC49" s="469">
        <f t="shared" si="0"/>
        <v>0</v>
      </c>
    </row>
    <row r="50" spans="2:58" x14ac:dyDescent="0.2">
      <c r="B50" s="375">
        <f t="shared" si="11"/>
        <v>2042</v>
      </c>
      <c r="C50" s="376">
        <f ca="1">'Travel Time'!AD40+'Consumer Surplus'!AK40</f>
        <v>1311268.9547983913</v>
      </c>
      <c r="D50" s="376">
        <f ca="1">Reliability!AL42</f>
        <v>74363.33633915332</v>
      </c>
      <c r="E50" s="376">
        <f ca="1">'Vehicle Operating Costs'!AE40</f>
        <v>1292526.068380814</v>
      </c>
      <c r="F50" s="376">
        <f ca="1">'Accident Costs'!AC46</f>
        <v>1035052.1346040217</v>
      </c>
      <c r="G50" s="376">
        <f ca="1">IFERROR(Emissions!BV40,0)</f>
        <v>89992.608644537861</v>
      </c>
      <c r="H50" s="480"/>
      <c r="I50" s="480"/>
      <c r="J50" s="480"/>
      <c r="K50" s="481"/>
      <c r="L50" s="480"/>
      <c r="M50" s="480"/>
      <c r="N50" s="480"/>
      <c r="O50" s="480"/>
      <c r="P50" s="481"/>
      <c r="Q50" s="480"/>
      <c r="R50" s="480"/>
      <c r="S50" s="480"/>
      <c r="T50" s="480"/>
      <c r="U50" s="481"/>
      <c r="V50" s="480"/>
      <c r="W50" s="469">
        <f t="shared" ca="1" si="8"/>
        <v>3803203.102766918</v>
      </c>
      <c r="X50" s="470">
        <f>'1) Project Information'!AE40</f>
        <v>4563.8694620129208</v>
      </c>
      <c r="Y50" s="469">
        <f t="shared" ca="1" si="12"/>
        <v>3798639.2333049052</v>
      </c>
      <c r="AB50" s="375">
        <f t="shared" si="13"/>
        <v>2042</v>
      </c>
      <c r="AC50" s="376">
        <f ca="1">'Travel Time'!AF40+'Consumer Surplus'!AM40</f>
        <v>2873151.7536000004</v>
      </c>
      <c r="AD50" s="376">
        <f ca="1">Reliability!AN42</f>
        <v>33938.455981165753</v>
      </c>
      <c r="AE50" s="376">
        <f ca="1">'Vehicle Operating Costs'!AG40</f>
        <v>2832083.7814032002</v>
      </c>
      <c r="AF50" s="376">
        <f ca="1">'Accident Costs'!AE46</f>
        <v>2267926.6863770159</v>
      </c>
      <c r="AG50" s="376">
        <f ca="1">IFERROR(Emissions!BX40,0)</f>
        <v>197184.88750299643</v>
      </c>
      <c r="AH50" s="480"/>
      <c r="AI50" s="480"/>
      <c r="AJ50" s="480"/>
      <c r="AK50" s="481"/>
      <c r="AL50" s="480"/>
      <c r="AM50" s="480"/>
      <c r="AN50" s="480"/>
      <c r="AO50" s="480"/>
      <c r="AP50" s="481"/>
      <c r="AQ50" s="480"/>
      <c r="AR50" s="480"/>
      <c r="AS50" s="480"/>
      <c r="AT50" s="480"/>
      <c r="AU50" s="481"/>
      <c r="AV50" s="480"/>
      <c r="AW50" s="469">
        <f t="shared" ca="1" si="9"/>
        <v>8204285.5648643784</v>
      </c>
      <c r="AX50" s="470">
        <f>'1) Project Information'!AD40</f>
        <v>10000</v>
      </c>
      <c r="AY50" s="469">
        <f t="shared" ca="1" si="10"/>
        <v>8194285.5648643784</v>
      </c>
      <c r="AZ50" s="469">
        <f t="shared" ca="1" si="14"/>
        <v>117304215.05595107</v>
      </c>
      <c r="BB50" s="102">
        <f t="shared" si="5"/>
        <v>2049</v>
      </c>
      <c r="BC50" s="469">
        <f t="shared" si="0"/>
        <v>0</v>
      </c>
    </row>
    <row r="51" spans="2:58" x14ac:dyDescent="0.2">
      <c r="B51" s="375">
        <f t="shared" si="11"/>
        <v>2043</v>
      </c>
      <c r="C51" s="376">
        <f ca="1">'Travel Time'!AD41+'Consumer Surplus'!AK41</f>
        <v>1288297.8340153072</v>
      </c>
      <c r="D51" s="376">
        <f ca="1">Reliability!AL43</f>
        <v>44916.058906713886</v>
      </c>
      <c r="E51" s="376">
        <f ca="1">'Vehicle Operating Costs'!AE41</f>
        <v>1272139.5405125716</v>
      </c>
      <c r="F51" s="376">
        <f ca="1">'Accident Costs'!AC47</f>
        <v>1008931.475930664</v>
      </c>
      <c r="G51" s="376">
        <f ca="1">IFERROR(Emissions!BV41,0)</f>
        <v>90228.956173948027</v>
      </c>
      <c r="H51" s="480"/>
      <c r="I51" s="480"/>
      <c r="J51" s="480"/>
      <c r="K51" s="481"/>
      <c r="L51" s="480"/>
      <c r="M51" s="480"/>
      <c r="N51" s="480"/>
      <c r="O51" s="480"/>
      <c r="P51" s="481"/>
      <c r="Q51" s="480"/>
      <c r="R51" s="480"/>
      <c r="S51" s="480"/>
      <c r="T51" s="480"/>
      <c r="U51" s="481"/>
      <c r="V51" s="480"/>
      <c r="W51" s="469">
        <f t="shared" ca="1" si="8"/>
        <v>3704513.8655392043</v>
      </c>
      <c r="X51" s="470">
        <f>'1) Project Information'!AE41</f>
        <v>4388.3360211662684</v>
      </c>
      <c r="Y51" s="469">
        <f t="shared" ca="1" si="12"/>
        <v>3700125.529518038</v>
      </c>
      <c r="AB51" s="375">
        <f t="shared" si="13"/>
        <v>2043</v>
      </c>
      <c r="AC51" s="376">
        <f ca="1">'Travel Time'!AF41+'Consumer Surplus'!AM41</f>
        <v>2935731.9672000003</v>
      </c>
      <c r="AD51" s="376">
        <f ca="1">Reliability!AN43</f>
        <v>19710.675922915856</v>
      </c>
      <c r="AE51" s="376">
        <f ca="1">'Vehicle Operating Costs'!AG41</f>
        <v>2898910.9639203986</v>
      </c>
      <c r="AF51" s="376">
        <f ca="1">'Accident Costs'!AE47</f>
        <v>2299120.8309124075</v>
      </c>
      <c r="AG51" s="376">
        <f ca="1">IFERROR(Emissions!BX41,0)</f>
        <v>205610.86420626531</v>
      </c>
      <c r="AH51" s="480"/>
      <c r="AI51" s="480"/>
      <c r="AJ51" s="480"/>
      <c r="AK51" s="481"/>
      <c r="AL51" s="480"/>
      <c r="AM51" s="480"/>
      <c r="AN51" s="480"/>
      <c r="AO51" s="480"/>
      <c r="AP51" s="481"/>
      <c r="AQ51" s="480"/>
      <c r="AR51" s="480"/>
      <c r="AS51" s="480"/>
      <c r="AT51" s="480"/>
      <c r="AU51" s="481"/>
      <c r="AV51" s="480"/>
      <c r="AW51" s="469">
        <f t="shared" ca="1" si="9"/>
        <v>8359085.3021619879</v>
      </c>
      <c r="AX51" s="470">
        <f>'1) Project Information'!AD41</f>
        <v>10000</v>
      </c>
      <c r="AY51" s="469">
        <f t="shared" ca="1" si="10"/>
        <v>8349085.3021619879</v>
      </c>
      <c r="AZ51" s="469">
        <f t="shared" ca="1" si="14"/>
        <v>125653300.35811307</v>
      </c>
      <c r="BB51" s="102">
        <f t="shared" si="5"/>
        <v>2050</v>
      </c>
      <c r="BC51" s="469">
        <f t="shared" si="0"/>
        <v>0</v>
      </c>
    </row>
    <row r="52" spans="2:58" x14ac:dyDescent="0.2">
      <c r="B52" s="375">
        <f t="shared" si="11"/>
        <v>2044</v>
      </c>
      <c r="C52" s="376">
        <f ca="1">'Travel Time'!AD42+'Consumer Surplus'!AK42</f>
        <v>1265153.9755486757</v>
      </c>
      <c r="D52" s="376">
        <f ca="1">Reliability!AL44</f>
        <v>43664.930963590115</v>
      </c>
      <c r="E52" s="376">
        <f ca="1">'Vehicle Operating Costs'!AE42</f>
        <v>1251409.1862845195</v>
      </c>
      <c r="F52" s="376">
        <f ca="1">'Accident Costs'!AC48</f>
        <v>983288.95648276457</v>
      </c>
      <c r="G52" s="376">
        <f ca="1">IFERROR(Emissions!BV42,0)</f>
        <v>90416.982563107667</v>
      </c>
      <c r="H52" s="480"/>
      <c r="I52" s="480"/>
      <c r="J52" s="480"/>
      <c r="K52" s="481"/>
      <c r="L52" s="480"/>
      <c r="M52" s="480"/>
      <c r="N52" s="480"/>
      <c r="O52" s="480"/>
      <c r="P52" s="481"/>
      <c r="Q52" s="480"/>
      <c r="R52" s="480"/>
      <c r="S52" s="480"/>
      <c r="T52" s="480"/>
      <c r="U52" s="481"/>
      <c r="V52" s="480"/>
      <c r="W52" s="469">
        <f t="shared" ca="1" si="8"/>
        <v>3633934.0318426578</v>
      </c>
      <c r="X52" s="470">
        <f>'1) Project Information'!AE42</f>
        <v>4219.5538665060276</v>
      </c>
      <c r="Y52" s="469">
        <f t="shared" ca="1" si="12"/>
        <v>3629714.4779761517</v>
      </c>
      <c r="AB52" s="375">
        <f t="shared" si="13"/>
        <v>2044</v>
      </c>
      <c r="AC52" s="376">
        <f ca="1">'Travel Time'!AF42+'Consumer Surplus'!AM42</f>
        <v>2998312.1807999993</v>
      </c>
      <c r="AD52" s="376">
        <f ca="1">Reliability!AN44</f>
        <v>18424.652827813545</v>
      </c>
      <c r="AE52" s="376">
        <f ca="1">'Vehicle Operating Costs'!AG42</f>
        <v>2965738.1464375998</v>
      </c>
      <c r="AF52" s="376">
        <f ca="1">'Accident Costs'!AE48</f>
        <v>2330314.9754477958</v>
      </c>
      <c r="AG52" s="376">
        <f ca="1">IFERROR(Emissions!BX42,0)</f>
        <v>214280.90604748417</v>
      </c>
      <c r="AH52" s="480"/>
      <c r="AI52" s="480"/>
      <c r="AJ52" s="480"/>
      <c r="AK52" s="481"/>
      <c r="AL52" s="480"/>
      <c r="AM52" s="480"/>
      <c r="AN52" s="480"/>
      <c r="AO52" s="480"/>
      <c r="AP52" s="481"/>
      <c r="AQ52" s="480"/>
      <c r="AR52" s="480"/>
      <c r="AS52" s="480"/>
      <c r="AT52" s="480"/>
      <c r="AU52" s="481"/>
      <c r="AV52" s="480"/>
      <c r="AW52" s="469">
        <f t="shared" ca="1" si="9"/>
        <v>8527070.861560693</v>
      </c>
      <c r="AX52" s="470">
        <f>'1) Project Information'!AD42</f>
        <v>10000</v>
      </c>
      <c r="AY52" s="469">
        <f t="shared" ca="1" si="10"/>
        <v>8517070.861560693</v>
      </c>
      <c r="AZ52" s="469">
        <f t="shared" ca="1" si="14"/>
        <v>134170371.21967375</v>
      </c>
      <c r="BB52" s="482"/>
    </row>
    <row r="53" spans="2:58" x14ac:dyDescent="0.2">
      <c r="B53" s="375">
        <f t="shared" si="11"/>
        <v>2045</v>
      </c>
      <c r="C53" s="376">
        <f ca="1">'Travel Time'!AD43+'Consumer Surplus'!AK43</f>
        <v>1241884.6478605205</v>
      </c>
      <c r="D53" s="376">
        <f ca="1">Reliability!AL45</f>
        <v>42443.599757353513</v>
      </c>
      <c r="E53" s="376">
        <f ca="1">'Vehicle Operating Costs'!AE43</f>
        <v>1230391.6114637838</v>
      </c>
      <c r="F53" s="376">
        <f ca="1">'Accident Costs'!AC49</f>
        <v>958126.43634752918</v>
      </c>
      <c r="G53" s="376">
        <f ca="1">IFERROR(Emissions!BV43,0)</f>
        <v>90558.781773078226</v>
      </c>
      <c r="H53" s="480"/>
      <c r="I53" s="480"/>
      <c r="J53" s="480"/>
      <c r="K53" s="481"/>
      <c r="L53" s="480"/>
      <c r="M53" s="480"/>
      <c r="N53" s="480"/>
      <c r="O53" s="480"/>
      <c r="P53" s="481"/>
      <c r="Q53" s="480"/>
      <c r="R53" s="480"/>
      <c r="S53" s="480"/>
      <c r="T53" s="480"/>
      <c r="U53" s="481"/>
      <c r="V53" s="480"/>
      <c r="W53" s="469">
        <f t="shared" ca="1" si="8"/>
        <v>3563405.0772022652</v>
      </c>
      <c r="X53" s="470">
        <f>'1) Project Information'!AE43</f>
        <v>4057.2633331788734</v>
      </c>
      <c r="Y53" s="469">
        <f t="shared" ca="1" si="12"/>
        <v>3559347.8138690861</v>
      </c>
      <c r="AB53" s="375">
        <f t="shared" si="13"/>
        <v>2045</v>
      </c>
      <c r="AC53" s="376">
        <f ca="1">'Travel Time'!AF43+'Consumer Surplus'!AM43</f>
        <v>3060892.3943999996</v>
      </c>
      <c r="AD53" s="376">
        <f ca="1">Reliability!AN45</f>
        <v>17220.486102363015</v>
      </c>
      <c r="AE53" s="376">
        <f ca="1">'Vehicle Operating Costs'!AG43</f>
        <v>3032565.3289548</v>
      </c>
      <c r="AF53" s="376">
        <f ca="1">'Accident Costs'!AE49</f>
        <v>2361509.1199831865</v>
      </c>
      <c r="AG53" s="376">
        <f ca="1">IFERROR(Emissions!BX43,0)</f>
        <v>223201.63700620647</v>
      </c>
      <c r="AH53" s="480"/>
      <c r="AI53" s="480"/>
      <c r="AJ53" s="480"/>
      <c r="AK53" s="481"/>
      <c r="AL53" s="480"/>
      <c r="AM53" s="480"/>
      <c r="AN53" s="480"/>
      <c r="AO53" s="480"/>
      <c r="AP53" s="481"/>
      <c r="AQ53" s="480"/>
      <c r="AR53" s="480"/>
      <c r="AS53" s="480"/>
      <c r="AT53" s="480"/>
      <c r="AU53" s="481"/>
      <c r="AV53" s="480"/>
      <c r="AW53" s="469">
        <f t="shared" ca="1" si="9"/>
        <v>8695388.9664465562</v>
      </c>
      <c r="AX53" s="470">
        <f>'1) Project Information'!AD43</f>
        <v>10000</v>
      </c>
      <c r="AY53" s="469">
        <f t="shared" ca="1" si="10"/>
        <v>8685388.9664465562</v>
      </c>
      <c r="AZ53" s="469">
        <f t="shared" ca="1" si="14"/>
        <v>142855760.1861203</v>
      </c>
      <c r="BB53" s="483" t="s">
        <v>397</v>
      </c>
      <c r="BE53" s="484" t="s">
        <v>398</v>
      </c>
      <c r="BF53" s="485"/>
    </row>
    <row r="54" spans="2:58" x14ac:dyDescent="0.2">
      <c r="B54" s="385"/>
      <c r="C54" s="389"/>
      <c r="D54" s="389"/>
      <c r="E54" s="389"/>
      <c r="F54" s="389"/>
      <c r="G54" s="389"/>
      <c r="H54" s="389"/>
      <c r="I54" s="389"/>
      <c r="J54" s="389"/>
      <c r="K54" s="487"/>
      <c r="L54" s="389"/>
      <c r="M54" s="389"/>
      <c r="N54" s="389"/>
      <c r="O54" s="389"/>
      <c r="P54" s="487"/>
      <c r="Q54" s="389"/>
      <c r="R54" s="389"/>
      <c r="S54" s="389"/>
      <c r="T54" s="389"/>
      <c r="U54" s="487"/>
      <c r="V54" s="389"/>
      <c r="W54" s="389"/>
      <c r="X54" s="389"/>
      <c r="Y54" s="389"/>
      <c r="AB54" s="385"/>
      <c r="AC54" s="389"/>
      <c r="AD54" s="389"/>
      <c r="AE54" s="389"/>
      <c r="AF54" s="389"/>
      <c r="AG54" s="389"/>
      <c r="AH54" s="389"/>
      <c r="AI54" s="389"/>
      <c r="AJ54" s="389"/>
      <c r="AK54" s="487"/>
      <c r="AL54" s="389"/>
      <c r="AM54" s="389"/>
      <c r="AN54" s="389"/>
      <c r="AO54" s="389"/>
      <c r="AP54" s="487"/>
      <c r="AQ54" s="389"/>
      <c r="AR54" s="389"/>
      <c r="AS54" s="389"/>
      <c r="AT54" s="389"/>
      <c r="AU54" s="487"/>
      <c r="AV54" s="389"/>
      <c r="AW54" s="389"/>
      <c r="AX54" s="389"/>
      <c r="AY54" s="389"/>
      <c r="AZ54" s="488"/>
      <c r="BB54" s="489" t="s">
        <v>399</v>
      </c>
      <c r="BC54" s="490">
        <f ca="1">IF(SUM(BC24:BC51)=0,"N/A",IRR(BC24:BC51))</f>
        <v>6.7358462569764521E-2</v>
      </c>
      <c r="BE54" s="484" t="s">
        <v>400</v>
      </c>
      <c r="BF54" s="485"/>
    </row>
    <row r="55" spans="2:58" x14ac:dyDescent="0.2">
      <c r="B55" s="407" t="s">
        <v>56</v>
      </c>
      <c r="C55" s="491">
        <f t="shared" ref="C55:V55" ca="1" si="15">SUM(C34:C53)</f>
        <v>28822189.536985759</v>
      </c>
      <c r="D55" s="491">
        <f t="shared" ca="1" si="15"/>
        <v>1719790.7867254629</v>
      </c>
      <c r="E55" s="491">
        <f t="shared" ca="1" si="15"/>
        <v>27952363.641427055</v>
      </c>
      <c r="F55" s="491">
        <f t="shared" ca="1" si="15"/>
        <v>24464300.618548349</v>
      </c>
      <c r="G55" s="491">
        <f t="shared" ca="1" si="15"/>
        <v>1957439.3749664575</v>
      </c>
      <c r="H55" s="491">
        <f t="shared" si="15"/>
        <v>0</v>
      </c>
      <c r="I55" s="491">
        <f t="shared" si="15"/>
        <v>0</v>
      </c>
      <c r="J55" s="491">
        <f t="shared" si="15"/>
        <v>0</v>
      </c>
      <c r="K55" s="491">
        <f t="shared" si="15"/>
        <v>0</v>
      </c>
      <c r="L55" s="491">
        <f t="shared" si="15"/>
        <v>0</v>
      </c>
      <c r="M55" s="491">
        <f t="shared" si="15"/>
        <v>0</v>
      </c>
      <c r="N55" s="491">
        <f t="shared" si="15"/>
        <v>0</v>
      </c>
      <c r="O55" s="491">
        <f t="shared" si="15"/>
        <v>0</v>
      </c>
      <c r="P55" s="491">
        <f t="shared" si="15"/>
        <v>0</v>
      </c>
      <c r="Q55" s="491">
        <f t="shared" si="15"/>
        <v>0</v>
      </c>
      <c r="R55" s="491">
        <f t="shared" si="15"/>
        <v>0</v>
      </c>
      <c r="S55" s="491">
        <f t="shared" si="15"/>
        <v>0</v>
      </c>
      <c r="T55" s="491">
        <f t="shared" si="15"/>
        <v>0</v>
      </c>
      <c r="U55" s="491">
        <f t="shared" si="15"/>
        <v>0</v>
      </c>
      <c r="V55" s="491">
        <f t="shared" si="15"/>
        <v>0</v>
      </c>
      <c r="W55" s="492">
        <f ca="1">SUM(W25:W53)</f>
        <v>84916083.958653077</v>
      </c>
      <c r="X55" s="492">
        <f>SUM(X25:X53)</f>
        <v>63507582.437209889</v>
      </c>
      <c r="Y55" s="492">
        <f ca="1">SUM(Y25:Y53)</f>
        <v>21408501.521443173</v>
      </c>
      <c r="AB55" s="407" t="s">
        <v>56</v>
      </c>
      <c r="AC55" s="491">
        <f t="shared" ref="AC55:AV55" ca="1" si="16">SUM(AC34:AC53)</f>
        <v>49327607.304000013</v>
      </c>
      <c r="AD55" s="491">
        <f t="shared" ca="1" si="16"/>
        <v>1091696.3277626883</v>
      </c>
      <c r="AE55" s="491">
        <f t="shared" ca="1" si="16"/>
        <v>47992787.438207</v>
      </c>
      <c r="AF55" s="491">
        <f t="shared" ca="1" si="16"/>
        <v>41303294.937939346</v>
      </c>
      <c r="AG55" s="491">
        <f t="shared" ca="1" si="16"/>
        <v>3340374.1782113011</v>
      </c>
      <c r="AH55" s="491">
        <f t="shared" si="16"/>
        <v>0</v>
      </c>
      <c r="AI55" s="491">
        <f t="shared" si="16"/>
        <v>0</v>
      </c>
      <c r="AJ55" s="491">
        <f t="shared" si="16"/>
        <v>0</v>
      </c>
      <c r="AK55" s="491">
        <f t="shared" si="16"/>
        <v>0</v>
      </c>
      <c r="AL55" s="491">
        <f t="shared" si="16"/>
        <v>0</v>
      </c>
      <c r="AM55" s="491">
        <f t="shared" si="16"/>
        <v>0</v>
      </c>
      <c r="AN55" s="491">
        <f t="shared" si="16"/>
        <v>0</v>
      </c>
      <c r="AO55" s="491">
        <f t="shared" si="16"/>
        <v>0</v>
      </c>
      <c r="AP55" s="491">
        <f t="shared" si="16"/>
        <v>0</v>
      </c>
      <c r="AQ55" s="491">
        <f t="shared" si="16"/>
        <v>0</v>
      </c>
      <c r="AR55" s="491">
        <f t="shared" si="16"/>
        <v>0</v>
      </c>
      <c r="AS55" s="491">
        <f t="shared" si="16"/>
        <v>0</v>
      </c>
      <c r="AT55" s="491">
        <f t="shared" si="16"/>
        <v>0</v>
      </c>
      <c r="AU55" s="491">
        <f t="shared" si="16"/>
        <v>0</v>
      </c>
      <c r="AV55" s="491">
        <f t="shared" si="16"/>
        <v>0</v>
      </c>
      <c r="AW55" s="493">
        <f ca="1">SUM(AW25:AW53)</f>
        <v>143055760.1861203</v>
      </c>
      <c r="AX55" s="494">
        <f>SUM(AX25:AX53)</f>
        <v>68226701</v>
      </c>
      <c r="AY55" s="493">
        <f ca="1">SUM(AY25:AY53)</f>
        <v>74829059.186120346</v>
      </c>
      <c r="AZ55" s="495">
        <f ca="1">INDEX($AZ$34:$AZ$53,COUNT($AZ$34:$AZ$53))</f>
        <v>142855760.1861203</v>
      </c>
      <c r="BE55" s="484" t="s">
        <v>401</v>
      </c>
      <c r="BF55" s="485"/>
    </row>
    <row r="57" spans="2:58" x14ac:dyDescent="0.2">
      <c r="C57" s="496">
        <f ca="1">'Travel Time'!AH45</f>
        <v>2357014.8749999972</v>
      </c>
      <c r="D57" s="1" t="s">
        <v>143</v>
      </c>
      <c r="G57" s="497"/>
      <c r="H57" s="1" t="s">
        <v>143</v>
      </c>
      <c r="K57" s="497"/>
      <c r="L57" s="1" t="s">
        <v>143</v>
      </c>
      <c r="O57" s="497"/>
      <c r="P57" s="1" t="s">
        <v>143</v>
      </c>
      <c r="U57" s="190"/>
      <c r="AY57" s="190"/>
      <c r="AZ57" s="190"/>
      <c r="BB57" s="483" t="s">
        <v>402</v>
      </c>
      <c r="BC57" s="190"/>
      <c r="BE57" s="1" t="s">
        <v>403</v>
      </c>
    </row>
    <row r="58" spans="2:58" x14ac:dyDescent="0.2">
      <c r="U58" s="190"/>
      <c r="AX58" s="194" t="s">
        <v>404</v>
      </c>
      <c r="AZ58" s="493">
        <f>ABS(SUM(AY25:AY32))</f>
        <v>68026701</v>
      </c>
      <c r="BB58" s="489" t="s">
        <v>405</v>
      </c>
      <c r="BC58" s="498" t="str">
        <f ca="1">IF(AZ58=0,"N/A",IF(AZ58&lt;AZ34,"1 year",IF(AZ58&gt;AZ55,"20+",(LOOKUP(AZ58,AZ34:AZ53,AB34:AB53)+1)-(YearOpen-1))&amp;" years"))</f>
        <v>11 years</v>
      </c>
      <c r="BE58" s="1" t="s">
        <v>406</v>
      </c>
    </row>
    <row r="59" spans="2:58" x14ac:dyDescent="0.2">
      <c r="C59" s="676" t="s">
        <v>407</v>
      </c>
      <c r="D59" s="676" t="s">
        <v>408</v>
      </c>
      <c r="G59" s="676" t="s">
        <v>407</v>
      </c>
      <c r="H59" s="676" t="s">
        <v>408</v>
      </c>
      <c r="K59" s="676" t="s">
        <v>407</v>
      </c>
      <c r="L59" s="676" t="s">
        <v>408</v>
      </c>
      <c r="O59" s="676" t="s">
        <v>407</v>
      </c>
      <c r="P59" s="676" t="s">
        <v>408</v>
      </c>
      <c r="U59" s="190"/>
      <c r="BE59" s="1" t="s">
        <v>409</v>
      </c>
    </row>
    <row r="60" spans="2:58" x14ac:dyDescent="0.2">
      <c r="C60" s="496">
        <f ca="1">Emissions!BZ45</f>
        <v>46.590454867252291</v>
      </c>
      <c r="D60" s="491">
        <f ca="1">IFERROR(Emissions!CG45,0)</f>
        <v>2305.7164485011544</v>
      </c>
      <c r="E60" s="677" t="s">
        <v>410</v>
      </c>
      <c r="G60" s="497"/>
      <c r="H60" s="499"/>
      <c r="I60" s="677" t="s">
        <v>410</v>
      </c>
      <c r="K60" s="497"/>
      <c r="L60" s="499"/>
      <c r="M60" s="677" t="s">
        <v>410</v>
      </c>
      <c r="O60" s="497"/>
      <c r="P60" s="499"/>
      <c r="Q60" s="677" t="s">
        <v>410</v>
      </c>
      <c r="R60" s="190"/>
      <c r="S60" s="190"/>
      <c r="T60" s="190"/>
      <c r="U60" s="190"/>
      <c r="V60" s="190"/>
      <c r="W60" s="190"/>
      <c r="X60" s="190"/>
      <c r="Y60" s="190"/>
      <c r="Z60" s="190"/>
      <c r="AA60" s="190"/>
      <c r="AB60" s="190"/>
      <c r="AC60" s="190"/>
      <c r="AD60" s="190"/>
      <c r="AE60" s="190"/>
      <c r="AF60" s="190"/>
      <c r="AG60" s="190"/>
      <c r="AH60" s="190"/>
      <c r="AI60" s="190"/>
      <c r="AJ60" s="190"/>
      <c r="AK60" s="190"/>
      <c r="AL60" s="190"/>
      <c r="AM60" s="190"/>
      <c r="AN60" s="190"/>
      <c r="AO60" s="190"/>
      <c r="AP60" s="190"/>
      <c r="AQ60" s="190"/>
    </row>
    <row r="61" spans="2:58" ht="15.75" x14ac:dyDescent="0.3">
      <c r="C61" s="496">
        <f ca="1">Emissions!CA45</f>
        <v>45204.121804010741</v>
      </c>
      <c r="D61" s="491">
        <f ca="1">IFERROR(Emissions!CH45,0)</f>
        <v>1669746.2067125381</v>
      </c>
      <c r="E61" s="677" t="s">
        <v>411</v>
      </c>
      <c r="F61" s="190"/>
      <c r="G61" s="497"/>
      <c r="H61" s="499"/>
      <c r="I61" s="677" t="s">
        <v>411</v>
      </c>
      <c r="J61" s="190"/>
      <c r="K61" s="497"/>
      <c r="L61" s="499"/>
      <c r="M61" s="677" t="s">
        <v>411</v>
      </c>
      <c r="N61" s="190"/>
      <c r="O61" s="497"/>
      <c r="P61" s="499"/>
      <c r="Q61" s="677" t="s">
        <v>411</v>
      </c>
    </row>
    <row r="62" spans="2:58" ht="15.75" x14ac:dyDescent="0.3">
      <c r="C62" s="496">
        <f ca="1">Emissions!CB45</f>
        <v>24.794665459648602</v>
      </c>
      <c r="D62" s="491">
        <f ca="1">IFERROR(Emissions!CI45,0)</f>
        <v>231300.59351210677</v>
      </c>
      <c r="E62" s="677" t="s">
        <v>412</v>
      </c>
      <c r="G62" s="497"/>
      <c r="H62" s="499"/>
      <c r="I62" s="677" t="s">
        <v>412</v>
      </c>
      <c r="K62" s="497"/>
      <c r="L62" s="499"/>
      <c r="M62" s="677" t="s">
        <v>412</v>
      </c>
      <c r="O62" s="497"/>
      <c r="P62" s="499"/>
      <c r="Q62" s="677" t="s">
        <v>412</v>
      </c>
    </row>
    <row r="63" spans="2:58" ht="15.75" x14ac:dyDescent="0.3">
      <c r="C63" s="496">
        <f ca="1">Emissions!CC45</f>
        <v>0.54341898804712097</v>
      </c>
      <c r="D63" s="491">
        <f ca="1">IFERROR(Emissions!CJ45,0)</f>
        <v>38003.704728858953</v>
      </c>
      <c r="E63" s="677" t="s">
        <v>413</v>
      </c>
      <c r="G63" s="497"/>
      <c r="H63" s="499"/>
      <c r="I63" s="677" t="s">
        <v>413</v>
      </c>
      <c r="K63" s="497"/>
      <c r="L63" s="499"/>
      <c r="M63" s="677" t="s">
        <v>413</v>
      </c>
      <c r="O63" s="497"/>
      <c r="P63" s="499"/>
      <c r="Q63" s="677" t="s">
        <v>413</v>
      </c>
    </row>
    <row r="64" spans="2:58" ht="15.75" x14ac:dyDescent="0.3">
      <c r="C64" s="496">
        <f ca="1">Emissions!CF45</f>
        <v>0.51963750968373035</v>
      </c>
      <c r="D64" s="679"/>
      <c r="E64" s="677" t="s">
        <v>414</v>
      </c>
      <c r="G64" s="497"/>
      <c r="H64" s="679"/>
      <c r="I64" s="677" t="s">
        <v>414</v>
      </c>
      <c r="K64" s="497"/>
      <c r="L64" s="679"/>
      <c r="M64" s="677" t="s">
        <v>414</v>
      </c>
      <c r="O64" s="497"/>
      <c r="P64" s="679"/>
      <c r="Q64" s="677" t="s">
        <v>414</v>
      </c>
    </row>
    <row r="65" spans="3:17" ht="15.75" x14ac:dyDescent="0.3">
      <c r="C65" s="496">
        <f ca="1">Emissions!CD45</f>
        <v>0.43419524475762583</v>
      </c>
      <c r="D65" s="491">
        <f ca="1">IFERROR(Emissions!CK45,0)</f>
        <v>15301.040600915934</v>
      </c>
      <c r="E65" s="677" t="s">
        <v>415</v>
      </c>
      <c r="G65" s="497"/>
      <c r="H65" s="499"/>
      <c r="I65" s="677" t="s">
        <v>415</v>
      </c>
      <c r="K65" s="497"/>
      <c r="L65" s="499"/>
      <c r="M65" s="677" t="s">
        <v>415</v>
      </c>
      <c r="O65" s="497"/>
      <c r="P65" s="499"/>
      <c r="Q65" s="677" t="s">
        <v>415</v>
      </c>
    </row>
    <row r="66" spans="3:17" x14ac:dyDescent="0.2">
      <c r="C66" s="496">
        <f ca="1">Emissions!CE45</f>
        <v>1.1009981652495699</v>
      </c>
      <c r="D66" s="491">
        <f ca="1">IFERROR(Emissions!CL45,0)</f>
        <v>782.11296353719206</v>
      </c>
      <c r="E66" s="678" t="s">
        <v>416</v>
      </c>
      <c r="G66" s="497"/>
      <c r="H66" s="499"/>
      <c r="I66" s="678" t="s">
        <v>416</v>
      </c>
      <c r="K66" s="497"/>
      <c r="L66" s="499"/>
      <c r="M66" s="678" t="s">
        <v>416</v>
      </c>
      <c r="O66" s="497"/>
      <c r="P66" s="499"/>
      <c r="Q66" s="678" t="s">
        <v>416</v>
      </c>
    </row>
    <row r="68" spans="3:17" ht="15" x14ac:dyDescent="0.25">
      <c r="C68" s="873">
        <f ca="1">'Accident Costs'!AG51</f>
        <v>2.1857425085999971</v>
      </c>
      <c r="D68" t="s">
        <v>145</v>
      </c>
      <c r="E68"/>
      <c r="F68"/>
      <c r="G68" s="874"/>
      <c r="H68" t="s">
        <v>145</v>
      </c>
      <c r="I68"/>
      <c r="J68"/>
      <c r="K68" s="874"/>
      <c r="L68" t="s">
        <v>145</v>
      </c>
      <c r="M68"/>
      <c r="N68"/>
      <c r="O68" s="874"/>
      <c r="P68" t="s">
        <v>145</v>
      </c>
      <c r="Q68"/>
    </row>
    <row r="69" spans="3:17" ht="15" x14ac:dyDescent="0.25">
      <c r="C69" s="873">
        <f ca="1">'Accident Costs'!AH51</f>
        <v>113.34318322880083</v>
      </c>
      <c r="D69" t="s">
        <v>146</v>
      </c>
      <c r="E69"/>
      <c r="F69"/>
      <c r="G69" s="874"/>
      <c r="H69" t="s">
        <v>146</v>
      </c>
      <c r="I69"/>
      <c r="J69"/>
      <c r="K69" s="874"/>
      <c r="L69" t="s">
        <v>146</v>
      </c>
      <c r="M69"/>
      <c r="N69"/>
      <c r="O69" s="874"/>
      <c r="P69" t="s">
        <v>146</v>
      </c>
      <c r="Q69"/>
    </row>
    <row r="70" spans="3:17" ht="15" x14ac:dyDescent="0.25">
      <c r="C70" s="873">
        <f ca="1">'Accident Costs'!AI51</f>
        <v>746.34754818187093</v>
      </c>
      <c r="D70" t="s">
        <v>147</v>
      </c>
      <c r="E70"/>
      <c r="F70"/>
      <c r="G70" s="874"/>
      <c r="H70" t="s">
        <v>147</v>
      </c>
      <c r="I70"/>
      <c r="J70"/>
      <c r="K70" s="874"/>
      <c r="L70" t="s">
        <v>147</v>
      </c>
      <c r="M70"/>
      <c r="N70"/>
      <c r="O70" s="874"/>
      <c r="P70" t="s">
        <v>147</v>
      </c>
      <c r="Q70"/>
    </row>
    <row r="83" spans="59:64" x14ac:dyDescent="0.2">
      <c r="BG83" s="485"/>
      <c r="BH83" s="486"/>
      <c r="BI83" s="486"/>
      <c r="BJ83" s="13"/>
      <c r="BK83" s="13"/>
      <c r="BL83" s="13"/>
    </row>
    <row r="84" spans="59:64" x14ac:dyDescent="0.2">
      <c r="BG84" s="485"/>
      <c r="BH84" s="485"/>
      <c r="BI84" s="485"/>
      <c r="BJ84" s="2"/>
      <c r="BK84" s="13"/>
      <c r="BL84" s="13"/>
    </row>
    <row r="85" spans="59:64" x14ac:dyDescent="0.2">
      <c r="BG85" s="485"/>
      <c r="BH85" s="485"/>
      <c r="BI85" s="485"/>
      <c r="BJ85" s="2"/>
      <c r="BK85" s="2"/>
      <c r="BL85" s="13"/>
    </row>
  </sheetData>
  <printOptions horizontalCentered="1"/>
  <pageMargins left="0.5" right="0.5" top="0.75" bottom="0.75" header="0.5" footer="0.5"/>
  <pageSetup scale="48" fitToWidth="5" orientation="landscape" r:id="rId1"/>
  <headerFooter alignWithMargins="0">
    <oddFooter>&amp;L&amp;8Transportation Economics
Caltrans DOTP&amp;C&amp;8Cal-B/C &amp;A&amp;R&amp;8Page &amp;P
&amp;D</oddFooter>
  </headerFooter>
  <colBreaks count="4" manualBreakCount="4">
    <brk id="10" min="13" max="95" man="1"/>
    <brk id="22" min="13" max="95" man="1"/>
    <brk id="33" min="13" max="95" man="1"/>
    <brk id="48" min="13"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5FA53-7957-4A3E-8B29-A5A20C150907}">
  <dimension ref="B1:U10"/>
  <sheetViews>
    <sheetView workbookViewId="0">
      <selection activeCell="B11" sqref="B11"/>
    </sheetView>
  </sheetViews>
  <sheetFormatPr defaultRowHeight="15" x14ac:dyDescent="0.25"/>
  <cols>
    <col min="1" max="1" width="2.85546875" customWidth="1"/>
    <col min="2" max="2" width="18.42578125" bestFit="1" customWidth="1"/>
    <col min="3" max="7" width="10.5703125" style="1743" customWidth="1"/>
    <col min="8" max="9" width="8.42578125" style="1743" customWidth="1"/>
    <col min="10" max="13" width="10.5703125" style="1743" customWidth="1"/>
    <col min="14" max="17" width="8.5703125" style="1743" customWidth="1"/>
  </cols>
  <sheetData>
    <row r="1" spans="2:21" s="1721" customFormat="1" ht="28.7" customHeight="1" x14ac:dyDescent="0.25">
      <c r="C1" s="1797" t="s">
        <v>950</v>
      </c>
      <c r="D1" s="1797"/>
      <c r="E1" s="1797"/>
      <c r="F1" s="1797"/>
      <c r="G1" s="1797"/>
      <c r="H1" s="1798" t="s">
        <v>951</v>
      </c>
      <c r="I1" s="1799"/>
      <c r="J1" s="1794" t="s">
        <v>852</v>
      </c>
      <c r="K1" s="1796"/>
      <c r="L1" s="1796"/>
      <c r="M1" s="1796"/>
      <c r="N1" s="1794" t="s">
        <v>853</v>
      </c>
      <c r="O1" s="1796"/>
      <c r="P1" s="1796"/>
      <c r="Q1" s="1795"/>
    </row>
    <row r="2" spans="2:21" s="1721" customFormat="1" ht="21.6" customHeight="1" x14ac:dyDescent="0.25">
      <c r="C2" s="1797" t="s">
        <v>837</v>
      </c>
      <c r="D2" s="1797"/>
      <c r="E2" s="1797"/>
      <c r="F2" s="1797" t="s">
        <v>125</v>
      </c>
      <c r="G2" s="1797"/>
      <c r="H2" s="1794" t="s">
        <v>837</v>
      </c>
      <c r="I2" s="1795" t="s">
        <v>125</v>
      </c>
      <c r="J2" s="1794" t="s">
        <v>837</v>
      </c>
      <c r="K2" s="1795"/>
      <c r="L2" s="1796" t="s">
        <v>125</v>
      </c>
      <c r="M2" s="1795"/>
      <c r="N2" s="1794" t="s">
        <v>837</v>
      </c>
      <c r="O2" s="1795"/>
      <c r="P2" s="1796" t="s">
        <v>125</v>
      </c>
      <c r="Q2" s="1795"/>
    </row>
    <row r="3" spans="2:21" ht="21.6" customHeight="1" thickBot="1" x14ac:dyDescent="0.3">
      <c r="B3" s="1745"/>
      <c r="C3" s="1746">
        <v>2020</v>
      </c>
      <c r="D3" s="1747">
        <v>2026</v>
      </c>
      <c r="E3" s="1748">
        <v>2046</v>
      </c>
      <c r="F3" s="1749">
        <v>2026</v>
      </c>
      <c r="G3" s="1748">
        <v>2046</v>
      </c>
      <c r="H3" s="1800"/>
      <c r="I3" s="1801"/>
      <c r="J3" s="1750">
        <v>2026</v>
      </c>
      <c r="K3" s="1751">
        <v>2046</v>
      </c>
      <c r="L3" s="1750">
        <v>2026</v>
      </c>
      <c r="M3" s="1752">
        <v>2046</v>
      </c>
      <c r="N3" s="1750">
        <v>2026</v>
      </c>
      <c r="O3" s="1751">
        <v>2046</v>
      </c>
      <c r="P3" s="1750">
        <v>2026</v>
      </c>
      <c r="Q3" s="1752">
        <v>2046</v>
      </c>
    </row>
    <row r="4" spans="2:21" ht="21.6" customHeight="1" thickTop="1" x14ac:dyDescent="0.25">
      <c r="B4" s="1723" t="s">
        <v>952</v>
      </c>
      <c r="C4" s="1724">
        <v>1534</v>
      </c>
      <c r="D4" s="1725">
        <v>7244</v>
      </c>
      <c r="E4" s="1726">
        <v>9107</v>
      </c>
      <c r="F4" s="1727">
        <v>6299</v>
      </c>
      <c r="G4" s="1726">
        <v>9107</v>
      </c>
      <c r="H4" s="1728">
        <f>CONVERT(1501,"ft","mi")</f>
        <v>0.28428030303030305</v>
      </c>
      <c r="I4" s="1729">
        <f>CONVERT(1661, "ft", "mi")</f>
        <v>0.31458333333333333</v>
      </c>
      <c r="J4" s="1730">
        <f>D4*H4</f>
        <v>2059.3265151515152</v>
      </c>
      <c r="K4" s="1731">
        <f>E4*H4</f>
        <v>2588.9407196969701</v>
      </c>
      <c r="L4" s="1730">
        <f>F4*I4</f>
        <v>1981.5604166666667</v>
      </c>
      <c r="M4" s="1731">
        <f>G4*I4</f>
        <v>2864.9104166666666</v>
      </c>
      <c r="N4" s="1730">
        <v>48</v>
      </c>
      <c r="O4" s="1732">
        <v>62</v>
      </c>
      <c r="P4" s="1730">
        <v>47</v>
      </c>
      <c r="Q4" s="1731">
        <v>68</v>
      </c>
      <c r="R4" s="1722"/>
      <c r="S4" s="1722"/>
      <c r="T4" s="1722"/>
      <c r="U4" s="1722"/>
    </row>
    <row r="5" spans="2:21" ht="21.6" customHeight="1" x14ac:dyDescent="0.25">
      <c r="B5" s="1723" t="s">
        <v>953</v>
      </c>
      <c r="C5" s="1724">
        <v>1264</v>
      </c>
      <c r="D5" s="1725">
        <v>6299</v>
      </c>
      <c r="E5" s="1726">
        <v>8714</v>
      </c>
      <c r="F5" s="1727">
        <v>6299</v>
      </c>
      <c r="G5" s="1726">
        <v>8714</v>
      </c>
      <c r="H5" s="1728">
        <f>CONVERT(1246, "ft", "mi")</f>
        <v>0.23598484848484849</v>
      </c>
      <c r="I5" s="1729">
        <f>CONVERT(1270, "ft", "mi")</f>
        <v>0.24053030303030304</v>
      </c>
      <c r="J5" s="1730">
        <f t="shared" ref="J5:J9" si="0">D5*H5</f>
        <v>1486.4685606060607</v>
      </c>
      <c r="K5" s="1731">
        <f t="shared" ref="K5:L9" si="1">E5*H5</f>
        <v>2056.3719696969697</v>
      </c>
      <c r="L5" s="1730">
        <f>F5*I5</f>
        <v>1515.1003787878788</v>
      </c>
      <c r="M5" s="1731">
        <f t="shared" ref="M5:M9" si="2">G5*I5</f>
        <v>2095.9810606060605</v>
      </c>
      <c r="N5" s="1730">
        <v>28</v>
      </c>
      <c r="O5" s="1732">
        <v>39</v>
      </c>
      <c r="P5" s="1730">
        <v>28</v>
      </c>
      <c r="Q5" s="1731">
        <v>38</v>
      </c>
      <c r="R5" s="1722"/>
      <c r="S5" s="1722"/>
      <c r="T5" s="1722"/>
      <c r="U5" s="1722"/>
    </row>
    <row r="6" spans="2:21" ht="21.6" customHeight="1" x14ac:dyDescent="0.25">
      <c r="B6" s="1723" t="s">
        <v>954</v>
      </c>
      <c r="C6" s="1724">
        <v>1347</v>
      </c>
      <c r="D6" s="1725">
        <v>6299</v>
      </c>
      <c r="E6" s="1726">
        <v>8714</v>
      </c>
      <c r="F6" s="1727">
        <v>6299</v>
      </c>
      <c r="G6" s="1726">
        <v>8714</v>
      </c>
      <c r="H6" s="1728">
        <f>CONVERT(1278, "ft", "mi")</f>
        <v>0.24204545454545454</v>
      </c>
      <c r="I6" s="1729">
        <f>CONVERT(1257, "ft", "mi")</f>
        <v>0.23806818181818182</v>
      </c>
      <c r="J6" s="1730">
        <f t="shared" si="0"/>
        <v>1524.6443181818181</v>
      </c>
      <c r="K6" s="1731">
        <f t="shared" si="1"/>
        <v>2109.1840909090906</v>
      </c>
      <c r="L6" s="1730">
        <f t="shared" si="1"/>
        <v>1499.5914772727272</v>
      </c>
      <c r="M6" s="1731">
        <f t="shared" si="2"/>
        <v>2074.5261363636364</v>
      </c>
      <c r="N6" s="1730">
        <v>41</v>
      </c>
      <c r="O6" s="1732">
        <v>58</v>
      </c>
      <c r="P6" s="1730">
        <v>32</v>
      </c>
      <c r="Q6" s="1731">
        <v>44</v>
      </c>
      <c r="R6" s="1722"/>
      <c r="S6" s="1722"/>
      <c r="T6" s="1722"/>
      <c r="U6" s="1722"/>
    </row>
    <row r="7" spans="2:21" ht="21.6" customHeight="1" x14ac:dyDescent="0.25">
      <c r="B7" s="1723" t="s">
        <v>955</v>
      </c>
      <c r="C7" s="1724">
        <v>1458</v>
      </c>
      <c r="D7" s="1725">
        <v>7244</v>
      </c>
      <c r="E7" s="1726">
        <v>9107</v>
      </c>
      <c r="F7" s="1727">
        <v>7244</v>
      </c>
      <c r="G7" s="1726">
        <v>9107</v>
      </c>
      <c r="H7" s="1728">
        <f>CONVERT(1832, "ft", "mi")</f>
        <v>0.34696969696969698</v>
      </c>
      <c r="I7" s="1729">
        <f>CONVERT(1510, "ft", "mi")</f>
        <v>0.28598484848484851</v>
      </c>
      <c r="J7" s="1730">
        <f t="shared" si="0"/>
        <v>2513.4484848484849</v>
      </c>
      <c r="K7" s="1731">
        <f t="shared" si="1"/>
        <v>3159.8530303030302</v>
      </c>
      <c r="L7" s="1730">
        <f t="shared" si="1"/>
        <v>2071.6742424242425</v>
      </c>
      <c r="M7" s="1731">
        <f t="shared" si="2"/>
        <v>2604.4640151515155</v>
      </c>
      <c r="N7" s="1730">
        <v>58</v>
      </c>
      <c r="O7" s="1732">
        <v>74</v>
      </c>
      <c r="P7" s="1730">
        <v>27</v>
      </c>
      <c r="Q7" s="1731">
        <v>35</v>
      </c>
      <c r="R7" s="1722"/>
      <c r="S7" s="1722"/>
      <c r="T7" s="1722"/>
      <c r="U7" s="1722"/>
    </row>
    <row r="8" spans="2:21" ht="21.6" customHeight="1" x14ac:dyDescent="0.25">
      <c r="B8" s="1723" t="s">
        <v>947</v>
      </c>
      <c r="C8" s="1724">
        <v>35671</v>
      </c>
      <c r="D8" s="1725">
        <v>38501</v>
      </c>
      <c r="E8" s="1726">
        <v>48874</v>
      </c>
      <c r="F8" s="1727">
        <v>35827</v>
      </c>
      <c r="G8" s="1726">
        <v>43207</v>
      </c>
      <c r="H8" s="1728">
        <f>CONVERT(6928, "ft", "mi")</f>
        <v>1.312121212121212</v>
      </c>
      <c r="I8" s="1729">
        <f>CONVERT(6928, "ft", "mi")</f>
        <v>1.312121212121212</v>
      </c>
      <c r="J8" s="1730">
        <f t="shared" si="0"/>
        <v>50517.978787878783</v>
      </c>
      <c r="K8" s="1731">
        <f t="shared" si="1"/>
        <v>64128.612121212114</v>
      </c>
      <c r="L8" s="1730">
        <f t="shared" si="1"/>
        <v>47009.366666666661</v>
      </c>
      <c r="M8" s="1731">
        <f t="shared" si="2"/>
        <v>56692.821212121205</v>
      </c>
      <c r="N8" s="1730">
        <v>728</v>
      </c>
      <c r="O8" s="1732">
        <v>928</v>
      </c>
      <c r="P8" s="1730">
        <v>676</v>
      </c>
      <c r="Q8" s="1731">
        <v>818</v>
      </c>
      <c r="R8" s="1722"/>
      <c r="S8" s="1722"/>
      <c r="T8" s="1722"/>
      <c r="U8" s="1722"/>
    </row>
    <row r="9" spans="2:21" ht="21.6" customHeight="1" x14ac:dyDescent="0.25">
      <c r="B9" s="1733" t="s">
        <v>948</v>
      </c>
      <c r="C9" s="1734">
        <v>34329</v>
      </c>
      <c r="D9" s="1735">
        <v>37052</v>
      </c>
      <c r="E9" s="1736">
        <v>47034</v>
      </c>
      <c r="F9" s="1737">
        <v>33077</v>
      </c>
      <c r="G9" s="1736">
        <v>40622</v>
      </c>
      <c r="H9" s="1738">
        <f>CONVERT(6928, "ft", "mi")</f>
        <v>1.312121212121212</v>
      </c>
      <c r="I9" s="1739">
        <f>CONVERT(6928, "ft", "mi")</f>
        <v>1.312121212121212</v>
      </c>
      <c r="J9" s="1740">
        <f t="shared" si="0"/>
        <v>48616.715151515149</v>
      </c>
      <c r="K9" s="1741">
        <f t="shared" si="1"/>
        <v>61714.30909090909</v>
      </c>
      <c r="L9" s="1740">
        <f t="shared" si="1"/>
        <v>43401.033333333333</v>
      </c>
      <c r="M9" s="1741">
        <f t="shared" si="2"/>
        <v>53300.987878787877</v>
      </c>
      <c r="N9" s="1740">
        <v>700</v>
      </c>
      <c r="O9" s="1742">
        <v>893</v>
      </c>
      <c r="P9" s="1740">
        <v>624</v>
      </c>
      <c r="Q9" s="1741">
        <v>769</v>
      </c>
      <c r="R9" s="1722"/>
      <c r="S9" s="1722"/>
      <c r="T9" s="1722"/>
      <c r="U9" s="1722"/>
    </row>
    <row r="10" spans="2:21" x14ac:dyDescent="0.25">
      <c r="J10" s="1744"/>
      <c r="K10" s="1744"/>
      <c r="L10" s="1744"/>
      <c r="M10" s="1744"/>
      <c r="N10" s="1744"/>
      <c r="O10" s="1744"/>
      <c r="P10" s="1744"/>
      <c r="Q10" s="1744"/>
    </row>
  </sheetData>
  <mergeCells count="12">
    <mergeCell ref="N2:O2"/>
    <mergeCell ref="P2:Q2"/>
    <mergeCell ref="C1:G1"/>
    <mergeCell ref="H1:I1"/>
    <mergeCell ref="J1:M1"/>
    <mergeCell ref="N1:Q1"/>
    <mergeCell ref="C2:E2"/>
    <mergeCell ref="F2:G2"/>
    <mergeCell ref="H2:H3"/>
    <mergeCell ref="I2:I3"/>
    <mergeCell ref="J2:K2"/>
    <mergeCell ref="L2:M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3CD04-3E3E-4F15-B1AC-797FD0408881}">
  <sheetPr codeName="Sheet10">
    <tabColor rgb="FFFFFFCC"/>
  </sheetPr>
  <dimension ref="B1:EO300"/>
  <sheetViews>
    <sheetView showGridLines="0" zoomScale="65" zoomScaleNormal="65" zoomScaleSheetLayoutView="25" workbookViewId="0">
      <selection activeCell="F12" sqref="F12"/>
    </sheetView>
  </sheetViews>
  <sheetFormatPr defaultColWidth="9.140625" defaultRowHeight="12.75" x14ac:dyDescent="0.2"/>
  <cols>
    <col min="1" max="1" width="9.140625" style="651"/>
    <col min="2" max="2" width="5.85546875" style="651" customWidth="1"/>
    <col min="3" max="3" width="5.5703125" style="651" customWidth="1"/>
    <col min="4" max="4" width="37.42578125" style="651" customWidth="1"/>
    <col min="5" max="5" width="14.42578125" style="651" customWidth="1"/>
    <col min="6" max="6" width="14.42578125" style="1201" customWidth="1"/>
    <col min="7" max="7" width="5.5703125" style="1201" customWidth="1"/>
    <col min="8" max="8" width="14.42578125" style="1202" customWidth="1"/>
    <col min="9" max="10" width="5.5703125" style="651" customWidth="1"/>
    <col min="11" max="11" width="26.85546875" style="651" customWidth="1"/>
    <col min="12" max="15" width="11.42578125" style="651" customWidth="1"/>
    <col min="16" max="16" width="5.5703125" style="651" customWidth="1"/>
    <col min="17" max="17" width="14.5703125" style="651" customWidth="1"/>
    <col min="18" max="18" width="6" style="651" customWidth="1"/>
    <col min="19" max="19" width="3.5703125" style="651" customWidth="1"/>
    <col min="20" max="20" width="86.42578125" style="651" customWidth="1"/>
    <col min="21" max="22" width="14.140625" style="651" customWidth="1"/>
    <col min="23" max="23" width="4.42578125" style="651" customWidth="1"/>
    <col min="24" max="24" width="14.5703125" style="651" customWidth="1"/>
    <col min="25" max="25" width="5.5703125" style="651" customWidth="1"/>
    <col min="26" max="26" width="34.85546875" style="651" bestFit="1" customWidth="1"/>
    <col min="27" max="27" width="10.42578125" style="651" bestFit="1" customWidth="1"/>
    <col min="28" max="28" width="14.140625" style="651" customWidth="1"/>
    <col min="29" max="29" width="42.42578125" style="651" customWidth="1"/>
    <col min="30" max="30" width="5.85546875" style="651" customWidth="1"/>
    <col min="31" max="31" width="14.42578125" style="651" customWidth="1"/>
    <col min="32" max="32" width="5.5703125" style="651" customWidth="1"/>
    <col min="33" max="33" width="16" style="651" bestFit="1" customWidth="1"/>
    <col min="34" max="39" width="10.42578125" style="651" customWidth="1"/>
    <col min="40" max="40" width="5.5703125" style="651" customWidth="1"/>
    <col min="41" max="41" width="9.5703125" style="651" customWidth="1"/>
    <col min="42" max="42" width="9.140625" style="651"/>
    <col min="43" max="43" width="5.42578125" style="651" customWidth="1"/>
    <col min="44" max="46" width="9.140625" style="651"/>
    <col min="47" max="47" width="5.42578125" style="651" customWidth="1"/>
    <col min="48" max="49" width="9.42578125" style="651" customWidth="1"/>
    <col min="50" max="50" width="5.42578125" style="651" customWidth="1"/>
    <col min="51" max="51" width="21.5703125" style="651" bestFit="1" customWidth="1"/>
    <col min="52" max="52" width="12" style="651" bestFit="1" customWidth="1"/>
    <col min="53" max="53" width="12.42578125" style="651" bestFit="1" customWidth="1"/>
    <col min="54" max="55" width="12.42578125" style="651" customWidth="1"/>
    <col min="56" max="56" width="5.42578125" style="651" customWidth="1"/>
    <col min="57" max="57" width="9.140625" style="651"/>
    <col min="58" max="58" width="5.5703125" style="651" customWidth="1"/>
    <col min="59" max="59" width="16.85546875" style="651" customWidth="1"/>
    <col min="60" max="63" width="14.5703125" style="651" customWidth="1"/>
    <col min="64" max="64" width="5.5703125" style="651" customWidth="1"/>
    <col min="65" max="66" width="9.140625" style="651"/>
    <col min="67" max="67" width="5.5703125" style="651" customWidth="1"/>
    <col min="68" max="68" width="8.85546875" style="651" customWidth="1"/>
    <col min="69" max="69" width="9" style="651" customWidth="1"/>
    <col min="70" max="70" width="9.42578125" style="651" bestFit="1" customWidth="1"/>
    <col min="71" max="71" width="10.42578125" style="651" bestFit="1" customWidth="1"/>
    <col min="72" max="74" width="9.42578125" style="651" bestFit="1" customWidth="1"/>
    <col min="75" max="75" width="9.42578125" style="651" customWidth="1"/>
    <col min="76" max="76" width="9.42578125" style="651" bestFit="1" customWidth="1"/>
    <col min="77" max="77" width="5.5703125" style="651" customWidth="1"/>
    <col min="78" max="78" width="9.140625" style="651"/>
    <col min="79" max="79" width="5.5703125" style="651" customWidth="1"/>
    <col min="80" max="80" width="8.85546875" style="651" customWidth="1"/>
    <col min="81" max="81" width="9" style="651" customWidth="1"/>
    <col min="82" max="82" width="9.42578125" style="651" bestFit="1" customWidth="1"/>
    <col min="83" max="83" width="9.85546875" style="651" bestFit="1" customWidth="1"/>
    <col min="84" max="86" width="9.42578125" style="651" bestFit="1" customWidth="1"/>
    <col min="87" max="87" width="9.42578125" style="651" customWidth="1"/>
    <col min="88" max="88" width="9.42578125" style="651" bestFit="1" customWidth="1"/>
    <col min="89" max="89" width="5.5703125" style="651" customWidth="1"/>
    <col min="90" max="90" width="9.140625" style="651" customWidth="1"/>
    <col min="91" max="91" width="9.42578125" style="651" customWidth="1"/>
    <col min="92" max="92" width="5.5703125" style="651" customWidth="1"/>
    <col min="93" max="93" width="16.5703125" style="651" customWidth="1"/>
    <col min="94" max="94" width="11.5703125" style="651" bestFit="1" customWidth="1"/>
    <col min="95" max="101" width="9.5703125" style="651" customWidth="1"/>
    <col min="102" max="102" width="5.5703125" style="651" customWidth="1"/>
    <col min="103" max="104" width="9.140625" style="651" customWidth="1"/>
    <col min="105" max="105" width="5.5703125" style="651" customWidth="1"/>
    <col min="106" max="106" width="8.140625" style="651" customWidth="1"/>
    <col min="107" max="109" width="9.140625" style="651" customWidth="1"/>
    <col min="110" max="110" width="5.42578125" style="651" customWidth="1"/>
    <col min="111" max="111" width="9.140625" style="651" customWidth="1"/>
    <col min="112" max="112" width="5.42578125" style="651" customWidth="1"/>
    <col min="113" max="115" width="9.42578125" style="651" customWidth="1"/>
    <col min="116" max="116" width="5.42578125" style="651" customWidth="1"/>
    <col min="117" max="118" width="9.140625" style="651" customWidth="1"/>
    <col min="119" max="119" width="5.42578125" style="651" customWidth="1"/>
    <col min="120" max="122" width="13.5703125" style="651" customWidth="1"/>
    <col min="123" max="123" width="5.42578125" style="651" customWidth="1"/>
    <col min="124" max="125" width="9.140625" style="651" customWidth="1"/>
    <col min="126" max="126" width="5.42578125" style="651" customWidth="1"/>
    <col min="127" max="127" width="11.140625" style="651" customWidth="1"/>
    <col min="128" max="135" width="9.42578125" style="651" customWidth="1"/>
    <col min="136" max="136" width="5.42578125" style="651" customWidth="1"/>
    <col min="137" max="138" width="9.140625" style="651"/>
    <col min="139" max="139" width="5.42578125" style="651" customWidth="1"/>
    <col min="140" max="140" width="15.5703125" style="651" customWidth="1"/>
    <col min="141" max="141" width="12.5703125" style="651" customWidth="1"/>
    <col min="142" max="142" width="12.140625" style="651" customWidth="1"/>
    <col min="143" max="143" width="11.5703125" style="651" customWidth="1"/>
    <col min="144" max="144" width="5.42578125" style="651" customWidth="1"/>
    <col min="145" max="16384" width="9.140625" style="651"/>
  </cols>
  <sheetData>
    <row r="1" spans="2:144" ht="20.25" x14ac:dyDescent="0.3">
      <c r="B1" s="1200" t="s">
        <v>417</v>
      </c>
    </row>
    <row r="3" spans="2:144" ht="18.75" x14ac:dyDescent="0.2">
      <c r="B3" s="1203" t="s">
        <v>418</v>
      </c>
    </row>
    <row r="4" spans="2:144" ht="18.75" x14ac:dyDescent="0.3">
      <c r="B4" s="1203" t="s">
        <v>419</v>
      </c>
      <c r="AF4" s="1204" t="s">
        <v>420</v>
      </c>
      <c r="AQ4" s="1204" t="s">
        <v>421</v>
      </c>
      <c r="AR4" s="1204"/>
      <c r="AS4" s="1204"/>
      <c r="AT4" s="1204"/>
      <c r="AU4" s="1204"/>
      <c r="AV4" s="1204"/>
      <c r="AW4" s="1204"/>
      <c r="AX4" s="1204" t="s">
        <v>422</v>
      </c>
      <c r="AY4" s="1204"/>
      <c r="AZ4" s="1204"/>
      <c r="BA4" s="1204"/>
      <c r="BB4" s="1204"/>
      <c r="BC4" s="1204"/>
      <c r="BD4" s="1204"/>
      <c r="BO4" s="1204" t="s">
        <v>423</v>
      </c>
      <c r="DA4" s="1204" t="s">
        <v>424</v>
      </c>
      <c r="DO4" s="1204" t="s">
        <v>425</v>
      </c>
      <c r="DV4" s="1204" t="s">
        <v>426</v>
      </c>
      <c r="EI4" s="1204" t="s">
        <v>876</v>
      </c>
    </row>
    <row r="5" spans="2:144" ht="18.75" x14ac:dyDescent="0.2">
      <c r="B5" s="1203"/>
      <c r="DO5" s="1205" t="s">
        <v>427</v>
      </c>
      <c r="DV5" s="1205" t="s">
        <v>428</v>
      </c>
      <c r="EI5" s="1205" t="s">
        <v>877</v>
      </c>
    </row>
    <row r="6" spans="2:144" ht="16.5" customHeight="1" thickBot="1" x14ac:dyDescent="0.25">
      <c r="BN6" s="1206"/>
    </row>
    <row r="7" spans="2:144" ht="16.5" customHeight="1" thickTop="1" x14ac:dyDescent="0.2">
      <c r="B7" s="1207" t="s">
        <v>429</v>
      </c>
      <c r="C7" s="1208"/>
      <c r="D7" s="1209"/>
      <c r="E7" s="1210"/>
      <c r="F7" s="1210"/>
      <c r="G7" s="1211"/>
      <c r="H7" s="1212"/>
      <c r="I7" s="1213" t="s">
        <v>430</v>
      </c>
      <c r="J7" s="1214"/>
      <c r="K7" s="1215"/>
      <c r="Y7" s="1207" t="s">
        <v>431</v>
      </c>
      <c r="Z7" s="1209"/>
      <c r="AA7" s="1209"/>
      <c r="AB7" s="1209"/>
      <c r="AC7" s="1209"/>
      <c r="AD7" s="1216"/>
      <c r="AF7" s="1217"/>
      <c r="AG7" s="1218"/>
      <c r="AH7" s="1218"/>
      <c r="AI7" s="1218"/>
      <c r="AJ7" s="1218"/>
      <c r="AK7" s="1218"/>
      <c r="AL7" s="1218"/>
      <c r="AM7" s="1218"/>
      <c r="AN7" s="1219"/>
      <c r="AO7" s="1220"/>
      <c r="AQ7" s="1217"/>
      <c r="AR7" s="1218"/>
      <c r="AS7" s="1221"/>
      <c r="AT7" s="1221"/>
      <c r="AU7" s="1219"/>
      <c r="AV7" s="1220"/>
      <c r="AW7" s="1220"/>
      <c r="AX7" s="1222"/>
      <c r="AY7" s="1223"/>
      <c r="AZ7" s="1223"/>
      <c r="BA7" s="1223"/>
      <c r="BB7" s="1223"/>
      <c r="BC7" s="1223"/>
      <c r="BD7" s="1224"/>
      <c r="BF7" s="1222"/>
      <c r="BG7" s="1223"/>
      <c r="BH7" s="1223"/>
      <c r="BI7" s="1223"/>
      <c r="BJ7" s="1223"/>
      <c r="BK7" s="1223"/>
      <c r="BL7" s="1224"/>
      <c r="BO7" s="1222"/>
      <c r="BP7" s="1223"/>
      <c r="BQ7" s="1223"/>
      <c r="BR7" s="1223"/>
      <c r="BS7" s="1223"/>
      <c r="BT7" s="1223"/>
      <c r="BU7" s="1223"/>
      <c r="BV7" s="1223"/>
      <c r="BW7" s="1223"/>
      <c r="BX7" s="1223"/>
      <c r="BY7" s="1224"/>
      <c r="CA7" s="1222"/>
      <c r="CB7" s="1223"/>
      <c r="CC7" s="1223"/>
      <c r="CD7" s="1223"/>
      <c r="CE7" s="1223"/>
      <c r="CF7" s="1223"/>
      <c r="CG7" s="1223"/>
      <c r="CH7" s="1223"/>
      <c r="CI7" s="1223"/>
      <c r="CJ7" s="1223"/>
      <c r="CK7" s="1224"/>
      <c r="CN7" s="1222"/>
      <c r="CO7" s="1223"/>
      <c r="CP7" s="1223"/>
      <c r="CQ7" s="1223"/>
      <c r="CR7" s="1223"/>
      <c r="CS7" s="1223"/>
      <c r="CT7" s="1223"/>
      <c r="CU7" s="1223"/>
      <c r="CV7" s="1223"/>
      <c r="CW7" s="1223"/>
      <c r="CX7" s="1224"/>
      <c r="DA7" s="1222"/>
      <c r="DB7" s="1223"/>
      <c r="DC7" s="1223"/>
      <c r="DD7" s="1223"/>
      <c r="DE7" s="1223"/>
      <c r="DF7" s="1224"/>
      <c r="DH7" s="1222"/>
      <c r="DI7" s="1223"/>
      <c r="DJ7" s="1223"/>
      <c r="DK7" s="1223"/>
      <c r="DL7" s="1224"/>
      <c r="DO7" s="1222"/>
      <c r="DP7" s="1223"/>
      <c r="DQ7" s="1223"/>
      <c r="DR7" s="1223"/>
      <c r="DS7" s="1224"/>
      <c r="DV7" s="1222"/>
      <c r="DW7" s="1223"/>
      <c r="DX7" s="1223"/>
      <c r="DY7" s="1223"/>
      <c r="DZ7" s="1223"/>
      <c r="EA7" s="1223"/>
      <c r="EB7" s="1223"/>
      <c r="EC7" s="1223"/>
      <c r="ED7" s="1223"/>
      <c r="EE7" s="1223"/>
      <c r="EF7" s="1224"/>
      <c r="EI7" s="1222"/>
      <c r="EJ7" s="1223"/>
      <c r="EK7" s="1223"/>
      <c r="EL7" s="1223"/>
      <c r="EM7" s="1223"/>
      <c r="EN7" s="1224"/>
    </row>
    <row r="8" spans="2:144" ht="16.5" customHeight="1" x14ac:dyDescent="0.25">
      <c r="B8" s="1225"/>
      <c r="C8" s="1226"/>
      <c r="D8" s="1227"/>
      <c r="E8" s="1228"/>
      <c r="F8" s="1227"/>
      <c r="G8" s="1229"/>
      <c r="H8" s="1212"/>
      <c r="I8" s="1230"/>
      <c r="J8" s="1231"/>
      <c r="K8" s="1232"/>
      <c r="Y8" s="1225"/>
      <c r="Z8" s="1227"/>
      <c r="AA8" s="1227"/>
      <c r="AB8" s="1227"/>
      <c r="AC8" s="1227"/>
      <c r="AD8" s="1233"/>
      <c r="AF8" s="1234"/>
      <c r="AG8" s="1235" t="s">
        <v>432</v>
      </c>
      <c r="AH8" s="1236"/>
      <c r="AI8" s="1236"/>
      <c r="AJ8" s="1236"/>
      <c r="AK8" s="1236"/>
      <c r="AL8" s="1236"/>
      <c r="AM8" s="1236"/>
      <c r="AN8" s="1237"/>
      <c r="AO8" s="1238"/>
      <c r="AQ8" s="1234"/>
      <c r="AR8" s="1235" t="s">
        <v>433</v>
      </c>
      <c r="AS8" s="1236"/>
      <c r="AT8" s="1236"/>
      <c r="AU8" s="1237"/>
      <c r="AV8" s="1238"/>
      <c r="AW8" s="1238"/>
      <c r="AX8" s="1239"/>
      <c r="AY8" s="1235" t="s">
        <v>434</v>
      </c>
      <c r="AZ8" s="1236"/>
      <c r="BA8" s="1236"/>
      <c r="BB8" s="1236"/>
      <c r="BC8" s="1236"/>
      <c r="BD8" s="1240"/>
      <c r="BF8" s="1239"/>
      <c r="BG8" s="1235" t="s">
        <v>435</v>
      </c>
      <c r="BH8" s="1236"/>
      <c r="BI8" s="1236"/>
      <c r="BJ8" s="1236"/>
      <c r="BK8" s="1236"/>
      <c r="BL8" s="1240"/>
      <c r="BO8" s="1239"/>
      <c r="BP8" s="1235" t="s">
        <v>436</v>
      </c>
      <c r="BQ8" s="1236"/>
      <c r="BR8" s="1236"/>
      <c r="BS8" s="1236"/>
      <c r="BT8" s="1236"/>
      <c r="BU8" s="1236"/>
      <c r="BV8" s="1236"/>
      <c r="BW8" s="1236"/>
      <c r="BX8" s="1236"/>
      <c r="BY8" s="1240"/>
      <c r="CA8" s="1239"/>
      <c r="CB8" s="1235" t="s">
        <v>436</v>
      </c>
      <c r="CC8" s="1236"/>
      <c r="CD8" s="1236"/>
      <c r="CE8" s="1236"/>
      <c r="CF8" s="1236"/>
      <c r="CG8" s="1236"/>
      <c r="CH8" s="1236"/>
      <c r="CI8" s="1236"/>
      <c r="CJ8" s="1236"/>
      <c r="CK8" s="1240"/>
      <c r="CN8" s="1239"/>
      <c r="CO8" s="1235" t="s">
        <v>437</v>
      </c>
      <c r="CP8" s="1236"/>
      <c r="CQ8" s="1236"/>
      <c r="CR8" s="1236"/>
      <c r="CS8" s="1236"/>
      <c r="CT8" s="1236"/>
      <c r="CU8" s="1236"/>
      <c r="CV8" s="1236"/>
      <c r="CW8" s="1236"/>
      <c r="CX8" s="1240"/>
      <c r="DA8" s="1239"/>
      <c r="DB8" s="1235" t="s">
        <v>438</v>
      </c>
      <c r="DC8" s="1235"/>
      <c r="DD8" s="1236"/>
      <c r="DE8" s="1236"/>
      <c r="DF8" s="1240"/>
      <c r="DH8" s="1239"/>
      <c r="DI8" s="1235" t="s">
        <v>439</v>
      </c>
      <c r="DJ8" s="1236"/>
      <c r="DK8" s="1236"/>
      <c r="DL8" s="1240"/>
      <c r="DO8" s="1239"/>
      <c r="DP8" s="1235" t="s">
        <v>439</v>
      </c>
      <c r="DQ8" s="1236"/>
      <c r="DR8" s="1236"/>
      <c r="DS8" s="1240"/>
      <c r="DV8" s="1239"/>
      <c r="DW8" s="1235" t="s">
        <v>440</v>
      </c>
      <c r="DX8" s="1235"/>
      <c r="DY8" s="1235"/>
      <c r="DZ8" s="1236"/>
      <c r="EA8" s="1236"/>
      <c r="EB8" s="1236"/>
      <c r="EC8" s="1236"/>
      <c r="ED8" s="1236"/>
      <c r="EE8" s="1236"/>
      <c r="EF8" s="1240"/>
      <c r="EI8" s="1239"/>
      <c r="EJ8" s="1235" t="s">
        <v>799</v>
      </c>
      <c r="EK8" s="1235"/>
      <c r="EL8" s="1235"/>
      <c r="EM8" s="1235"/>
      <c r="EN8" s="1240"/>
    </row>
    <row r="9" spans="2:144" ht="16.5" customHeight="1" x14ac:dyDescent="0.2">
      <c r="B9" s="1225"/>
      <c r="C9" s="1241" t="s">
        <v>441</v>
      </c>
      <c r="D9" s="1227"/>
      <c r="E9" s="1228"/>
      <c r="F9" s="1242">
        <v>2021</v>
      </c>
      <c r="G9" s="1233"/>
      <c r="H9" s="1212"/>
      <c r="I9" s="1230"/>
      <c r="J9" s="1243" t="s">
        <v>442</v>
      </c>
      <c r="K9" s="1244"/>
      <c r="Y9" s="1225"/>
      <c r="Z9" s="1241" t="s">
        <v>443</v>
      </c>
      <c r="AA9" s="1245"/>
      <c r="AB9" s="1227"/>
      <c r="AC9" s="1227" t="s">
        <v>444</v>
      </c>
      <c r="AD9" s="1233"/>
      <c r="AF9" s="1246"/>
      <c r="AG9" s="1247" t="s">
        <v>445</v>
      </c>
      <c r="AH9" s="1236"/>
      <c r="AI9" s="1236"/>
      <c r="AJ9" s="1236"/>
      <c r="AK9" s="1236"/>
      <c r="AL9" s="1236"/>
      <c r="AM9" s="1236"/>
      <c r="AN9" s="1237"/>
      <c r="AO9" s="1238"/>
      <c r="AQ9" s="1234"/>
      <c r="AR9" s="1248" t="s">
        <v>446</v>
      </c>
      <c r="AS9" s="1236"/>
      <c r="AT9" s="1236"/>
      <c r="AU9" s="1237"/>
      <c r="AV9" s="1238"/>
      <c r="AW9" s="1238"/>
      <c r="AX9" s="1239"/>
      <c r="AY9" s="1247" t="s">
        <v>447</v>
      </c>
      <c r="AZ9" s="1236"/>
      <c r="BA9" s="1236"/>
      <c r="BB9" s="1236"/>
      <c r="BC9" s="1236"/>
      <c r="BD9" s="1240"/>
      <c r="BF9" s="1239"/>
      <c r="BG9" s="1247" t="s">
        <v>448</v>
      </c>
      <c r="BH9" s="1236"/>
      <c r="BI9" s="1236"/>
      <c r="BJ9" s="1236"/>
      <c r="BK9" s="1236"/>
      <c r="BL9" s="1240"/>
      <c r="BO9" s="1239"/>
      <c r="BP9" s="1247" t="s">
        <v>878</v>
      </c>
      <c r="BQ9" s="1236"/>
      <c r="BR9" s="1236"/>
      <c r="BS9" s="1236"/>
      <c r="BT9" s="1236"/>
      <c r="BU9" s="1236"/>
      <c r="BV9" s="1236"/>
      <c r="BW9" s="1236"/>
      <c r="BX9" s="1236"/>
      <c r="BY9" s="1240"/>
      <c r="CA9" s="1239"/>
      <c r="CB9" s="1247" t="s">
        <v>879</v>
      </c>
      <c r="CC9" s="1236"/>
      <c r="CD9" s="1236"/>
      <c r="CE9" s="1236"/>
      <c r="CF9" s="1236"/>
      <c r="CG9" s="1236"/>
      <c r="CH9" s="1236"/>
      <c r="CI9" s="1236"/>
      <c r="CJ9" s="1236"/>
      <c r="CK9" s="1240"/>
      <c r="CN9" s="1239"/>
      <c r="CO9" s="1247" t="s">
        <v>449</v>
      </c>
      <c r="CP9" s="1236"/>
      <c r="CQ9" s="1236"/>
      <c r="CR9" s="1236"/>
      <c r="CS9" s="1236"/>
      <c r="CT9" s="1236"/>
      <c r="CU9" s="1236"/>
      <c r="CV9" s="1236"/>
      <c r="CW9" s="1236"/>
      <c r="CX9" s="1240"/>
      <c r="DA9" s="1239"/>
      <c r="DB9" s="1247" t="s">
        <v>450</v>
      </c>
      <c r="DC9" s="1248"/>
      <c r="DD9" s="1236"/>
      <c r="DE9" s="1236"/>
      <c r="DF9" s="1240"/>
      <c r="DH9" s="1239"/>
      <c r="DI9" s="1247" t="s">
        <v>451</v>
      </c>
      <c r="DJ9" s="1236"/>
      <c r="DK9" s="1236"/>
      <c r="DL9" s="1240"/>
      <c r="DO9" s="1239"/>
      <c r="DP9" s="1247" t="s">
        <v>451</v>
      </c>
      <c r="DQ9" s="1236"/>
      <c r="DR9" s="1236"/>
      <c r="DS9" s="1240"/>
      <c r="DV9" s="1239"/>
      <c r="DW9" s="1247" t="s">
        <v>451</v>
      </c>
      <c r="DX9" s="1247"/>
      <c r="DY9" s="1247"/>
      <c r="DZ9" s="1236"/>
      <c r="EA9" s="1236"/>
      <c r="EB9" s="1236"/>
      <c r="EC9" s="1236"/>
      <c r="ED9" s="1236"/>
      <c r="EE9" s="1236"/>
      <c r="EF9" s="1240"/>
      <c r="EI9" s="1239"/>
      <c r="EJ9" s="1247" t="s">
        <v>800</v>
      </c>
      <c r="EK9" s="1247"/>
      <c r="EL9" s="1247"/>
      <c r="EM9" s="1247"/>
      <c r="EN9" s="1240"/>
    </row>
    <row r="10" spans="2:144" ht="16.5" customHeight="1" x14ac:dyDescent="0.25">
      <c r="B10" s="1225"/>
      <c r="C10" s="1241" t="s">
        <v>452</v>
      </c>
      <c r="D10" s="1227"/>
      <c r="E10" s="1228"/>
      <c r="F10" s="1249">
        <v>1</v>
      </c>
      <c r="G10" s="1250"/>
      <c r="H10" s="1212">
        <v>1</v>
      </c>
      <c r="I10" s="1251"/>
      <c r="J10" s="1243" t="s">
        <v>453</v>
      </c>
      <c r="K10" s="1232"/>
      <c r="Y10" s="1225"/>
      <c r="Z10" s="1252" t="s">
        <v>454</v>
      </c>
      <c r="AA10" s="1253"/>
      <c r="AB10" s="1227" t="s">
        <v>455</v>
      </c>
      <c r="AC10" s="1227"/>
      <c r="AD10" s="1233"/>
      <c r="AF10" s="1246"/>
      <c r="AN10" s="1237"/>
      <c r="AO10" s="1238"/>
      <c r="AQ10" s="1246"/>
      <c r="AR10" s="1238"/>
      <c r="AS10" s="1238"/>
      <c r="AT10" s="1238"/>
      <c r="AU10" s="1254"/>
      <c r="AV10" s="1255"/>
      <c r="AW10" s="1255"/>
      <c r="AX10" s="1239"/>
      <c r="BA10" s="1202"/>
      <c r="BD10" s="1240"/>
      <c r="BF10" s="1239"/>
      <c r="BI10" s="1202"/>
      <c r="BL10" s="1240"/>
      <c r="BO10" s="1239"/>
      <c r="BP10" s="1256"/>
      <c r="BY10" s="1240"/>
      <c r="CA10" s="1239"/>
      <c r="CB10" s="1256"/>
      <c r="CK10" s="1240"/>
      <c r="CN10" s="1239"/>
      <c r="CX10" s="1240"/>
      <c r="DA10" s="1239"/>
      <c r="DB10" s="1256"/>
      <c r="DC10" s="1256"/>
      <c r="DF10" s="1240"/>
      <c r="DH10" s="1239"/>
      <c r="DI10" s="1248"/>
      <c r="DJ10" s="1236"/>
      <c r="DK10" s="1236"/>
      <c r="DL10" s="1240"/>
      <c r="DO10" s="1239"/>
      <c r="DP10" s="1248"/>
      <c r="DQ10" s="1236"/>
      <c r="DR10" s="1236"/>
      <c r="DS10" s="1240"/>
      <c r="DV10" s="1239"/>
      <c r="DW10" s="1248"/>
      <c r="DX10" s="1248"/>
      <c r="DY10" s="1248"/>
      <c r="DZ10" s="1236"/>
      <c r="EA10" s="1236"/>
      <c r="EB10" s="1236"/>
      <c r="EC10" s="1236"/>
      <c r="ED10" s="1236"/>
      <c r="EE10" s="1236"/>
      <c r="EF10" s="1240"/>
      <c r="EI10" s="1239"/>
      <c r="EN10" s="1240"/>
    </row>
    <row r="11" spans="2:144" ht="16.5" customHeight="1" x14ac:dyDescent="0.25">
      <c r="B11" s="1225"/>
      <c r="C11" s="1241"/>
      <c r="D11" s="1227"/>
      <c r="E11" s="1228"/>
      <c r="F11" s="1257"/>
      <c r="G11" s="1250"/>
      <c r="H11" s="1212"/>
      <c r="I11" s="1251"/>
      <c r="J11" s="1243" t="s">
        <v>456</v>
      </c>
      <c r="K11" s="1232"/>
      <c r="Y11" s="1225"/>
      <c r="Z11" s="1258" t="s">
        <v>457</v>
      </c>
      <c r="AA11" s="1253"/>
      <c r="AB11" s="1227" t="s">
        <v>458</v>
      </c>
      <c r="AC11" s="1227" t="s">
        <v>459</v>
      </c>
      <c r="AD11" s="1233"/>
      <c r="AF11" s="1246"/>
      <c r="AG11" s="1259" t="s">
        <v>460</v>
      </c>
      <c r="AH11" s="1260" t="s">
        <v>461</v>
      </c>
      <c r="AI11" s="1261"/>
      <c r="AJ11" s="1261"/>
      <c r="AK11" s="1261"/>
      <c r="AL11" s="1262"/>
      <c r="AM11" s="1263"/>
      <c r="AN11" s="1237"/>
      <c r="AO11" s="1238"/>
      <c r="AQ11" s="1246"/>
      <c r="AR11" s="1264" t="s">
        <v>119</v>
      </c>
      <c r="AS11" s="1265" t="s">
        <v>462</v>
      </c>
      <c r="AT11" s="1266" t="s">
        <v>463</v>
      </c>
      <c r="AU11" s="1254"/>
      <c r="AV11" s="1255"/>
      <c r="AW11" s="1255"/>
      <c r="AX11" s="1239"/>
      <c r="AY11" s="1267" t="s">
        <v>464</v>
      </c>
      <c r="AZ11" s="1268" t="s">
        <v>461</v>
      </c>
      <c r="BA11" s="1269" t="s">
        <v>465</v>
      </c>
      <c r="BB11" s="1269" t="s">
        <v>466</v>
      </c>
      <c r="BC11" s="1270" t="s">
        <v>94</v>
      </c>
      <c r="BD11" s="1240"/>
      <c r="BF11" s="1239"/>
      <c r="BG11" s="1267" t="s">
        <v>464</v>
      </c>
      <c r="BH11" s="1268" t="s">
        <v>453</v>
      </c>
      <c r="BI11" s="1269" t="s">
        <v>456</v>
      </c>
      <c r="BJ11" s="1269" t="s">
        <v>442</v>
      </c>
      <c r="BK11" s="1270" t="s">
        <v>467</v>
      </c>
      <c r="BL11" s="1240"/>
      <c r="BO11" s="1239"/>
      <c r="BP11" s="1271" t="s">
        <v>242</v>
      </c>
      <c r="BQ11" s="1271" t="s">
        <v>119</v>
      </c>
      <c r="BR11" s="1272" t="s">
        <v>344</v>
      </c>
      <c r="BS11" s="1268" t="s">
        <v>468</v>
      </c>
      <c r="BT11" s="1269" t="s">
        <v>469</v>
      </c>
      <c r="BU11" s="1269" t="s">
        <v>470</v>
      </c>
      <c r="BV11" s="1269" t="s">
        <v>471</v>
      </c>
      <c r="BW11" s="1273" t="s">
        <v>349</v>
      </c>
      <c r="BX11" s="1270" t="s">
        <v>472</v>
      </c>
      <c r="BY11" s="1240"/>
      <c r="CA11" s="1239"/>
      <c r="CB11" s="1271" t="s">
        <v>242</v>
      </c>
      <c r="CC11" s="1271" t="s">
        <v>119</v>
      </c>
      <c r="CD11" s="1272" t="s">
        <v>344</v>
      </c>
      <c r="CE11" s="1268" t="s">
        <v>468</v>
      </c>
      <c r="CF11" s="1269" t="s">
        <v>469</v>
      </c>
      <c r="CG11" s="1269" t="s">
        <v>470</v>
      </c>
      <c r="CH11" s="1269" t="s">
        <v>471</v>
      </c>
      <c r="CI11" s="1273" t="s">
        <v>349</v>
      </c>
      <c r="CJ11" s="1270" t="s">
        <v>472</v>
      </c>
      <c r="CK11" s="1240"/>
      <c r="CN11" s="1239"/>
      <c r="CO11" s="1271" t="s">
        <v>473</v>
      </c>
      <c r="CP11" s="1271" t="s">
        <v>474</v>
      </c>
      <c r="CQ11" s="1272" t="s">
        <v>344</v>
      </c>
      <c r="CR11" s="1268" t="s">
        <v>475</v>
      </c>
      <c r="CS11" s="1269" t="s">
        <v>476</v>
      </c>
      <c r="CT11" s="1269" t="s">
        <v>477</v>
      </c>
      <c r="CU11" s="1269" t="s">
        <v>478</v>
      </c>
      <c r="CV11" s="1270" t="s">
        <v>349</v>
      </c>
      <c r="CW11" s="1274"/>
      <c r="CX11" s="1240"/>
      <c r="DA11" s="1239"/>
      <c r="DB11" s="1259"/>
      <c r="DC11" s="1275" t="s">
        <v>479</v>
      </c>
      <c r="DD11" s="1276"/>
      <c r="DE11" s="1277"/>
      <c r="DF11" s="1240"/>
      <c r="DH11" s="1239"/>
      <c r="DI11" s="1256"/>
      <c r="DL11" s="1240"/>
      <c r="DO11" s="1239"/>
      <c r="DP11" s="1259" t="s">
        <v>109</v>
      </c>
      <c r="DQ11" s="1278" t="s">
        <v>480</v>
      </c>
      <c r="DR11" s="1279" t="s">
        <v>458</v>
      </c>
      <c r="DS11" s="1240"/>
      <c r="DV11" s="1239"/>
      <c r="DW11" s="1280" t="s">
        <v>481</v>
      </c>
      <c r="DX11" s="1260" t="s">
        <v>482</v>
      </c>
      <c r="DY11" s="1261"/>
      <c r="DZ11" s="1261" t="s">
        <v>483</v>
      </c>
      <c r="EA11" s="1261"/>
      <c r="EB11" s="1261" t="s">
        <v>484</v>
      </c>
      <c r="EC11" s="1261"/>
      <c r="ED11" s="1261"/>
      <c r="EE11" s="1279" t="s">
        <v>56</v>
      </c>
      <c r="EF11" s="1240"/>
      <c r="EI11" s="1239"/>
      <c r="EJ11" s="1281" t="s">
        <v>801</v>
      </c>
      <c r="EK11" s="1282" t="s">
        <v>802</v>
      </c>
      <c r="EL11" s="1265" t="s">
        <v>803</v>
      </c>
      <c r="EM11" s="1266" t="s">
        <v>804</v>
      </c>
      <c r="EN11" s="1240"/>
    </row>
    <row r="12" spans="2:144" ht="16.5" customHeight="1" x14ac:dyDescent="0.25">
      <c r="B12" s="1225"/>
      <c r="C12" s="1241" t="s">
        <v>485</v>
      </c>
      <c r="D12" s="1227"/>
      <c r="E12" s="1228"/>
      <c r="F12" s="1283">
        <v>0.04</v>
      </c>
      <c r="G12" s="1284"/>
      <c r="H12" s="1212">
        <v>2</v>
      </c>
      <c r="I12" s="1251"/>
      <c r="J12" s="1243" t="s">
        <v>80</v>
      </c>
      <c r="K12" s="1232"/>
      <c r="Y12" s="1225"/>
      <c r="Z12" s="1252" t="s">
        <v>486</v>
      </c>
      <c r="AA12" s="1253"/>
      <c r="AB12" s="1227" t="s">
        <v>487</v>
      </c>
      <c r="AC12" s="1227" t="s">
        <v>488</v>
      </c>
      <c r="AD12" s="1233"/>
      <c r="AF12" s="1246"/>
      <c r="AG12" s="1285" t="s">
        <v>489</v>
      </c>
      <c r="AH12" s="1286" t="s">
        <v>490</v>
      </c>
      <c r="AI12" s="1287"/>
      <c r="AJ12" s="1287" t="s">
        <v>491</v>
      </c>
      <c r="AK12" s="1287"/>
      <c r="AL12" s="1288" t="s">
        <v>466</v>
      </c>
      <c r="AM12" s="1289"/>
      <c r="AN12" s="1237"/>
      <c r="AO12" s="1238"/>
      <c r="AQ12" s="1246"/>
      <c r="AR12" s="1290">
        <v>5</v>
      </c>
      <c r="AS12" s="551">
        <v>5.1499999999999997E-2</v>
      </c>
      <c r="AT12" s="552">
        <v>0.14000000000000001</v>
      </c>
      <c r="AU12" s="1237"/>
      <c r="AV12" s="1238"/>
      <c r="AW12" s="1238"/>
      <c r="AX12" s="1239"/>
      <c r="AY12" s="1291" t="s">
        <v>492</v>
      </c>
      <c r="AZ12" s="553">
        <f>ROUND((11713+2488)/277160,4)</f>
        <v>5.1200000000000002E-2</v>
      </c>
      <c r="BA12" s="553">
        <f>ROUND((11713+2488)/277160,4)</f>
        <v>5.1200000000000002E-2</v>
      </c>
      <c r="BB12" s="553">
        <f>ROUND((11713+2488)/277160,4)</f>
        <v>5.1200000000000002E-2</v>
      </c>
      <c r="BC12" s="554">
        <f>ROUND((11713+2488)/277160,4)</f>
        <v>5.1200000000000002E-2</v>
      </c>
      <c r="BD12" s="1240"/>
      <c r="BF12" s="1239"/>
      <c r="BG12" s="1291" t="s">
        <v>493</v>
      </c>
      <c r="BH12" s="1292">
        <v>8.0399999999999999E-2</v>
      </c>
      <c r="BI12" s="1293">
        <v>0.24160000000000001</v>
      </c>
      <c r="BJ12" s="1293">
        <v>3.7199999999999997E-2</v>
      </c>
      <c r="BK12" s="1294">
        <v>1.0367999999999999</v>
      </c>
      <c r="BL12" s="1240"/>
      <c r="BO12" s="1239"/>
      <c r="BP12" s="1295" t="s">
        <v>494</v>
      </c>
      <c r="BQ12" s="1295">
        <v>0</v>
      </c>
      <c r="BR12" s="1296">
        <v>3.5182000000000002</v>
      </c>
      <c r="BS12" s="1297">
        <v>78.918499999999995</v>
      </c>
      <c r="BT12" s="1298">
        <v>0.30559999999999998</v>
      </c>
      <c r="BU12" s="1298">
        <v>2.2000000000000001E-3</v>
      </c>
      <c r="BV12" s="1299">
        <v>8.0000000000000004E-4</v>
      </c>
      <c r="BW12" s="1300">
        <v>0.39</v>
      </c>
      <c r="BX12" s="1301">
        <v>2E-3</v>
      </c>
      <c r="BY12" s="1240"/>
      <c r="CA12" s="1239"/>
      <c r="CB12" s="1295" t="s">
        <v>494</v>
      </c>
      <c r="CC12" s="1295">
        <v>0</v>
      </c>
      <c r="CD12" s="1302">
        <v>1.7535000000000001</v>
      </c>
      <c r="CE12" s="1303">
        <v>60.228900000000003</v>
      </c>
      <c r="CF12" s="1299">
        <v>0.1686</v>
      </c>
      <c r="CG12" s="1299">
        <v>8.0000000000000004E-4</v>
      </c>
      <c r="CH12" s="1299">
        <v>5.9999999999999995E-4</v>
      </c>
      <c r="CI12" s="1300">
        <v>0.14510000000000001</v>
      </c>
      <c r="CJ12" s="1304">
        <v>8.0000000000000004E-4</v>
      </c>
      <c r="CK12" s="1240"/>
      <c r="CN12" s="1239"/>
      <c r="CO12" s="1305" t="s">
        <v>495</v>
      </c>
      <c r="CP12" s="1306">
        <v>1</v>
      </c>
      <c r="CQ12" s="1307">
        <f>ROUND(115*(1.1578/0.78)*ValueUpdate/5,0)*5</f>
        <v>170</v>
      </c>
      <c r="CR12" s="1307">
        <f>ROUND(51*(1+2%)^(2021-2020)*(1.1578/1.1385)/1.10231*ValueUpdate,0)</f>
        <v>48</v>
      </c>
      <c r="CS12" s="1308">
        <f>ROUND(46615*(1.1578/0.78)*ValueUpdate,-2)</f>
        <v>69200</v>
      </c>
      <c r="CT12" s="1308">
        <f>ROUND(381859*(1.1578/0.78)*ValueUpdate,-2)</f>
        <v>566800</v>
      </c>
      <c r="CU12" s="1308">
        <f>ROUND(143469*(1.1578/0.78)*ValueUpdate,-2)</f>
        <v>213000</v>
      </c>
      <c r="CV12" s="1309">
        <f>ROUND(2898*(1.1578/0.78)*ValueUpdate/5,0)*5</f>
        <v>4300</v>
      </c>
      <c r="CW12" s="1274"/>
      <c r="CX12" s="1240"/>
      <c r="DA12" s="1239"/>
      <c r="DB12" s="1310" t="s">
        <v>496</v>
      </c>
      <c r="DC12" s="1272" t="s">
        <v>497</v>
      </c>
      <c r="DD12" s="1269" t="s">
        <v>498</v>
      </c>
      <c r="DE12" s="1270" t="s">
        <v>499</v>
      </c>
      <c r="DF12" s="1240"/>
      <c r="DH12" s="1239"/>
      <c r="DI12" s="1271" t="s">
        <v>500</v>
      </c>
      <c r="DJ12" s="1272" t="s">
        <v>494</v>
      </c>
      <c r="DK12" s="1270" t="s">
        <v>463</v>
      </c>
      <c r="DL12" s="1240"/>
      <c r="DO12" s="1239"/>
      <c r="DP12" s="1310" t="s">
        <v>501</v>
      </c>
      <c r="DQ12" s="1311" t="s">
        <v>502</v>
      </c>
      <c r="DR12" s="1312" t="s">
        <v>35</v>
      </c>
      <c r="DS12" s="1240"/>
      <c r="DV12" s="1239"/>
      <c r="DW12" s="1313" t="s">
        <v>503</v>
      </c>
      <c r="DX12" s="1311" t="s">
        <v>119</v>
      </c>
      <c r="DY12" s="1314" t="s">
        <v>504</v>
      </c>
      <c r="DZ12" s="1314" t="s">
        <v>119</v>
      </c>
      <c r="EA12" s="1314" t="s">
        <v>504</v>
      </c>
      <c r="EB12" s="1314" t="s">
        <v>505</v>
      </c>
      <c r="EC12" s="1314" t="s">
        <v>349</v>
      </c>
      <c r="ED12" s="1314" t="s">
        <v>506</v>
      </c>
      <c r="EE12" s="1312" t="s">
        <v>507</v>
      </c>
      <c r="EF12" s="1240"/>
      <c r="EI12" s="1239"/>
      <c r="EJ12" s="1315">
        <v>1.0274000000000001</v>
      </c>
      <c r="EK12" s="1316">
        <v>1.2203999999999999</v>
      </c>
      <c r="EL12" s="1316">
        <v>0.71</v>
      </c>
      <c r="EM12" s="1317">
        <v>0.56000000000000005</v>
      </c>
      <c r="EN12" s="1240"/>
    </row>
    <row r="13" spans="2:144" ht="16.5" customHeight="1" thickBot="1" x14ac:dyDescent="0.3">
      <c r="B13" s="1318"/>
      <c r="C13" s="1319"/>
      <c r="D13" s="1320"/>
      <c r="E13" s="1321"/>
      <c r="F13" s="1321"/>
      <c r="G13" s="1322"/>
      <c r="H13" s="1212"/>
      <c r="I13" s="1323"/>
      <c r="J13" s="1324"/>
      <c r="K13" s="1325"/>
      <c r="Y13" s="1225"/>
      <c r="Z13" s="1252" t="s">
        <v>508</v>
      </c>
      <c r="AA13" s="1253"/>
      <c r="AB13" s="1227" t="s">
        <v>509</v>
      </c>
      <c r="AC13" s="1227" t="s">
        <v>510</v>
      </c>
      <c r="AD13" s="1233"/>
      <c r="AF13" s="1246"/>
      <c r="AG13" s="1310" t="s">
        <v>511</v>
      </c>
      <c r="AH13" s="1326" t="s">
        <v>512</v>
      </c>
      <c r="AI13" s="1327" t="s">
        <v>513</v>
      </c>
      <c r="AJ13" s="1327" t="s">
        <v>512</v>
      </c>
      <c r="AK13" s="1327" t="s">
        <v>513</v>
      </c>
      <c r="AL13" s="1327" t="s">
        <v>512</v>
      </c>
      <c r="AM13" s="1328" t="s">
        <v>513</v>
      </c>
      <c r="AN13" s="1237"/>
      <c r="AO13" s="1238"/>
      <c r="AQ13" s="1246"/>
      <c r="AR13" s="1290">
        <v>6</v>
      </c>
      <c r="AS13" s="551">
        <v>5.0099999999999999E-2</v>
      </c>
      <c r="AT13" s="552">
        <v>0.13769999999999999</v>
      </c>
      <c r="AU13" s="1237"/>
      <c r="AV13" s="1238"/>
      <c r="AW13" s="1238"/>
      <c r="AX13" s="1239"/>
      <c r="AY13" s="1329" t="s">
        <v>514</v>
      </c>
      <c r="AZ13" s="555">
        <f>ROUND((60380+9746)/277160,4)</f>
        <v>0.253</v>
      </c>
      <c r="BA13" s="555">
        <f>ROUND((60380+9746)/277160,4)</f>
        <v>0.253</v>
      </c>
      <c r="BB13" s="555">
        <f>ROUND((60380+9746)/277160,4)</f>
        <v>0.253</v>
      </c>
      <c r="BC13" s="556">
        <f>ROUND((60380+9746)/277160,4)</f>
        <v>0.253</v>
      </c>
      <c r="BD13" s="1240"/>
      <c r="BF13" s="1239"/>
      <c r="BG13" s="1329" t="s">
        <v>96</v>
      </c>
      <c r="BH13" s="1330">
        <v>0.28549999999999998</v>
      </c>
      <c r="BI13" s="1331">
        <v>2.9209000000000001</v>
      </c>
      <c r="BJ13" s="1331">
        <v>3.5526</v>
      </c>
      <c r="BK13" s="1332">
        <v>7.3121</v>
      </c>
      <c r="BL13" s="1240"/>
      <c r="BO13" s="1239"/>
      <c r="BP13" s="1295"/>
      <c r="BQ13" s="1295">
        <v>5</v>
      </c>
      <c r="BR13" s="1302">
        <v>1.3615999999999999</v>
      </c>
      <c r="BS13" s="1303">
        <v>555.43650000000002</v>
      </c>
      <c r="BT13" s="1299">
        <v>9.5899999999999999E-2</v>
      </c>
      <c r="BU13" s="1299">
        <v>7.0000000000000001E-3</v>
      </c>
      <c r="BV13" s="1299">
        <v>5.4999999999999997E-3</v>
      </c>
      <c r="BW13" s="1300">
        <v>8.6800000000000002E-2</v>
      </c>
      <c r="BX13" s="1304">
        <v>6.4999999999999997E-3</v>
      </c>
      <c r="BY13" s="1240"/>
      <c r="CA13" s="1239"/>
      <c r="CB13" s="1295"/>
      <c r="CC13" s="1295">
        <v>5</v>
      </c>
      <c r="CD13" s="1302">
        <v>0.55589999999999995</v>
      </c>
      <c r="CE13" s="1303">
        <v>330.90339999999998</v>
      </c>
      <c r="CF13" s="1299">
        <v>2.23E-2</v>
      </c>
      <c r="CG13" s="1299">
        <v>1.9E-3</v>
      </c>
      <c r="CH13" s="1299">
        <v>3.3E-3</v>
      </c>
      <c r="CI13" s="1300">
        <v>2.4899999999999999E-2</v>
      </c>
      <c r="CJ13" s="1304">
        <v>1.8E-3</v>
      </c>
      <c r="CK13" s="1240"/>
      <c r="CN13" s="1239"/>
      <c r="CO13" s="1333" t="s">
        <v>515</v>
      </c>
      <c r="CP13" s="1334">
        <v>2</v>
      </c>
      <c r="CQ13" s="1335">
        <f>ROUND(60*(1.1578/0.78)*ValueUpdate/5,0)*5</f>
        <v>90</v>
      </c>
      <c r="CR13" s="1335">
        <f>ROUND(51*(1+2%)^(2021-2020)*(1.1578/1.1385)/1.10231*ValueUpdate,0)</f>
        <v>48</v>
      </c>
      <c r="CS13" s="1336">
        <f>ROUND(13646*(1.1578/0.78)*ValueUpdate,-2)</f>
        <v>20300</v>
      </c>
      <c r="CT13" s="1336">
        <f>ROUND(110258*(1.1578/0.78)*ValueUpdate,-2)</f>
        <v>163700</v>
      </c>
      <c r="CU13" s="1336">
        <f>ROUND(55069*(1.1578/0.78)*ValueUpdate,-2)</f>
        <v>81700</v>
      </c>
      <c r="CV13" s="1337">
        <f>ROUND(954*(1.1578/0.78)*ValueUpdate/5,0)*5</f>
        <v>1415</v>
      </c>
      <c r="CW13" s="1274"/>
      <c r="CX13" s="1240"/>
      <c r="DA13" s="1239"/>
      <c r="DB13" s="1295">
        <v>0</v>
      </c>
      <c r="DC13" s="1338">
        <v>125</v>
      </c>
      <c r="DD13" s="1339">
        <v>150</v>
      </c>
      <c r="DE13" s="1340">
        <v>350</v>
      </c>
      <c r="DF13" s="1240"/>
      <c r="DH13" s="1239"/>
      <c r="DI13" s="1295">
        <v>0</v>
      </c>
      <c r="DJ13" s="1341">
        <v>1</v>
      </c>
      <c r="DK13" s="1342">
        <v>1.0249999999999999</v>
      </c>
      <c r="DL13" s="1240"/>
      <c r="DO13" s="1239"/>
      <c r="DP13" s="1343">
        <v>0</v>
      </c>
      <c r="DQ13" s="1344">
        <v>1</v>
      </c>
      <c r="DR13" s="1345">
        <v>1</v>
      </c>
      <c r="DS13" s="1240"/>
      <c r="DV13" s="1239"/>
      <c r="DW13" s="1346" t="s">
        <v>516</v>
      </c>
      <c r="DX13" s="1347">
        <v>1.024390243902439</v>
      </c>
      <c r="DY13" s="1348">
        <v>0.95033206287590888</v>
      </c>
      <c r="DZ13" s="1349">
        <v>1.0226480836236935</v>
      </c>
      <c r="EA13" s="1349">
        <v>0.95024785653448107</v>
      </c>
      <c r="EB13" s="1349">
        <v>-5.0482654714564399</v>
      </c>
      <c r="EC13" s="1349">
        <v>12.812004768254743</v>
      </c>
      <c r="ED13" s="1349">
        <v>1.3685377639581497</v>
      </c>
      <c r="EE13" s="1350">
        <v>0.73649754500818332</v>
      </c>
      <c r="EF13" s="1240"/>
      <c r="EI13" s="1351"/>
      <c r="EJ13" s="1352"/>
      <c r="EK13" s="1352"/>
      <c r="EL13" s="1352"/>
      <c r="EM13" s="1352"/>
      <c r="EN13" s="1353"/>
    </row>
    <row r="14" spans="2:144" ht="16.5" customHeight="1" thickTop="1" x14ac:dyDescent="0.3">
      <c r="I14" s="1204"/>
      <c r="R14" s="1204"/>
      <c r="S14" s="1203"/>
      <c r="V14" s="1201"/>
      <c r="W14" s="1202"/>
      <c r="Y14" s="1225"/>
      <c r="Z14" s="1252" t="s">
        <v>517</v>
      </c>
      <c r="AA14" s="1253"/>
      <c r="AB14" s="1227" t="s">
        <v>518</v>
      </c>
      <c r="AC14" s="1227" t="s">
        <v>519</v>
      </c>
      <c r="AD14" s="1233"/>
      <c r="AF14" s="1246"/>
      <c r="AG14" s="1354">
        <v>1</v>
      </c>
      <c r="AH14" s="1355">
        <v>8.5000000000000006E-2</v>
      </c>
      <c r="AI14" s="1356">
        <v>8.5000000000000006E-2</v>
      </c>
      <c r="AJ14" s="1356">
        <v>8.5000000000000006E-2</v>
      </c>
      <c r="AK14" s="1356">
        <v>8.5000000000000006E-2</v>
      </c>
      <c r="AL14" s="1356">
        <v>8.5000000000000006E-2</v>
      </c>
      <c r="AM14" s="1357">
        <v>8.5000000000000006E-2</v>
      </c>
      <c r="AN14" s="1237"/>
      <c r="AO14" s="1238"/>
      <c r="AQ14" s="1246"/>
      <c r="AR14" s="1290">
        <v>7</v>
      </c>
      <c r="AS14" s="551">
        <v>4.8800000000000003E-2</v>
      </c>
      <c r="AT14" s="552">
        <v>0.13550000000000001</v>
      </c>
      <c r="AU14" s="1237"/>
      <c r="AV14" s="1238"/>
      <c r="AW14" s="1238"/>
      <c r="AX14" s="1239"/>
      <c r="AY14" s="1358" t="s">
        <v>520</v>
      </c>
      <c r="AZ14" s="557">
        <f>ROUND((174210+18623)/277160,4)</f>
        <v>0.69569999999999999</v>
      </c>
      <c r="BA14" s="557">
        <f>ROUND((174210+18623)/277160,4)</f>
        <v>0.69569999999999999</v>
      </c>
      <c r="BB14" s="557">
        <f>ROUND((174210+18623)/277160,4)</f>
        <v>0.69569999999999999</v>
      </c>
      <c r="BC14" s="558">
        <f>ROUND((174210+18623)/277160,4)</f>
        <v>0.69569999999999999</v>
      </c>
      <c r="BD14" s="1240"/>
      <c r="BF14" s="1239"/>
      <c r="BG14" s="1358" t="s">
        <v>521</v>
      </c>
      <c r="BH14" s="1359">
        <v>0.31280000000000002</v>
      </c>
      <c r="BI14" s="1360">
        <v>4.1374000000000004</v>
      </c>
      <c r="BJ14" s="1360">
        <v>2.0522999999999998</v>
      </c>
      <c r="BK14" s="1361">
        <v>13.250500000000001</v>
      </c>
      <c r="BL14" s="1240"/>
      <c r="BO14" s="1239"/>
      <c r="BP14" s="1295"/>
      <c r="BQ14" s="1295">
        <v>6</v>
      </c>
      <c r="BR14" s="1302">
        <v>1.3409</v>
      </c>
      <c r="BS14" s="1303">
        <v>538.70389999999998</v>
      </c>
      <c r="BT14" s="1299">
        <v>9.3299999999999994E-2</v>
      </c>
      <c r="BU14" s="1299">
        <v>6.4999999999999997E-3</v>
      </c>
      <c r="BV14" s="1299">
        <v>5.3E-3</v>
      </c>
      <c r="BW14" s="1300">
        <v>7.9699999999999993E-2</v>
      </c>
      <c r="BX14" s="1304">
        <v>6.0000000000000001E-3</v>
      </c>
      <c r="BY14" s="1240"/>
      <c r="CA14" s="1239"/>
      <c r="CB14" s="1295"/>
      <c r="CC14" s="1295">
        <v>6</v>
      </c>
      <c r="CD14" s="1302">
        <v>0.55759999999999998</v>
      </c>
      <c r="CE14" s="1303">
        <v>324.70420000000001</v>
      </c>
      <c r="CF14" s="1299">
        <v>2.2100000000000002E-2</v>
      </c>
      <c r="CG14" s="1299">
        <v>1.8E-3</v>
      </c>
      <c r="CH14" s="1299">
        <v>3.2000000000000002E-3</v>
      </c>
      <c r="CI14" s="1300">
        <v>2.3300000000000001E-2</v>
      </c>
      <c r="CJ14" s="1304">
        <v>1.6000000000000001E-3</v>
      </c>
      <c r="CK14" s="1240"/>
      <c r="CN14" s="1239"/>
      <c r="CO14" s="1362" t="s">
        <v>522</v>
      </c>
      <c r="CP14" s="1363">
        <v>3</v>
      </c>
      <c r="CQ14" s="1364">
        <f>ROUND(54*(1.1578/0.78)*ValueUpdate/5,0)*5</f>
        <v>80</v>
      </c>
      <c r="CR14" s="1364">
        <f>ROUND(51*(1+2%)^(2021-2020)*(1.1578/1.1385)/1.10231*ValueUpdate,0)</f>
        <v>48</v>
      </c>
      <c r="CS14" s="1365">
        <f>ROUND(10144*(1.1578/0.78)*ValueUpdate,-2)</f>
        <v>15100</v>
      </c>
      <c r="CT14" s="1365">
        <f>ROUND(78618*(1.1578/0.78)*ValueUpdate,-2)</f>
        <v>116700</v>
      </c>
      <c r="CU14" s="1365">
        <f>ROUND(39732*(1.1578/0.78)*ValueUpdate,-2)</f>
        <v>59000</v>
      </c>
      <c r="CV14" s="1366">
        <f>ROUND(749*(1.1578/0.78)*ValueUpdate/5,0)*5</f>
        <v>1110</v>
      </c>
      <c r="CW14" s="1274"/>
      <c r="CX14" s="1240"/>
      <c r="DA14" s="1239"/>
      <c r="DB14" s="1295">
        <v>25</v>
      </c>
      <c r="DC14" s="1338">
        <v>150</v>
      </c>
      <c r="DD14" s="1339">
        <v>200</v>
      </c>
      <c r="DE14" s="1340">
        <v>500</v>
      </c>
      <c r="DF14" s="1240"/>
      <c r="DH14" s="1239"/>
      <c r="DI14" s="1295">
        <v>25</v>
      </c>
      <c r="DJ14" s="1341">
        <v>1</v>
      </c>
      <c r="DK14" s="1342">
        <v>1.0249999999999999</v>
      </c>
      <c r="DL14" s="1240"/>
      <c r="DO14" s="1239"/>
      <c r="DP14" s="1343">
        <v>2E-3</v>
      </c>
      <c r="DQ14" s="1344">
        <v>0.98199999999999998</v>
      </c>
      <c r="DR14" s="1345">
        <v>0.98799999999999999</v>
      </c>
      <c r="DS14" s="1240"/>
      <c r="DV14" s="1239"/>
      <c r="DW14" s="1346" t="s">
        <v>523</v>
      </c>
      <c r="DX14" s="1347">
        <v>1.5309734513274336</v>
      </c>
      <c r="DY14" s="1348">
        <v>0.93858158077544918</v>
      </c>
      <c r="DZ14" s="1349">
        <v>1.5339233038348083</v>
      </c>
      <c r="EA14" s="1349">
        <v>0.93652523253026121</v>
      </c>
      <c r="EB14" s="1349">
        <v>1.2055967118725646</v>
      </c>
      <c r="EC14" s="1349">
        <v>1.3795286778842835</v>
      </c>
      <c r="ED14" s="1349">
        <v>-0.36526583947602581</v>
      </c>
      <c r="EE14" s="1350">
        <v>1</v>
      </c>
      <c r="EF14" s="1240"/>
    </row>
    <row r="15" spans="2:144" ht="16.5" customHeight="1" thickBot="1" x14ac:dyDescent="0.3">
      <c r="S15" s="1203"/>
      <c r="V15" s="1201"/>
      <c r="W15" s="1202"/>
      <c r="Y15" s="1225"/>
      <c r="Z15" s="1252" t="s">
        <v>524</v>
      </c>
      <c r="AA15" s="1253"/>
      <c r="AB15" s="1227" t="s">
        <v>525</v>
      </c>
      <c r="AC15" s="1227" t="s">
        <v>526</v>
      </c>
      <c r="AD15" s="1233"/>
      <c r="AF15" s="1246"/>
      <c r="AG15" s="1295">
        <v>2</v>
      </c>
      <c r="AH15" s="1367">
        <v>0.16800000000000001</v>
      </c>
      <c r="AI15" s="1368">
        <v>0.16800000000000001</v>
      </c>
      <c r="AJ15" s="1368">
        <v>0.16800000000000001</v>
      </c>
      <c r="AK15" s="1368">
        <v>0.16800000000000001</v>
      </c>
      <c r="AL15" s="1368">
        <v>0.16800000000000001</v>
      </c>
      <c r="AM15" s="1369">
        <v>0.16800000000000001</v>
      </c>
      <c r="AN15" s="1237"/>
      <c r="AO15" s="1238"/>
      <c r="AQ15" s="1246"/>
      <c r="AR15" s="1290">
        <v>8</v>
      </c>
      <c r="AS15" s="551">
        <v>4.7600000000000003E-2</v>
      </c>
      <c r="AT15" s="552">
        <v>0.1333</v>
      </c>
      <c r="AU15" s="1237"/>
      <c r="AV15" s="1238"/>
      <c r="AW15" s="1238"/>
      <c r="AX15" s="1351"/>
      <c r="AY15" s="1352"/>
      <c r="AZ15" s="1352"/>
      <c r="BA15" s="1352"/>
      <c r="BB15" s="1352"/>
      <c r="BC15" s="1352"/>
      <c r="BD15" s="1353"/>
      <c r="BF15" s="1351"/>
      <c r="BG15" s="1352"/>
      <c r="BH15" s="1352"/>
      <c r="BI15" s="1352"/>
      <c r="BJ15" s="1352"/>
      <c r="BK15" s="1352"/>
      <c r="BL15" s="1353"/>
      <c r="BO15" s="1239"/>
      <c r="BP15" s="1295"/>
      <c r="BQ15" s="1295">
        <v>7</v>
      </c>
      <c r="BR15" s="1302">
        <v>1.3206</v>
      </c>
      <c r="BS15" s="1303">
        <v>522.47540000000004</v>
      </c>
      <c r="BT15" s="1299">
        <v>9.0700000000000003E-2</v>
      </c>
      <c r="BU15" s="1299">
        <v>6.0000000000000001E-3</v>
      </c>
      <c r="BV15" s="1299">
        <v>5.1999999999999998E-3</v>
      </c>
      <c r="BW15" s="1300">
        <v>7.3200000000000001E-2</v>
      </c>
      <c r="BX15" s="1304">
        <v>5.4999999999999997E-3</v>
      </c>
      <c r="BY15" s="1240"/>
      <c r="CA15" s="1239"/>
      <c r="CB15" s="1295"/>
      <c r="CC15" s="1295">
        <v>7</v>
      </c>
      <c r="CD15" s="1302">
        <v>0.55940000000000001</v>
      </c>
      <c r="CE15" s="1303">
        <v>318.62099999999998</v>
      </c>
      <c r="CF15" s="1299">
        <v>2.1899999999999999E-2</v>
      </c>
      <c r="CG15" s="1299">
        <v>1.6999999999999999E-3</v>
      </c>
      <c r="CH15" s="1299">
        <v>3.0999999999999999E-3</v>
      </c>
      <c r="CI15" s="1300">
        <v>2.1700000000000001E-2</v>
      </c>
      <c r="CJ15" s="1304">
        <v>1.5E-3</v>
      </c>
      <c r="CK15" s="1240"/>
      <c r="CN15" s="1239"/>
      <c r="CO15" s="1205"/>
      <c r="CP15" s="1370"/>
      <c r="CQ15" s="1274"/>
      <c r="CR15" s="1274"/>
      <c r="CS15" s="1274"/>
      <c r="CT15" s="1274"/>
      <c r="CU15" s="1274"/>
      <c r="CV15" s="1274"/>
      <c r="CW15" s="1274"/>
      <c r="CX15" s="1240"/>
      <c r="DA15" s="1239"/>
      <c r="DB15" s="1295">
        <v>50</v>
      </c>
      <c r="DC15" s="1338">
        <v>175</v>
      </c>
      <c r="DD15" s="1339">
        <v>250</v>
      </c>
      <c r="DE15" s="1340">
        <v>675</v>
      </c>
      <c r="DF15" s="1240"/>
      <c r="DH15" s="1239"/>
      <c r="DI15" s="1295">
        <v>50</v>
      </c>
      <c r="DJ15" s="1341">
        <v>1</v>
      </c>
      <c r="DK15" s="1342">
        <v>1.0249999999999999</v>
      </c>
      <c r="DL15" s="1240"/>
      <c r="DO15" s="1239"/>
      <c r="DP15" s="1343">
        <v>4.0000000000000001E-3</v>
      </c>
      <c r="DQ15" s="1344">
        <v>0.96399999999999997</v>
      </c>
      <c r="DR15" s="1345">
        <v>0.97599999999999998</v>
      </c>
      <c r="DS15" s="1240"/>
      <c r="DV15" s="1239"/>
      <c r="DW15" s="1346" t="s">
        <v>527</v>
      </c>
      <c r="DX15" s="1347">
        <v>0.87631975867269996</v>
      </c>
      <c r="DY15" s="1348">
        <v>1.1787414968749441</v>
      </c>
      <c r="DZ15" s="1349">
        <v>0.97934595524956969</v>
      </c>
      <c r="EA15" s="1349">
        <v>0.95560600171461807</v>
      </c>
      <c r="EB15" s="1349">
        <v>0.51279967249004688</v>
      </c>
      <c r="EC15" s="1349">
        <v>0.14821287797598934</v>
      </c>
      <c r="ED15" s="1349">
        <v>5.8798924429168148E-2</v>
      </c>
      <c r="EE15" s="1350">
        <v>0.73649754500818332</v>
      </c>
      <c r="EF15" s="1240"/>
      <c r="EI15" s="1371" t="s">
        <v>880</v>
      </c>
    </row>
    <row r="16" spans="2:144" ht="16.5" customHeight="1" thickTop="1" x14ac:dyDescent="0.3">
      <c r="U16" s="1202"/>
      <c r="V16" s="1201"/>
      <c r="W16" s="1212"/>
      <c r="Y16" s="1225"/>
      <c r="Z16" s="1252" t="s">
        <v>528</v>
      </c>
      <c r="AA16" s="1253"/>
      <c r="AB16" s="1227" t="s">
        <v>529</v>
      </c>
      <c r="AC16" s="1227" t="s">
        <v>519</v>
      </c>
      <c r="AD16" s="1233"/>
      <c r="AF16" s="1246"/>
      <c r="AG16" s="1295">
        <v>3</v>
      </c>
      <c r="AH16" s="1367">
        <v>0.25</v>
      </c>
      <c r="AI16" s="1368">
        <v>0.25</v>
      </c>
      <c r="AJ16" s="1368">
        <v>0.25</v>
      </c>
      <c r="AK16" s="1368">
        <v>0.25</v>
      </c>
      <c r="AL16" s="1368">
        <v>0.25</v>
      </c>
      <c r="AM16" s="1369">
        <v>0.25</v>
      </c>
      <c r="AN16" s="1237"/>
      <c r="AO16" s="1238"/>
      <c r="AQ16" s="1246"/>
      <c r="AR16" s="1290">
        <v>9</v>
      </c>
      <c r="AS16" s="551">
        <v>4.6399999999999997E-2</v>
      </c>
      <c r="AT16" s="552">
        <v>0.13120000000000001</v>
      </c>
      <c r="AU16" s="1237"/>
      <c r="AV16" s="1238"/>
      <c r="AW16" s="1238"/>
      <c r="AX16" s="1238"/>
      <c r="AY16" s="1238"/>
      <c r="AZ16" s="1238"/>
      <c r="BA16" s="1238"/>
      <c r="BB16" s="1238"/>
      <c r="BC16" s="1238"/>
      <c r="BD16" s="1238"/>
      <c r="BO16" s="1239"/>
      <c r="BP16" s="1295"/>
      <c r="BQ16" s="1295">
        <v>8</v>
      </c>
      <c r="BR16" s="1302">
        <v>1.3005</v>
      </c>
      <c r="BS16" s="1303">
        <v>506.73579999999998</v>
      </c>
      <c r="BT16" s="1299">
        <v>8.8099999999999998E-2</v>
      </c>
      <c r="BU16" s="1299">
        <v>5.4999999999999997E-3</v>
      </c>
      <c r="BV16" s="1299">
        <v>5.0000000000000001E-3</v>
      </c>
      <c r="BW16" s="1300">
        <v>6.7199999999999996E-2</v>
      </c>
      <c r="BX16" s="1304">
        <v>5.1000000000000004E-3</v>
      </c>
      <c r="BY16" s="1240"/>
      <c r="CA16" s="1239"/>
      <c r="CB16" s="1295"/>
      <c r="CC16" s="1295">
        <v>8</v>
      </c>
      <c r="CD16" s="1302">
        <v>0.56120000000000003</v>
      </c>
      <c r="CE16" s="1303">
        <v>312.65179999999998</v>
      </c>
      <c r="CF16" s="1299">
        <v>2.18E-2</v>
      </c>
      <c r="CG16" s="1299">
        <v>1.6000000000000001E-3</v>
      </c>
      <c r="CH16" s="1299">
        <v>3.0999999999999999E-3</v>
      </c>
      <c r="CI16" s="1300">
        <v>2.0299999999999999E-2</v>
      </c>
      <c r="CJ16" s="1304">
        <v>1.4E-3</v>
      </c>
      <c r="CK16" s="1240"/>
      <c r="CN16" s="1239"/>
      <c r="CO16" s="1205"/>
      <c r="CP16" s="1370"/>
      <c r="CQ16" s="1372" t="s">
        <v>530</v>
      </c>
      <c r="CR16" s="1373">
        <v>0.02</v>
      </c>
      <c r="CS16" s="1274" t="s">
        <v>531</v>
      </c>
      <c r="CT16" s="1274"/>
      <c r="CU16" s="1274"/>
      <c r="CV16" s="1274"/>
      <c r="CW16" s="1274"/>
      <c r="CX16" s="1240"/>
      <c r="DA16" s="1239"/>
      <c r="DB16" s="1295">
        <v>75</v>
      </c>
      <c r="DC16" s="1338">
        <v>200</v>
      </c>
      <c r="DD16" s="1339">
        <v>300</v>
      </c>
      <c r="DE16" s="1340">
        <v>750</v>
      </c>
      <c r="DF16" s="1240"/>
      <c r="DH16" s="1239"/>
      <c r="DI16" s="1295">
        <v>75</v>
      </c>
      <c r="DJ16" s="1341">
        <v>1</v>
      </c>
      <c r="DK16" s="1342">
        <v>1.0249999999999999</v>
      </c>
      <c r="DL16" s="1240"/>
      <c r="DO16" s="1239"/>
      <c r="DP16" s="1343">
        <v>6.0000000000000001E-3</v>
      </c>
      <c r="DQ16" s="1344">
        <v>0.94499999999999995</v>
      </c>
      <c r="DR16" s="1345">
        <v>0.96399999999999997</v>
      </c>
      <c r="DS16" s="1240"/>
      <c r="DV16" s="1239"/>
      <c r="DW16" s="1346" t="s">
        <v>532</v>
      </c>
      <c r="DX16" s="1347">
        <v>1.0063897763578276</v>
      </c>
      <c r="DY16" s="1348">
        <v>0.97248628615245469</v>
      </c>
      <c r="DZ16" s="1349">
        <v>1.0095846645367412</v>
      </c>
      <c r="EA16" s="1349">
        <v>0.94610556221859576</v>
      </c>
      <c r="EB16" s="1349">
        <v>0.29570448855547743</v>
      </c>
      <c r="EC16" s="1349">
        <v>0.31261145032655596</v>
      </c>
      <c r="ED16" s="1349">
        <v>0.3020072068746259</v>
      </c>
      <c r="EE16" s="1350">
        <v>1</v>
      </c>
      <c r="EF16" s="1240"/>
      <c r="EI16" s="1371"/>
      <c r="EJ16" s="1371" t="s">
        <v>881</v>
      </c>
    </row>
    <row r="17" spans="2:143" ht="16.5" thickBot="1" x14ac:dyDescent="0.3">
      <c r="B17" s="1207" t="s">
        <v>533</v>
      </c>
      <c r="C17" s="1374"/>
      <c r="D17" s="1375"/>
      <c r="E17" s="1209"/>
      <c r="F17" s="1376"/>
      <c r="G17" s="1211"/>
      <c r="H17" s="1212"/>
      <c r="I17" s="1207" t="s">
        <v>534</v>
      </c>
      <c r="J17" s="1374"/>
      <c r="K17" s="1375"/>
      <c r="L17" s="1209"/>
      <c r="M17" s="1376"/>
      <c r="N17" s="1376"/>
      <c r="O17" s="1376"/>
      <c r="P17" s="1211"/>
      <c r="Q17" s="1212"/>
      <c r="R17" s="1377" t="s">
        <v>535</v>
      </c>
      <c r="S17" s="1378"/>
      <c r="T17" s="1379"/>
      <c r="U17" s="1380"/>
      <c r="V17" s="1381"/>
      <c r="W17" s="1382"/>
      <c r="X17" s="1212"/>
      <c r="Y17" s="1225"/>
      <c r="Z17" s="1252" t="s">
        <v>536</v>
      </c>
      <c r="AA17" s="1253"/>
      <c r="AB17" s="1227" t="s">
        <v>537</v>
      </c>
      <c r="AC17" s="1227" t="s">
        <v>538</v>
      </c>
      <c r="AD17" s="1233"/>
      <c r="AF17" s="1246"/>
      <c r="AG17" s="1295">
        <v>4</v>
      </c>
      <c r="AH17" s="1367">
        <v>0.32800000000000001</v>
      </c>
      <c r="AI17" s="1368">
        <v>0.32800000000000001</v>
      </c>
      <c r="AJ17" s="1368">
        <v>0.32800000000000001</v>
      </c>
      <c r="AK17" s="1368">
        <v>0.32800000000000001</v>
      </c>
      <c r="AL17" s="1368">
        <v>0.32800000000000001</v>
      </c>
      <c r="AM17" s="1369">
        <v>0.32800000000000001</v>
      </c>
      <c r="AN17" s="1237"/>
      <c r="AO17" s="1238"/>
      <c r="AQ17" s="1246"/>
      <c r="AR17" s="1290">
        <v>10</v>
      </c>
      <c r="AS17" s="551">
        <v>4.5199999999999997E-2</v>
      </c>
      <c r="AT17" s="552">
        <v>0.12909999999999999</v>
      </c>
      <c r="AU17" s="1237"/>
      <c r="AV17" s="1238"/>
      <c r="AW17" s="1238"/>
      <c r="AX17" s="1371" t="s">
        <v>882</v>
      </c>
      <c r="AY17" s="1238"/>
      <c r="AZ17" s="1238"/>
      <c r="BA17" s="1238"/>
      <c r="BB17" s="1238"/>
      <c r="BC17" s="1238"/>
      <c r="BD17" s="1238"/>
      <c r="BF17" s="714" t="s">
        <v>883</v>
      </c>
      <c r="BG17" s="715"/>
      <c r="BO17" s="1239"/>
      <c r="BP17" s="1295"/>
      <c r="BQ17" s="1295">
        <v>9</v>
      </c>
      <c r="BR17" s="1302">
        <v>1.2806999999999999</v>
      </c>
      <c r="BS17" s="1303">
        <v>491.47030000000001</v>
      </c>
      <c r="BT17" s="1299">
        <v>8.5699999999999998E-2</v>
      </c>
      <c r="BU17" s="1299">
        <v>5.1000000000000004E-3</v>
      </c>
      <c r="BV17" s="1299">
        <v>4.8999999999999998E-3</v>
      </c>
      <c r="BW17" s="1300">
        <v>6.1699999999999998E-2</v>
      </c>
      <c r="BX17" s="1304">
        <v>4.7000000000000002E-3</v>
      </c>
      <c r="BY17" s="1240"/>
      <c r="CA17" s="1239"/>
      <c r="CB17" s="1295"/>
      <c r="CC17" s="1295">
        <v>9</v>
      </c>
      <c r="CD17" s="1302">
        <v>0.56299999999999994</v>
      </c>
      <c r="CE17" s="1303">
        <v>306.79450000000003</v>
      </c>
      <c r="CF17" s="1299">
        <v>2.1600000000000001E-2</v>
      </c>
      <c r="CG17" s="1299">
        <v>1.4E-3</v>
      </c>
      <c r="CH17" s="1299">
        <v>3.0000000000000001E-3</v>
      </c>
      <c r="CI17" s="1300">
        <v>1.89E-2</v>
      </c>
      <c r="CJ17" s="1304">
        <v>1.2999999999999999E-3</v>
      </c>
      <c r="CK17" s="1240"/>
      <c r="CN17" s="1351"/>
      <c r="CO17" s="1352"/>
      <c r="CP17" s="1352"/>
      <c r="CQ17" s="1352"/>
      <c r="CR17" s="1352"/>
      <c r="CS17" s="1352"/>
      <c r="CT17" s="1352"/>
      <c r="CU17" s="1352"/>
      <c r="CV17" s="1352"/>
      <c r="CW17" s="1352"/>
      <c r="CX17" s="1353"/>
      <c r="DA17" s="1239"/>
      <c r="DB17" s="1295">
        <v>100</v>
      </c>
      <c r="DC17" s="1338">
        <v>275</v>
      </c>
      <c r="DD17" s="1339">
        <v>400</v>
      </c>
      <c r="DE17" s="1340">
        <v>750</v>
      </c>
      <c r="DF17" s="1240"/>
      <c r="DH17" s="1239"/>
      <c r="DI17" s="1295">
        <v>100</v>
      </c>
      <c r="DJ17" s="1341">
        <v>1</v>
      </c>
      <c r="DK17" s="1342">
        <v>1.0249999999999999</v>
      </c>
      <c r="DL17" s="1240"/>
      <c r="DO17" s="1239"/>
      <c r="DP17" s="1343">
        <v>8.0000000000000002E-3</v>
      </c>
      <c r="DQ17" s="1344">
        <v>0.92700000000000005</v>
      </c>
      <c r="DR17" s="1345">
        <v>0.95199999999999996</v>
      </c>
      <c r="DS17" s="1240"/>
      <c r="DV17" s="1239"/>
      <c r="DW17" s="1346" t="s">
        <v>539</v>
      </c>
      <c r="DX17" s="1347">
        <v>1</v>
      </c>
      <c r="DY17" s="1348">
        <v>1</v>
      </c>
      <c r="DZ17" s="1349">
        <v>1</v>
      </c>
      <c r="EA17" s="1349">
        <v>1</v>
      </c>
      <c r="EB17" s="1349">
        <v>0</v>
      </c>
      <c r="EC17" s="1349">
        <v>0</v>
      </c>
      <c r="ED17" s="1349">
        <v>0</v>
      </c>
      <c r="EE17" s="1350">
        <v>1</v>
      </c>
      <c r="EF17" s="1240"/>
    </row>
    <row r="18" spans="2:143" ht="17.25" thickTop="1" thickBot="1" x14ac:dyDescent="0.3">
      <c r="B18" s="657"/>
      <c r="C18" s="1383"/>
      <c r="D18" s="658"/>
      <c r="E18" s="1384" t="s">
        <v>49</v>
      </c>
      <c r="F18" s="1384" t="s">
        <v>540</v>
      </c>
      <c r="G18" s="1385"/>
      <c r="I18" s="1386"/>
      <c r="J18" s="1227"/>
      <c r="K18" s="1227"/>
      <c r="L18" s="1227"/>
      <c r="M18" s="1384" t="s">
        <v>49</v>
      </c>
      <c r="N18" s="1384" t="s">
        <v>540</v>
      </c>
      <c r="O18" s="1384"/>
      <c r="P18" s="1229"/>
      <c r="Q18" s="1212"/>
      <c r="R18" s="657"/>
      <c r="S18" s="658"/>
      <c r="T18" s="658"/>
      <c r="U18" s="1387"/>
      <c r="V18" s="1388"/>
      <c r="W18" s="1389"/>
      <c r="X18" s="1212"/>
      <c r="Y18" s="1225"/>
      <c r="Z18" s="1252" t="s">
        <v>541</v>
      </c>
      <c r="AA18" s="1253"/>
      <c r="AB18" s="1227" t="s">
        <v>542</v>
      </c>
      <c r="AC18" s="1227" t="s">
        <v>543</v>
      </c>
      <c r="AD18" s="1233"/>
      <c r="AF18" s="1246"/>
      <c r="AG18" s="1295">
        <v>5</v>
      </c>
      <c r="AH18" s="1367">
        <v>0.40300000000000002</v>
      </c>
      <c r="AI18" s="1368">
        <v>0.40300000000000002</v>
      </c>
      <c r="AJ18" s="1368">
        <v>0.40300000000000002</v>
      </c>
      <c r="AK18" s="1368">
        <v>0.40300000000000002</v>
      </c>
      <c r="AL18" s="1368">
        <v>0.40300000000000002</v>
      </c>
      <c r="AM18" s="1369">
        <v>0.40300000000000002</v>
      </c>
      <c r="AN18" s="1237"/>
      <c r="AO18" s="1238"/>
      <c r="AQ18" s="1246"/>
      <c r="AR18" s="1290">
        <v>11</v>
      </c>
      <c r="AS18" s="551">
        <v>4.2900000000000001E-2</v>
      </c>
      <c r="AT18" s="552">
        <v>0.12379999999999999</v>
      </c>
      <c r="AU18" s="1237"/>
      <c r="AV18" s="1238"/>
      <c r="AW18" s="1238"/>
      <c r="AX18" s="1238"/>
      <c r="AY18" s="1238"/>
      <c r="AZ18" s="1238"/>
      <c r="BA18" s="1238"/>
      <c r="BB18" s="1238"/>
      <c r="BC18" s="1238"/>
      <c r="BD18" s="1238"/>
      <c r="BF18" s="715"/>
      <c r="BG18" s="714" t="s">
        <v>884</v>
      </c>
      <c r="BO18" s="1239"/>
      <c r="BP18" s="1295"/>
      <c r="BQ18" s="1295">
        <v>10</v>
      </c>
      <c r="BR18" s="1302">
        <v>1.2613000000000001</v>
      </c>
      <c r="BS18" s="1303">
        <v>476.66469999999998</v>
      </c>
      <c r="BT18" s="1299">
        <v>8.3299999999999999E-2</v>
      </c>
      <c r="BU18" s="1299">
        <v>4.7000000000000002E-3</v>
      </c>
      <c r="BV18" s="1299">
        <v>4.7000000000000002E-3</v>
      </c>
      <c r="BW18" s="1300">
        <v>5.67E-2</v>
      </c>
      <c r="BX18" s="1304">
        <v>4.3E-3</v>
      </c>
      <c r="BY18" s="1240"/>
      <c r="CA18" s="1239"/>
      <c r="CB18" s="1295"/>
      <c r="CC18" s="1295">
        <v>10</v>
      </c>
      <c r="CD18" s="1302">
        <v>0.56469999999999998</v>
      </c>
      <c r="CE18" s="1303">
        <v>301.04689999999999</v>
      </c>
      <c r="CF18" s="1299">
        <v>2.1399999999999999E-2</v>
      </c>
      <c r="CG18" s="1299">
        <v>1.4E-3</v>
      </c>
      <c r="CH18" s="1299">
        <v>3.0000000000000001E-3</v>
      </c>
      <c r="CI18" s="1300">
        <v>1.77E-2</v>
      </c>
      <c r="CJ18" s="1304">
        <v>1.1999999999999999E-3</v>
      </c>
      <c r="CK18" s="1240"/>
      <c r="DA18" s="1239"/>
      <c r="DB18" s="1295">
        <v>125</v>
      </c>
      <c r="DC18" s="1338">
        <v>325</v>
      </c>
      <c r="DD18" s="1339">
        <v>475</v>
      </c>
      <c r="DE18" s="1340">
        <v>750</v>
      </c>
      <c r="DF18" s="1240"/>
      <c r="DH18" s="1239"/>
      <c r="DI18" s="1295">
        <v>125</v>
      </c>
      <c r="DJ18" s="1341">
        <v>1</v>
      </c>
      <c r="DK18" s="1342">
        <v>1.0249999999999999</v>
      </c>
      <c r="DL18" s="1240"/>
      <c r="DO18" s="1239"/>
      <c r="DP18" s="1343">
        <v>0.01</v>
      </c>
      <c r="DQ18" s="1344">
        <v>0.90900000000000003</v>
      </c>
      <c r="DR18" s="1345">
        <v>0.93899999999999995</v>
      </c>
      <c r="DS18" s="1240"/>
      <c r="DV18" s="1239"/>
      <c r="DW18" s="1346" t="s">
        <v>544</v>
      </c>
      <c r="DX18" s="1347">
        <f>1/1.025</f>
        <v>0.97560975609756106</v>
      </c>
      <c r="DY18" s="1348">
        <f>1/0.967507287790243</f>
        <v>1.0335839456919951</v>
      </c>
      <c r="DZ18" s="1349">
        <v>1</v>
      </c>
      <c r="EA18" s="1349">
        <v>1</v>
      </c>
      <c r="EB18" s="1349">
        <v>-7.3566477910576925E-2</v>
      </c>
      <c r="EC18" s="1349">
        <v>-3.0716152193242731E-2</v>
      </c>
      <c r="ED18" s="1349">
        <v>-6.9602992603797764E-2</v>
      </c>
      <c r="EE18" s="1390"/>
      <c r="EF18" s="1240"/>
      <c r="EG18" s="1212">
        <v>27</v>
      </c>
    </row>
    <row r="19" spans="2:143" ht="16.5" thickTop="1" x14ac:dyDescent="0.25">
      <c r="B19" s="1225"/>
      <c r="C19" s="1241" t="s">
        <v>545</v>
      </c>
      <c r="D19" s="1226"/>
      <c r="E19" s="560">
        <f>31.61*(148.1/144.3)*ValueUpdate</f>
        <v>32.442418572418568</v>
      </c>
      <c r="F19" s="1245" t="s">
        <v>546</v>
      </c>
      <c r="G19" s="1391"/>
      <c r="H19" s="1212">
        <v>3</v>
      </c>
      <c r="I19" s="1386"/>
      <c r="J19" s="1241" t="s">
        <v>547</v>
      </c>
      <c r="K19" s="1226"/>
      <c r="L19" s="1227"/>
      <c r="M19" s="1392">
        <v>1.56</v>
      </c>
      <c r="N19" s="1245" t="s">
        <v>548</v>
      </c>
      <c r="O19" s="1245"/>
      <c r="P19" s="1229"/>
      <c r="Q19" s="1212">
        <v>16</v>
      </c>
      <c r="R19" s="657"/>
      <c r="S19" s="1393" t="s">
        <v>549</v>
      </c>
      <c r="T19" s="1226"/>
      <c r="U19" s="1384" t="s">
        <v>49</v>
      </c>
      <c r="V19" s="1384" t="s">
        <v>540</v>
      </c>
      <c r="W19" s="1389"/>
      <c r="X19" s="1212"/>
      <c r="Y19" s="1225"/>
      <c r="Z19" s="1227"/>
      <c r="AA19" s="658"/>
      <c r="AB19" s="1227"/>
      <c r="AC19" s="1227"/>
      <c r="AD19" s="1233"/>
      <c r="AF19" s="1246"/>
      <c r="AG19" s="1295">
        <v>6</v>
      </c>
      <c r="AH19" s="1367">
        <v>0.47400000000000003</v>
      </c>
      <c r="AI19" s="1368">
        <v>0.47400000000000003</v>
      </c>
      <c r="AJ19" s="1368">
        <v>0.47400000000000003</v>
      </c>
      <c r="AK19" s="1368">
        <v>0.47400000000000003</v>
      </c>
      <c r="AL19" s="1368">
        <v>0.47400000000000003</v>
      </c>
      <c r="AM19" s="1369">
        <v>0.47400000000000003</v>
      </c>
      <c r="AN19" s="1237"/>
      <c r="AO19" s="1238"/>
      <c r="AQ19" s="1246"/>
      <c r="AR19" s="1290">
        <v>12</v>
      </c>
      <c r="AS19" s="551">
        <v>4.07E-2</v>
      </c>
      <c r="AT19" s="552">
        <v>0.1186</v>
      </c>
      <c r="AU19" s="1237"/>
      <c r="AV19" s="1238"/>
      <c r="AW19" s="1238"/>
      <c r="AX19" s="1238"/>
      <c r="AY19" s="1238"/>
      <c r="AZ19" s="1238"/>
      <c r="BA19" s="1238"/>
      <c r="BB19" s="1238"/>
      <c r="BC19" s="1238"/>
      <c r="BD19" s="1238"/>
      <c r="BG19" s="1371"/>
      <c r="BO19" s="1239"/>
      <c r="BP19" s="1295"/>
      <c r="BQ19" s="1295">
        <v>11</v>
      </c>
      <c r="BR19" s="1302">
        <v>1.2222999999999999</v>
      </c>
      <c r="BS19" s="1303">
        <v>452.58</v>
      </c>
      <c r="BT19" s="1299">
        <v>8.0399999999999999E-2</v>
      </c>
      <c r="BU19" s="1299">
        <v>4.3E-3</v>
      </c>
      <c r="BV19" s="1299">
        <v>4.4999999999999997E-3</v>
      </c>
      <c r="BW19" s="1300">
        <v>5.1799999999999999E-2</v>
      </c>
      <c r="BX19" s="1304">
        <v>3.8999999999999998E-3</v>
      </c>
      <c r="BY19" s="1240"/>
      <c r="CA19" s="1239"/>
      <c r="CB19" s="1295"/>
      <c r="CC19" s="1295">
        <v>11</v>
      </c>
      <c r="CD19" s="1302">
        <v>0.54790000000000005</v>
      </c>
      <c r="CE19" s="1303">
        <v>285.95350000000002</v>
      </c>
      <c r="CF19" s="1299">
        <v>2.06E-2</v>
      </c>
      <c r="CG19" s="1299">
        <v>1.1999999999999999E-3</v>
      </c>
      <c r="CH19" s="1299">
        <v>2.8E-3</v>
      </c>
      <c r="CI19" s="1300">
        <v>1.61E-2</v>
      </c>
      <c r="CJ19" s="1304">
        <v>1.1000000000000001E-3</v>
      </c>
      <c r="CK19" s="1240"/>
      <c r="CN19" s="1371" t="s">
        <v>550</v>
      </c>
      <c r="DA19" s="1239"/>
      <c r="DB19" s="1295">
        <v>150</v>
      </c>
      <c r="DC19" s="1338">
        <v>400</v>
      </c>
      <c r="DD19" s="1339">
        <v>575</v>
      </c>
      <c r="DE19" s="1340">
        <v>750</v>
      </c>
      <c r="DF19" s="1240"/>
      <c r="DH19" s="1239"/>
      <c r="DI19" s="1295">
        <v>150</v>
      </c>
      <c r="DJ19" s="1341">
        <v>1</v>
      </c>
      <c r="DK19" s="1342">
        <v>1.0129999999999999</v>
      </c>
      <c r="DL19" s="1240"/>
      <c r="DO19" s="1239"/>
      <c r="DP19" s="1343">
        <v>1.2E-2</v>
      </c>
      <c r="DQ19" s="1344">
        <v>0.89100000000000001</v>
      </c>
      <c r="DR19" s="1345">
        <v>0.92700000000000005</v>
      </c>
      <c r="DS19" s="1240"/>
      <c r="DV19" s="1239"/>
      <c r="DW19" s="1346" t="s">
        <v>551</v>
      </c>
      <c r="DX19" s="1347">
        <f>1/1.05014749262537</f>
        <v>0.95224719101123478</v>
      </c>
      <c r="DY19" s="1348">
        <f>1/0.972697289554735</f>
        <v>1.0280690721958967</v>
      </c>
      <c r="DZ19" s="1349">
        <v>1</v>
      </c>
      <c r="EA19" s="1349">
        <v>1</v>
      </c>
      <c r="EB19" s="1349">
        <v>-1.4815053347415766E-3</v>
      </c>
      <c r="EC19" s="1349">
        <v>-1.3238335688661946E-3</v>
      </c>
      <c r="ED19" s="1349">
        <v>5.6743741804302186</v>
      </c>
      <c r="EE19" s="1390"/>
      <c r="EF19" s="1240"/>
      <c r="EG19" s="1212">
        <v>27</v>
      </c>
      <c r="EI19" s="1222"/>
      <c r="EJ19" s="1223"/>
      <c r="EK19" s="1223"/>
      <c r="EL19" s="1224"/>
    </row>
    <row r="20" spans="2:143" ht="16.5" thickBot="1" x14ac:dyDescent="0.3">
      <c r="B20" s="1225"/>
      <c r="C20" s="1241"/>
      <c r="D20" s="1226"/>
      <c r="E20" s="658"/>
      <c r="F20" s="1394"/>
      <c r="G20" s="1229"/>
      <c r="H20" s="1212"/>
      <c r="I20" s="1386"/>
      <c r="J20" s="1227"/>
      <c r="K20" s="1227"/>
      <c r="L20" s="1227"/>
      <c r="M20" s="1227"/>
      <c r="N20" s="1227"/>
      <c r="O20" s="1227"/>
      <c r="P20" s="1229"/>
      <c r="Q20" s="1212"/>
      <c r="R20" s="657"/>
      <c r="S20" s="1241"/>
      <c r="T20" s="1395" t="s">
        <v>552</v>
      </c>
      <c r="U20" s="561">
        <v>365</v>
      </c>
      <c r="V20" s="1228" t="s">
        <v>553</v>
      </c>
      <c r="W20" s="1389"/>
      <c r="X20" s="1212"/>
      <c r="Y20" s="1225"/>
      <c r="Z20" s="1241" t="s">
        <v>554</v>
      </c>
      <c r="AA20" s="1245"/>
      <c r="AB20" s="1227"/>
      <c r="AC20" s="1227" t="s">
        <v>555</v>
      </c>
      <c r="AD20" s="1233"/>
      <c r="AF20" s="1246"/>
      <c r="AG20" s="1295">
        <v>7</v>
      </c>
      <c r="AH20" s="1367">
        <v>0.54200000000000004</v>
      </c>
      <c r="AI20" s="1368">
        <v>0.54200000000000004</v>
      </c>
      <c r="AJ20" s="1368">
        <v>0.54200000000000004</v>
      </c>
      <c r="AK20" s="1368">
        <v>0.54200000000000004</v>
      </c>
      <c r="AL20" s="1368">
        <v>0.54200000000000004</v>
      </c>
      <c r="AM20" s="1369">
        <v>0.54200000000000004</v>
      </c>
      <c r="AN20" s="1237"/>
      <c r="AO20" s="1238"/>
      <c r="AQ20" s="1246"/>
      <c r="AR20" s="1290">
        <v>13</v>
      </c>
      <c r="AS20" s="551">
        <v>3.8699999999999998E-2</v>
      </c>
      <c r="AT20" s="552">
        <v>0.1137</v>
      </c>
      <c r="AU20" s="1237"/>
      <c r="AV20" s="1238"/>
      <c r="AW20" s="1238"/>
      <c r="BM20" s="1396"/>
      <c r="BO20" s="1239"/>
      <c r="BP20" s="1295"/>
      <c r="BQ20" s="1295">
        <v>12</v>
      </c>
      <c r="BR20" s="1302">
        <v>1.1846000000000001</v>
      </c>
      <c r="BS20" s="1303">
        <v>429.7124</v>
      </c>
      <c r="BT20" s="1299">
        <v>7.7499999999999999E-2</v>
      </c>
      <c r="BU20" s="1299">
        <v>3.8999999999999998E-3</v>
      </c>
      <c r="BV20" s="1299">
        <v>4.1999999999999997E-3</v>
      </c>
      <c r="BW20" s="1300">
        <v>4.7300000000000002E-2</v>
      </c>
      <c r="BX20" s="1304">
        <v>3.5999999999999999E-3</v>
      </c>
      <c r="BY20" s="1240"/>
      <c r="CA20" s="1239"/>
      <c r="CB20" s="1295"/>
      <c r="CC20" s="1295">
        <v>12</v>
      </c>
      <c r="CD20" s="1302">
        <v>0.53149999999999997</v>
      </c>
      <c r="CE20" s="1303">
        <v>271.61689999999999</v>
      </c>
      <c r="CF20" s="1299">
        <v>1.9900000000000001E-2</v>
      </c>
      <c r="CG20" s="1299">
        <v>1.1000000000000001E-3</v>
      </c>
      <c r="CH20" s="1299">
        <v>2.7000000000000001E-3</v>
      </c>
      <c r="CI20" s="1300">
        <v>1.47E-2</v>
      </c>
      <c r="CJ20" s="1304">
        <v>1E-3</v>
      </c>
      <c r="CK20" s="1240"/>
      <c r="CO20" s="1371" t="s">
        <v>885</v>
      </c>
      <c r="DA20" s="1239"/>
      <c r="DB20" s="1295">
        <v>175</v>
      </c>
      <c r="DC20" s="1338">
        <v>500</v>
      </c>
      <c r="DD20" s="1339">
        <v>700</v>
      </c>
      <c r="DE20" s="1340">
        <v>750</v>
      </c>
      <c r="DF20" s="1240"/>
      <c r="DH20" s="1239"/>
      <c r="DI20" s="1295">
        <v>175</v>
      </c>
      <c r="DJ20" s="1341">
        <v>1</v>
      </c>
      <c r="DK20" s="1342">
        <v>1</v>
      </c>
      <c r="DL20" s="1240"/>
      <c r="DO20" s="1239"/>
      <c r="DP20" s="1343">
        <v>1.4E-2</v>
      </c>
      <c r="DQ20" s="1344">
        <v>0.873</v>
      </c>
      <c r="DR20" s="1345">
        <v>0.91500000000000004</v>
      </c>
      <c r="DS20" s="1240"/>
      <c r="DV20" s="1239"/>
      <c r="DW20" s="1346" t="s">
        <v>556</v>
      </c>
      <c r="DX20" s="1347">
        <v>1</v>
      </c>
      <c r="DY20" s="1348">
        <v>1</v>
      </c>
      <c r="DZ20" s="1349">
        <v>1.0249999999999999</v>
      </c>
      <c r="EA20" s="1349">
        <v>0.96750728779024331</v>
      </c>
      <c r="EB20" s="1349">
        <v>-7.3566477910576925E-2</v>
      </c>
      <c r="EC20" s="1349">
        <v>-3.0716152193242731E-2</v>
      </c>
      <c r="ED20" s="1349">
        <v>-6.9602992603797764E-2</v>
      </c>
      <c r="EE20" s="1350">
        <v>1</v>
      </c>
      <c r="EF20" s="1240"/>
      <c r="EI20" s="1239"/>
      <c r="EJ20" s="1397" t="s">
        <v>805</v>
      </c>
      <c r="EK20" s="1235"/>
      <c r="EL20" s="1240"/>
      <c r="EM20" s="1235"/>
    </row>
    <row r="21" spans="2:143" ht="16.5" thickTop="1" x14ac:dyDescent="0.25">
      <c r="B21" s="1225"/>
      <c r="C21" s="1241" t="s">
        <v>557</v>
      </c>
      <c r="D21" s="1226"/>
      <c r="E21" s="1384"/>
      <c r="F21" s="1384"/>
      <c r="G21" s="1391"/>
      <c r="H21" s="1212"/>
      <c r="I21" s="1386"/>
      <c r="J21" s="1398" t="s">
        <v>558</v>
      </c>
      <c r="K21" s="1227"/>
      <c r="L21" s="1227"/>
      <c r="M21" s="1399"/>
      <c r="N21" s="1245" t="s">
        <v>559</v>
      </c>
      <c r="O21" s="1245"/>
      <c r="P21" s="1229"/>
      <c r="Q21" s="1212"/>
      <c r="R21" s="657"/>
      <c r="S21" s="1241"/>
      <c r="T21" s="1400" t="s">
        <v>560</v>
      </c>
      <c r="U21" s="561">
        <v>365</v>
      </c>
      <c r="V21" s="1228" t="s">
        <v>553</v>
      </c>
      <c r="W21" s="1389"/>
      <c r="X21" s="1212"/>
      <c r="Y21" s="1225"/>
      <c r="Z21" s="1401" t="s">
        <v>561</v>
      </c>
      <c r="AA21" s="1253"/>
      <c r="AB21" s="1227" t="s">
        <v>562</v>
      </c>
      <c r="AC21" s="1227" t="s">
        <v>563</v>
      </c>
      <c r="AD21" s="1233"/>
      <c r="AF21" s="1246"/>
      <c r="AG21" s="1295">
        <v>8</v>
      </c>
      <c r="AH21" s="1367">
        <v>0.6080000000000001</v>
      </c>
      <c r="AI21" s="1368">
        <v>0.6080000000000001</v>
      </c>
      <c r="AJ21" s="1368">
        <v>0.6080000000000001</v>
      </c>
      <c r="AK21" s="1368">
        <v>0.6080000000000001</v>
      </c>
      <c r="AL21" s="1368">
        <v>0.6080000000000001</v>
      </c>
      <c r="AM21" s="1369">
        <v>0.6080000000000001</v>
      </c>
      <c r="AN21" s="1237"/>
      <c r="AO21" s="1238"/>
      <c r="AQ21" s="1246"/>
      <c r="AR21" s="1290">
        <v>14</v>
      </c>
      <c r="AS21" s="551">
        <v>3.6700000000000003E-2</v>
      </c>
      <c r="AT21" s="552">
        <v>0.109</v>
      </c>
      <c r="AU21" s="1237"/>
      <c r="AV21" s="1238"/>
      <c r="AW21" s="1238"/>
      <c r="AX21" s="1222"/>
      <c r="AY21" s="1223"/>
      <c r="AZ21" s="1223"/>
      <c r="BA21" s="1223"/>
      <c r="BB21" s="1223"/>
      <c r="BC21" s="1223"/>
      <c r="BD21" s="1224"/>
      <c r="BF21" s="1222"/>
      <c r="BG21" s="1223"/>
      <c r="BH21" s="1223"/>
      <c r="BI21" s="1223"/>
      <c r="BJ21" s="1223"/>
      <c r="BK21" s="1223"/>
      <c r="BL21" s="1224"/>
      <c r="BO21" s="1239"/>
      <c r="BP21" s="1295"/>
      <c r="BQ21" s="1295">
        <v>13</v>
      </c>
      <c r="BR21" s="1302">
        <v>1.1479999999999999</v>
      </c>
      <c r="BS21" s="1303">
        <v>408.00009999999997</v>
      </c>
      <c r="BT21" s="1299">
        <v>7.4800000000000005E-2</v>
      </c>
      <c r="BU21" s="1299">
        <v>3.5999999999999999E-3</v>
      </c>
      <c r="BV21" s="1299">
        <v>4.0000000000000001E-3</v>
      </c>
      <c r="BW21" s="1300">
        <v>4.3299999999999998E-2</v>
      </c>
      <c r="BX21" s="1304">
        <v>3.3E-3</v>
      </c>
      <c r="BY21" s="1240"/>
      <c r="CA21" s="1239"/>
      <c r="CB21" s="1295"/>
      <c r="CC21" s="1295">
        <v>13</v>
      </c>
      <c r="CD21" s="1302">
        <v>0.51559999999999995</v>
      </c>
      <c r="CE21" s="1303">
        <v>257.9991</v>
      </c>
      <c r="CF21" s="1299">
        <v>1.9199999999999998E-2</v>
      </c>
      <c r="CG21" s="1299">
        <v>1E-3</v>
      </c>
      <c r="CH21" s="1299">
        <v>2.5999999999999999E-3</v>
      </c>
      <c r="CI21" s="1300">
        <v>1.34E-2</v>
      </c>
      <c r="CJ21" s="1304">
        <v>8.9999999999999998E-4</v>
      </c>
      <c r="CK21" s="1240"/>
      <c r="DA21" s="1239"/>
      <c r="DB21" s="1295">
        <v>200</v>
      </c>
      <c r="DC21" s="1338">
        <v>575</v>
      </c>
      <c r="DD21" s="1339">
        <v>750</v>
      </c>
      <c r="DE21" s="1340">
        <v>750</v>
      </c>
      <c r="DF21" s="1240"/>
      <c r="DH21" s="1239"/>
      <c r="DI21" s="1295">
        <v>200</v>
      </c>
      <c r="DJ21" s="1341">
        <v>1</v>
      </c>
      <c r="DK21" s="1342">
        <v>0.98</v>
      </c>
      <c r="DL21" s="1240"/>
      <c r="DO21" s="1239"/>
      <c r="DP21" s="1343">
        <v>1.6E-2</v>
      </c>
      <c r="DQ21" s="1344">
        <v>0.85499999999999998</v>
      </c>
      <c r="DR21" s="1345">
        <v>0.90300000000000002</v>
      </c>
      <c r="DS21" s="1240"/>
      <c r="DV21" s="1239"/>
      <c r="DW21" s="1346" t="s">
        <v>564</v>
      </c>
      <c r="DX21" s="1347">
        <v>1</v>
      </c>
      <c r="DY21" s="1348">
        <v>1</v>
      </c>
      <c r="DZ21" s="1349">
        <v>1.0501474926253689</v>
      </c>
      <c r="EA21" s="1349">
        <v>0.97269728955473456</v>
      </c>
      <c r="EB21" s="1349">
        <v>-1.4815053347415766E-3</v>
      </c>
      <c r="EC21" s="1349">
        <v>-1.3238335688661946E-3</v>
      </c>
      <c r="ED21" s="1349">
        <v>5.6743741804302186</v>
      </c>
      <c r="EE21" s="1350">
        <v>1</v>
      </c>
      <c r="EF21" s="1240"/>
      <c r="EI21" s="1239"/>
      <c r="EJ21" s="1402" t="s">
        <v>806</v>
      </c>
      <c r="EL21" s="1240"/>
      <c r="EM21" s="1247"/>
    </row>
    <row r="22" spans="2:143" ht="16.5" thickBot="1" x14ac:dyDescent="0.3">
      <c r="B22" s="1225"/>
      <c r="C22" s="1241"/>
      <c r="D22" s="1395" t="s">
        <v>565</v>
      </c>
      <c r="E22" s="560">
        <f>(24.71*143150+22.09*111530)/(143150+111530)*(1.1578/1.1385)*ValueUpdate</f>
        <v>23.962081108267203</v>
      </c>
      <c r="F22" s="1245" t="s">
        <v>546</v>
      </c>
      <c r="G22" s="1229"/>
      <c r="H22" s="1212">
        <v>3</v>
      </c>
      <c r="I22" s="1386"/>
      <c r="J22" s="1241" t="s">
        <v>566</v>
      </c>
      <c r="K22" s="1227"/>
      <c r="L22" s="1227"/>
      <c r="M22" s="1399"/>
      <c r="N22" s="1245" t="s">
        <v>559</v>
      </c>
      <c r="O22" s="1245"/>
      <c r="P22" s="1229"/>
      <c r="Q22" s="1212"/>
      <c r="R22" s="657"/>
      <c r="S22" s="1241"/>
      <c r="T22" s="1400" t="s">
        <v>567</v>
      </c>
      <c r="U22" s="561">
        <v>180</v>
      </c>
      <c r="V22" s="1228" t="s">
        <v>553</v>
      </c>
      <c r="W22" s="1389"/>
      <c r="X22" s="1212"/>
      <c r="Y22" s="1225"/>
      <c r="Z22" s="1252" t="s">
        <v>568</v>
      </c>
      <c r="AA22" s="1253"/>
      <c r="AB22" s="1227" t="s">
        <v>569</v>
      </c>
      <c r="AC22" s="1227" t="s">
        <v>563</v>
      </c>
      <c r="AD22" s="1233"/>
      <c r="AF22" s="1246"/>
      <c r="AG22" s="1295">
        <v>9</v>
      </c>
      <c r="AH22" s="1367">
        <v>0.67100000000000004</v>
      </c>
      <c r="AI22" s="1368">
        <v>0.67100000000000004</v>
      </c>
      <c r="AJ22" s="1368">
        <v>0.67100000000000004</v>
      </c>
      <c r="AK22" s="1368">
        <v>0.67100000000000004</v>
      </c>
      <c r="AL22" s="1368">
        <v>0.67100000000000004</v>
      </c>
      <c r="AM22" s="1369">
        <v>0.67100000000000004</v>
      </c>
      <c r="AN22" s="1237"/>
      <c r="AO22" s="1238"/>
      <c r="AQ22" s="1246"/>
      <c r="AR22" s="1290">
        <v>15</v>
      </c>
      <c r="AS22" s="551">
        <v>3.49E-2</v>
      </c>
      <c r="AT22" s="552">
        <v>0.10440000000000001</v>
      </c>
      <c r="AU22" s="1237"/>
      <c r="AV22" s="1238"/>
      <c r="AW22" s="1238"/>
      <c r="AX22" s="1239"/>
      <c r="AY22" s="1235" t="s">
        <v>570</v>
      </c>
      <c r="AZ22" s="1236"/>
      <c r="BA22" s="1236"/>
      <c r="BB22" s="1236"/>
      <c r="BC22" s="1236"/>
      <c r="BD22" s="1240"/>
      <c r="BF22" s="1239"/>
      <c r="BG22" s="1235" t="s">
        <v>571</v>
      </c>
      <c r="BH22" s="1236"/>
      <c r="BI22" s="1236"/>
      <c r="BJ22" s="1236"/>
      <c r="BK22" s="1236"/>
      <c r="BL22" s="1240"/>
      <c r="BO22" s="1239"/>
      <c r="BP22" s="1295"/>
      <c r="BQ22" s="1295">
        <v>14</v>
      </c>
      <c r="BR22" s="1302">
        <v>1.1126</v>
      </c>
      <c r="BS22" s="1303">
        <v>387.38490000000002</v>
      </c>
      <c r="BT22" s="1299">
        <v>7.2099999999999997E-2</v>
      </c>
      <c r="BU22" s="1299">
        <v>3.3E-3</v>
      </c>
      <c r="BV22" s="1299">
        <v>3.8E-3</v>
      </c>
      <c r="BW22" s="1300">
        <v>3.9600000000000003E-2</v>
      </c>
      <c r="BX22" s="1304">
        <v>3.0000000000000001E-3</v>
      </c>
      <c r="BY22" s="1240"/>
      <c r="CA22" s="1239"/>
      <c r="CB22" s="1295"/>
      <c r="CC22" s="1295">
        <v>14</v>
      </c>
      <c r="CD22" s="1302">
        <v>0.50019999999999998</v>
      </c>
      <c r="CE22" s="1303">
        <v>245.06399999999999</v>
      </c>
      <c r="CF22" s="1299">
        <v>1.8499999999999999E-2</v>
      </c>
      <c r="CG22" s="1299">
        <v>8.9999999999999998E-4</v>
      </c>
      <c r="CH22" s="1299">
        <v>2.3999999999999998E-3</v>
      </c>
      <c r="CI22" s="1300">
        <v>1.2200000000000001E-2</v>
      </c>
      <c r="CJ22" s="1304">
        <v>8.9999999999999998E-4</v>
      </c>
      <c r="CK22" s="1240"/>
      <c r="DA22" s="1239"/>
      <c r="DB22" s="1295">
        <v>225</v>
      </c>
      <c r="DC22" s="1338">
        <v>650</v>
      </c>
      <c r="DD22" s="1339">
        <v>750</v>
      </c>
      <c r="DE22" s="1340">
        <v>750</v>
      </c>
      <c r="DF22" s="1240"/>
      <c r="DH22" s="1239"/>
      <c r="DI22" s="1295">
        <v>225</v>
      </c>
      <c r="DJ22" s="1341">
        <v>1</v>
      </c>
      <c r="DK22" s="1342">
        <v>0.94899999999999995</v>
      </c>
      <c r="DL22" s="1240"/>
      <c r="DO22" s="1239"/>
      <c r="DP22" s="1343">
        <v>1.7999999999999999E-2</v>
      </c>
      <c r="DQ22" s="1344">
        <v>0.83599999999999997</v>
      </c>
      <c r="DR22" s="1345">
        <v>0.89100000000000001</v>
      </c>
      <c r="DS22" s="1240"/>
      <c r="DV22" s="1239"/>
      <c r="DW22" s="1346" t="s">
        <v>572</v>
      </c>
      <c r="DX22" s="1347">
        <v>1</v>
      </c>
      <c r="DY22" s="1348">
        <v>1</v>
      </c>
      <c r="DZ22" s="1349">
        <v>1.0154639175257731</v>
      </c>
      <c r="EA22" s="1349">
        <v>0.96913081774301524</v>
      </c>
      <c r="EB22" s="1349">
        <v>-0.11026585870451545</v>
      </c>
      <c r="EC22" s="1349">
        <v>-0.11872704768355995</v>
      </c>
      <c r="ED22" s="1349">
        <v>-0.35180024680500832</v>
      </c>
      <c r="EE22" s="1350">
        <v>1</v>
      </c>
      <c r="EF22" s="1240"/>
      <c r="EI22" s="1239"/>
      <c r="EJ22" s="1403"/>
      <c r="EL22" s="1240"/>
      <c r="EM22" s="1247"/>
    </row>
    <row r="23" spans="2:143" ht="16.5" thickTop="1" x14ac:dyDescent="0.25">
      <c r="B23" s="1225"/>
      <c r="C23" s="1241"/>
      <c r="D23" s="1404" t="s">
        <v>573</v>
      </c>
      <c r="E23" s="560">
        <f>WageTruck*(32.42/21.65-1)*ValueUpdate</f>
        <v>11.920166906976345</v>
      </c>
      <c r="F23" s="1245" t="s">
        <v>546</v>
      </c>
      <c r="G23" s="1229"/>
      <c r="H23" s="1212">
        <v>4</v>
      </c>
      <c r="I23" s="1386"/>
      <c r="J23" s="1227"/>
      <c r="K23" s="1227"/>
      <c r="L23" s="1227"/>
      <c r="M23" s="1227"/>
      <c r="N23" s="1227"/>
      <c r="O23" s="1227"/>
      <c r="P23" s="1229"/>
      <c r="Q23" s="1212"/>
      <c r="R23" s="657"/>
      <c r="S23" s="1241"/>
      <c r="T23" s="1226"/>
      <c r="U23" s="658"/>
      <c r="V23" s="1228"/>
      <c r="W23" s="1389"/>
      <c r="X23" s="1212"/>
      <c r="Y23" s="1225"/>
      <c r="Z23" s="1252" t="s">
        <v>574</v>
      </c>
      <c r="AA23" s="1253"/>
      <c r="AB23" s="1227" t="s">
        <v>442</v>
      </c>
      <c r="AC23" s="1227" t="s">
        <v>563</v>
      </c>
      <c r="AD23" s="1233"/>
      <c r="AF23" s="1246"/>
      <c r="AG23" s="1295">
        <v>10</v>
      </c>
      <c r="AH23" s="1367">
        <v>0.73399999999999999</v>
      </c>
      <c r="AI23" s="1368">
        <v>0.73399999999999999</v>
      </c>
      <c r="AJ23" s="1368">
        <v>0.73399999999999999</v>
      </c>
      <c r="AK23" s="1368">
        <v>0.73399999999999999</v>
      </c>
      <c r="AL23" s="1368">
        <v>0.73399999999999999</v>
      </c>
      <c r="AM23" s="1369">
        <v>0.73399999999999999</v>
      </c>
      <c r="AN23" s="1237"/>
      <c r="AO23" s="1238"/>
      <c r="AQ23" s="1246"/>
      <c r="AR23" s="1290">
        <v>16</v>
      </c>
      <c r="AS23" s="551">
        <v>3.5099999999999999E-2</v>
      </c>
      <c r="AT23" s="552">
        <v>0.10290000000000001</v>
      </c>
      <c r="AU23" s="1237"/>
      <c r="AV23" s="1238"/>
      <c r="AW23" s="1238"/>
      <c r="AX23" s="1239"/>
      <c r="AY23" s="1247" t="s">
        <v>886</v>
      </c>
      <c r="AZ23" s="1236"/>
      <c r="BA23" s="1236"/>
      <c r="BB23" s="1236"/>
      <c r="BC23" s="1236"/>
      <c r="BD23" s="1240"/>
      <c r="BF23" s="1239"/>
      <c r="BG23" s="1247" t="s">
        <v>575</v>
      </c>
      <c r="BH23" s="1236"/>
      <c r="BI23" s="1236"/>
      <c r="BJ23" s="1236"/>
      <c r="BK23" s="1236"/>
      <c r="BL23" s="1240"/>
      <c r="BO23" s="1239"/>
      <c r="BP23" s="1295"/>
      <c r="BQ23" s="1295">
        <v>15</v>
      </c>
      <c r="BR23" s="1302">
        <v>1.0783</v>
      </c>
      <c r="BS23" s="1303">
        <v>367.81139999999999</v>
      </c>
      <c r="BT23" s="1299">
        <v>6.9599999999999995E-2</v>
      </c>
      <c r="BU23" s="1299">
        <v>3.0000000000000001E-3</v>
      </c>
      <c r="BV23" s="1299">
        <v>3.5999999999999999E-3</v>
      </c>
      <c r="BW23" s="1300">
        <v>3.61E-2</v>
      </c>
      <c r="BX23" s="1304">
        <v>2.7000000000000001E-3</v>
      </c>
      <c r="BY23" s="1240"/>
      <c r="CA23" s="1239"/>
      <c r="CB23" s="1295"/>
      <c r="CC23" s="1295">
        <v>15</v>
      </c>
      <c r="CD23" s="1302">
        <v>0.48530000000000001</v>
      </c>
      <c r="CE23" s="1303">
        <v>232.7774</v>
      </c>
      <c r="CF23" s="1299">
        <v>1.78E-2</v>
      </c>
      <c r="CG23" s="1299">
        <v>8.0000000000000004E-4</v>
      </c>
      <c r="CH23" s="1299">
        <v>2.3E-3</v>
      </c>
      <c r="CI23" s="1300">
        <v>1.11E-2</v>
      </c>
      <c r="CJ23" s="1304">
        <v>8.0000000000000004E-4</v>
      </c>
      <c r="CK23" s="1240"/>
      <c r="CN23" s="1222"/>
      <c r="CO23" s="1223"/>
      <c r="CP23" s="1223"/>
      <c r="CQ23" s="1223"/>
      <c r="CR23" s="1223"/>
      <c r="CS23" s="1223"/>
      <c r="CT23" s="1223"/>
      <c r="CU23" s="1223"/>
      <c r="CV23" s="1223"/>
      <c r="CW23" s="1223"/>
      <c r="CX23" s="1224"/>
      <c r="DA23" s="1239"/>
      <c r="DB23" s="1295">
        <v>250</v>
      </c>
      <c r="DC23" s="1338">
        <v>750</v>
      </c>
      <c r="DD23" s="1339">
        <v>750</v>
      </c>
      <c r="DE23" s="1340">
        <v>750</v>
      </c>
      <c r="DF23" s="1240"/>
      <c r="DH23" s="1239"/>
      <c r="DI23" s="1295">
        <v>250</v>
      </c>
      <c r="DJ23" s="1341">
        <v>1</v>
      </c>
      <c r="DK23" s="1342">
        <v>0.91900000000000004</v>
      </c>
      <c r="DL23" s="1240"/>
      <c r="DO23" s="1239"/>
      <c r="DP23" s="1343">
        <v>0.02</v>
      </c>
      <c r="DQ23" s="1344">
        <v>0.78900000000000003</v>
      </c>
      <c r="DR23" s="1345">
        <v>0.879</v>
      </c>
      <c r="DS23" s="1240"/>
      <c r="DV23" s="1239"/>
      <c r="DW23" s="1405" t="s">
        <v>576</v>
      </c>
      <c r="DX23" s="1406">
        <v>1</v>
      </c>
      <c r="DY23" s="1407">
        <v>1</v>
      </c>
      <c r="DZ23" s="1408">
        <v>1.0058997050147493</v>
      </c>
      <c r="EA23" s="1408">
        <v>0.97183048805227856</v>
      </c>
      <c r="EB23" s="1408">
        <v>-0.39122572597877792</v>
      </c>
      <c r="EC23" s="1408">
        <v>-0.39160228819315196</v>
      </c>
      <c r="ED23" s="1408">
        <v>-0.35180024680500832</v>
      </c>
      <c r="EE23" s="1409">
        <v>1</v>
      </c>
      <c r="EF23" s="1240"/>
      <c r="EI23" s="1239"/>
      <c r="EJ23" s="1281" t="s">
        <v>242</v>
      </c>
      <c r="EK23" s="1266" t="s">
        <v>49</v>
      </c>
      <c r="EL23" s="1240"/>
    </row>
    <row r="24" spans="2:143" ht="16.5" thickBot="1" x14ac:dyDescent="0.3">
      <c r="B24" s="1225"/>
      <c r="C24" s="1241"/>
      <c r="D24" s="1226"/>
      <c r="E24" s="1410"/>
      <c r="F24" s="1245"/>
      <c r="G24" s="1229"/>
      <c r="H24" s="1212"/>
      <c r="I24" s="1386"/>
      <c r="J24" s="1393" t="s">
        <v>577</v>
      </c>
      <c r="K24" s="1227"/>
      <c r="L24" s="1227"/>
      <c r="M24" s="1411">
        <v>365</v>
      </c>
      <c r="N24" s="1245" t="s">
        <v>578</v>
      </c>
      <c r="O24" s="1245"/>
      <c r="P24" s="1229"/>
      <c r="Q24" s="1212"/>
      <c r="R24" s="657"/>
      <c r="S24" s="1393" t="s">
        <v>579</v>
      </c>
      <c r="T24" s="1245"/>
      <c r="U24" s="1245"/>
      <c r="V24" s="1228"/>
      <c r="W24" s="1389"/>
      <c r="X24" s="1212"/>
      <c r="Y24" s="1225"/>
      <c r="Z24" s="1252" t="s">
        <v>580</v>
      </c>
      <c r="AA24" s="1253"/>
      <c r="AB24" s="1227" t="s">
        <v>581</v>
      </c>
      <c r="AC24" s="1227" t="s">
        <v>582</v>
      </c>
      <c r="AD24" s="1233"/>
      <c r="AF24" s="1246"/>
      <c r="AG24" s="1295">
        <v>11</v>
      </c>
      <c r="AH24" s="1367">
        <v>0.79</v>
      </c>
      <c r="AI24" s="1368">
        <v>0.79</v>
      </c>
      <c r="AJ24" s="1368">
        <v>0.79</v>
      </c>
      <c r="AK24" s="1368">
        <v>0.79</v>
      </c>
      <c r="AL24" s="1368">
        <v>0.79</v>
      </c>
      <c r="AM24" s="1369">
        <v>0.79</v>
      </c>
      <c r="AN24" s="1237"/>
      <c r="AO24" s="1238"/>
      <c r="AQ24" s="1246"/>
      <c r="AR24" s="1290">
        <v>17</v>
      </c>
      <c r="AS24" s="551">
        <v>3.5200000000000002E-2</v>
      </c>
      <c r="AT24" s="552">
        <v>0.10150000000000001</v>
      </c>
      <c r="AU24" s="1237"/>
      <c r="AV24" s="1238"/>
      <c r="AW24" s="1238"/>
      <c r="AX24" s="1239"/>
      <c r="BA24" s="1202"/>
      <c r="BD24" s="1240"/>
      <c r="BF24" s="1239"/>
      <c r="BI24" s="1202"/>
      <c r="BL24" s="1240"/>
      <c r="BO24" s="1239"/>
      <c r="BP24" s="1295"/>
      <c r="BQ24" s="1295">
        <v>16</v>
      </c>
      <c r="BR24" s="1302">
        <v>1.0942000000000001</v>
      </c>
      <c r="BS24" s="1303">
        <v>366.76100000000002</v>
      </c>
      <c r="BT24" s="1299">
        <v>7.0199999999999999E-2</v>
      </c>
      <c r="BU24" s="1299">
        <v>2.8999999999999998E-3</v>
      </c>
      <c r="BV24" s="1299">
        <v>3.5999999999999999E-3</v>
      </c>
      <c r="BW24" s="1300">
        <v>3.4799999999999998E-2</v>
      </c>
      <c r="BX24" s="1304">
        <v>2.5999999999999999E-3</v>
      </c>
      <c r="BY24" s="1240"/>
      <c r="CA24" s="1239"/>
      <c r="CB24" s="1295"/>
      <c r="CC24" s="1295">
        <v>16</v>
      </c>
      <c r="CD24" s="1302">
        <v>0.50390000000000001</v>
      </c>
      <c r="CE24" s="1303">
        <v>236.95599999999999</v>
      </c>
      <c r="CF24" s="1299">
        <v>1.84E-2</v>
      </c>
      <c r="CG24" s="1299">
        <v>8.0000000000000004E-4</v>
      </c>
      <c r="CH24" s="1299">
        <v>2.3E-3</v>
      </c>
      <c r="CI24" s="1300">
        <v>1.09E-2</v>
      </c>
      <c r="CJ24" s="1304">
        <v>8.0000000000000004E-4</v>
      </c>
      <c r="CK24" s="1240"/>
      <c r="CN24" s="1239"/>
      <c r="CO24" s="1235" t="s">
        <v>583</v>
      </c>
      <c r="CP24" s="1236"/>
      <c r="CQ24" s="1236"/>
      <c r="CR24" s="1236"/>
      <c r="CS24" s="1236"/>
      <c r="CT24" s="1236"/>
      <c r="CU24" s="1236"/>
      <c r="CV24" s="1236"/>
      <c r="CW24" s="1236"/>
      <c r="CX24" s="1240"/>
      <c r="DA24" s="1239"/>
      <c r="DB24" s="1295">
        <v>275</v>
      </c>
      <c r="DC24" s="1338">
        <v>750</v>
      </c>
      <c r="DD24" s="1339">
        <v>750</v>
      </c>
      <c r="DE24" s="1340">
        <v>750</v>
      </c>
      <c r="DF24" s="1240"/>
      <c r="DH24" s="1239"/>
      <c r="DI24" s="1295">
        <v>275</v>
      </c>
      <c r="DJ24" s="1341">
        <v>0.99099999999999999</v>
      </c>
      <c r="DK24" s="1342">
        <v>0.89</v>
      </c>
      <c r="DL24" s="1240"/>
      <c r="DO24" s="1239"/>
      <c r="DP24" s="1343">
        <v>2.1999999999999999E-2</v>
      </c>
      <c r="DQ24" s="1344">
        <v>0.747</v>
      </c>
      <c r="DR24" s="1345">
        <v>0.86699999999999999</v>
      </c>
      <c r="DS24" s="1240"/>
      <c r="DV24" s="1351"/>
      <c r="DW24" s="1352"/>
      <c r="DX24" s="1352"/>
      <c r="DY24" s="1352"/>
      <c r="DZ24" s="1352"/>
      <c r="EA24" s="1352"/>
      <c r="EB24" s="1352"/>
      <c r="EC24" s="1352"/>
      <c r="ED24" s="1352"/>
      <c r="EE24" s="1352"/>
      <c r="EF24" s="1353"/>
      <c r="EI24" s="1239"/>
      <c r="EJ24" s="1346" t="s">
        <v>494</v>
      </c>
      <c r="EK24" s="1412">
        <v>0.8</v>
      </c>
      <c r="EL24" s="1240"/>
    </row>
    <row r="25" spans="2:143" ht="16.5" thickTop="1" x14ac:dyDescent="0.25">
      <c r="B25" s="1225"/>
      <c r="C25" s="1241" t="s">
        <v>584</v>
      </c>
      <c r="D25" s="1226"/>
      <c r="E25" s="1227"/>
      <c r="F25" s="1245"/>
      <c r="G25" s="1229"/>
      <c r="H25" s="1212"/>
      <c r="I25" s="1386"/>
      <c r="J25" s="1227"/>
      <c r="K25" s="1227"/>
      <c r="L25" s="1227"/>
      <c r="M25" s="1227"/>
      <c r="N25" s="1227"/>
      <c r="O25" s="1227"/>
      <c r="P25" s="1229"/>
      <c r="Q25" s="1212"/>
      <c r="R25" s="657"/>
      <c r="S25" s="1393"/>
      <c r="T25" s="1395" t="s">
        <v>585</v>
      </c>
      <c r="U25" s="562">
        <v>25</v>
      </c>
      <c r="V25" s="1228" t="s">
        <v>586</v>
      </c>
      <c r="W25" s="1389"/>
      <c r="X25" s="1212"/>
      <c r="Y25" s="1225"/>
      <c r="Z25" s="1227"/>
      <c r="AA25" s="658"/>
      <c r="AB25" s="1227"/>
      <c r="AC25" s="1227"/>
      <c r="AD25" s="1233"/>
      <c r="AF25" s="1246"/>
      <c r="AG25" s="1295">
        <v>12</v>
      </c>
      <c r="AH25" s="1367">
        <v>0.84300000000000008</v>
      </c>
      <c r="AI25" s="1368">
        <v>0.84300000000000008</v>
      </c>
      <c r="AJ25" s="1368">
        <v>0.84300000000000008</v>
      </c>
      <c r="AK25" s="1368">
        <v>0.84300000000000008</v>
      </c>
      <c r="AL25" s="1368">
        <v>0.84300000000000008</v>
      </c>
      <c r="AM25" s="1369">
        <v>0.84300000000000008</v>
      </c>
      <c r="AN25" s="1237"/>
      <c r="AO25" s="1238"/>
      <c r="AQ25" s="1246"/>
      <c r="AR25" s="1290">
        <v>18</v>
      </c>
      <c r="AS25" s="551">
        <v>3.5400000000000001E-2</v>
      </c>
      <c r="AT25" s="552">
        <v>0.1</v>
      </c>
      <c r="AU25" s="1237"/>
      <c r="AV25" s="1238"/>
      <c r="AW25" s="1238"/>
      <c r="AX25" s="1239"/>
      <c r="AY25" s="1267" t="s">
        <v>887</v>
      </c>
      <c r="AZ25" s="1268" t="s">
        <v>461</v>
      </c>
      <c r="BA25" s="1269" t="s">
        <v>465</v>
      </c>
      <c r="BB25" s="1269" t="s">
        <v>466</v>
      </c>
      <c r="BC25" s="1270" t="s">
        <v>94</v>
      </c>
      <c r="BD25" s="1240"/>
      <c r="BF25" s="1239"/>
      <c r="BG25" s="1267" t="s">
        <v>464</v>
      </c>
      <c r="BH25" s="1268" t="s">
        <v>453</v>
      </c>
      <c r="BI25" s="1269" t="s">
        <v>456</v>
      </c>
      <c r="BJ25" s="1269" t="s">
        <v>442</v>
      </c>
      <c r="BK25" s="1270" t="s">
        <v>467</v>
      </c>
      <c r="BL25" s="1240"/>
      <c r="BO25" s="1239"/>
      <c r="BP25" s="1295"/>
      <c r="BQ25" s="1295">
        <v>17</v>
      </c>
      <c r="BR25" s="1302">
        <v>1.1103000000000001</v>
      </c>
      <c r="BS25" s="1303">
        <v>365.71359999999999</v>
      </c>
      <c r="BT25" s="1299">
        <v>7.0800000000000002E-2</v>
      </c>
      <c r="BU25" s="1299">
        <v>2.8E-3</v>
      </c>
      <c r="BV25" s="1299">
        <v>3.5999999999999999E-3</v>
      </c>
      <c r="BW25" s="1300">
        <v>3.3500000000000002E-2</v>
      </c>
      <c r="BX25" s="1304">
        <v>2.5000000000000001E-3</v>
      </c>
      <c r="BY25" s="1240"/>
      <c r="CA25" s="1239"/>
      <c r="CB25" s="1295"/>
      <c r="CC25" s="1295">
        <v>17</v>
      </c>
      <c r="CD25" s="1302">
        <v>0.5232</v>
      </c>
      <c r="CE25" s="1303">
        <v>241.20959999999999</v>
      </c>
      <c r="CF25" s="1299">
        <v>1.9E-2</v>
      </c>
      <c r="CG25" s="1299">
        <v>8.0000000000000004E-4</v>
      </c>
      <c r="CH25" s="1299">
        <v>2.3999999999999998E-3</v>
      </c>
      <c r="CI25" s="1300">
        <v>1.0699999999999999E-2</v>
      </c>
      <c r="CJ25" s="1304">
        <v>8.0000000000000004E-4</v>
      </c>
      <c r="CK25" s="1240"/>
      <c r="CN25" s="1239"/>
      <c r="CO25" s="1247" t="s">
        <v>587</v>
      </c>
      <c r="CP25" s="1236"/>
      <c r="CQ25" s="1236"/>
      <c r="CR25" s="1236"/>
      <c r="CS25" s="1236"/>
      <c r="CT25" s="1236"/>
      <c r="CU25" s="1236"/>
      <c r="CV25" s="1236"/>
      <c r="CW25" s="1236"/>
      <c r="CX25" s="1240"/>
      <c r="DA25" s="1239"/>
      <c r="DB25" s="1295">
        <v>300</v>
      </c>
      <c r="DC25" s="1338">
        <v>750</v>
      </c>
      <c r="DD25" s="1339">
        <v>750</v>
      </c>
      <c r="DE25" s="1340">
        <v>750</v>
      </c>
      <c r="DF25" s="1240"/>
      <c r="DH25" s="1239"/>
      <c r="DI25" s="1295">
        <v>300</v>
      </c>
      <c r="DJ25" s="1341">
        <v>0.98099999999999998</v>
      </c>
      <c r="DK25" s="1342">
        <v>0.86199999999999999</v>
      </c>
      <c r="DL25" s="1240"/>
      <c r="DO25" s="1239"/>
      <c r="DP25" s="1343">
        <v>2.4E-2</v>
      </c>
      <c r="DQ25" s="1344">
        <v>0.70599999999999996</v>
      </c>
      <c r="DR25" s="1345">
        <v>0.85499999999999998</v>
      </c>
      <c r="DS25" s="1240"/>
      <c r="EI25" s="1239"/>
      <c r="EJ25" s="1405" t="s">
        <v>463</v>
      </c>
      <c r="EK25" s="1413">
        <v>1.1000000000000001</v>
      </c>
      <c r="EL25" s="1240"/>
    </row>
    <row r="26" spans="2:143" ht="16.5" thickBot="1" x14ac:dyDescent="0.3">
      <c r="B26" s="1225"/>
      <c r="C26" s="1241"/>
      <c r="D26" s="1414" t="s">
        <v>588</v>
      </c>
      <c r="E26" s="563">
        <f>ROUND(WageStatewide*0.5/5,2)*5</f>
        <v>16.200000000000003</v>
      </c>
      <c r="F26" s="1245" t="s">
        <v>589</v>
      </c>
      <c r="G26" s="1229"/>
      <c r="H26" s="1212">
        <v>5</v>
      </c>
      <c r="I26" s="1386"/>
      <c r="J26" s="1227"/>
      <c r="K26" s="1227"/>
      <c r="L26" s="1227"/>
      <c r="M26" s="1227"/>
      <c r="N26" s="1384" t="s">
        <v>590</v>
      </c>
      <c r="O26" s="1384" t="s">
        <v>591</v>
      </c>
      <c r="P26" s="1229"/>
      <c r="Q26" s="1212"/>
      <c r="R26" s="657"/>
      <c r="S26" s="1241"/>
      <c r="T26" s="1395" t="s">
        <v>592</v>
      </c>
      <c r="U26" s="564">
        <v>1.51</v>
      </c>
      <c r="V26" s="1228" t="s">
        <v>593</v>
      </c>
      <c r="W26" s="1389"/>
      <c r="X26" s="1212">
        <v>19</v>
      </c>
      <c r="Y26" s="1225"/>
      <c r="Z26" s="1241" t="s">
        <v>594</v>
      </c>
      <c r="AA26" s="1245"/>
      <c r="AB26" s="1227"/>
      <c r="AC26" s="1227" t="s">
        <v>595</v>
      </c>
      <c r="AD26" s="1233"/>
      <c r="AF26" s="1246"/>
      <c r="AG26" s="1295">
        <v>13</v>
      </c>
      <c r="AH26" s="1367">
        <v>0.88600000000000012</v>
      </c>
      <c r="AI26" s="1368">
        <v>0.88600000000000012</v>
      </c>
      <c r="AJ26" s="1368">
        <v>0.88600000000000012</v>
      </c>
      <c r="AK26" s="1368">
        <v>0.88600000000000012</v>
      </c>
      <c r="AL26" s="1368">
        <v>0.88600000000000012</v>
      </c>
      <c r="AM26" s="1369">
        <v>0.88600000000000012</v>
      </c>
      <c r="AN26" s="1237"/>
      <c r="AO26" s="1238"/>
      <c r="AQ26" s="1246"/>
      <c r="AR26" s="1290">
        <v>19</v>
      </c>
      <c r="AS26" s="551">
        <v>3.56E-2</v>
      </c>
      <c r="AT26" s="552">
        <v>9.8599999999999993E-2</v>
      </c>
      <c r="AU26" s="1237"/>
      <c r="AV26" s="1238"/>
      <c r="AW26" s="1238"/>
      <c r="AX26" s="1239"/>
      <c r="AY26" s="1415" t="s">
        <v>888</v>
      </c>
      <c r="AZ26" s="565">
        <v>1.0900000000000001</v>
      </c>
      <c r="BA26" s="565">
        <v>1.08</v>
      </c>
      <c r="BB26" s="565">
        <v>1.1399999999999999</v>
      </c>
      <c r="BC26" s="566">
        <v>1.1100000000000001</v>
      </c>
      <c r="BD26" s="1240"/>
      <c r="BF26" s="1239"/>
      <c r="BG26" s="1291" t="s">
        <v>493</v>
      </c>
      <c r="BH26" s="567">
        <f>FatValue</f>
        <v>11800000</v>
      </c>
      <c r="BI26" s="568">
        <f>FatValue</f>
        <v>11800000</v>
      </c>
      <c r="BJ26" s="568">
        <f>FatValue</f>
        <v>11800000</v>
      </c>
      <c r="BK26" s="569">
        <f>FatValue</f>
        <v>11800000</v>
      </c>
      <c r="BL26" s="1240"/>
      <c r="BO26" s="1239"/>
      <c r="BP26" s="1295"/>
      <c r="BQ26" s="1295">
        <v>18</v>
      </c>
      <c r="BR26" s="1302">
        <v>1.1267</v>
      </c>
      <c r="BS26" s="1303">
        <v>364.66930000000002</v>
      </c>
      <c r="BT26" s="1299">
        <v>7.1400000000000005E-2</v>
      </c>
      <c r="BU26" s="1299">
        <v>2.7000000000000001E-3</v>
      </c>
      <c r="BV26" s="1299">
        <v>3.5999999999999999E-3</v>
      </c>
      <c r="BW26" s="1300">
        <v>3.2300000000000002E-2</v>
      </c>
      <c r="BX26" s="1304">
        <v>2.3999999999999998E-3</v>
      </c>
      <c r="BY26" s="1240"/>
      <c r="CA26" s="1239"/>
      <c r="CB26" s="1295"/>
      <c r="CC26" s="1295">
        <v>18</v>
      </c>
      <c r="CD26" s="1302">
        <v>0.54330000000000001</v>
      </c>
      <c r="CE26" s="1303">
        <v>245.53960000000001</v>
      </c>
      <c r="CF26" s="1299">
        <v>1.9699999999999999E-2</v>
      </c>
      <c r="CG26" s="1299">
        <v>8.0000000000000004E-4</v>
      </c>
      <c r="CH26" s="1299">
        <v>2.3999999999999998E-3</v>
      </c>
      <c r="CI26" s="1300">
        <v>1.0500000000000001E-2</v>
      </c>
      <c r="CJ26" s="1304">
        <v>6.9999999999999999E-4</v>
      </c>
      <c r="CK26" s="1240"/>
      <c r="CN26" s="1239"/>
      <c r="CO26" s="1256"/>
      <c r="CX26" s="1240"/>
      <c r="DA26" s="1239"/>
      <c r="DB26" s="1295">
        <v>325</v>
      </c>
      <c r="DC26" s="1338">
        <v>750</v>
      </c>
      <c r="DD26" s="1339">
        <v>750</v>
      </c>
      <c r="DE26" s="1340">
        <v>750</v>
      </c>
      <c r="DF26" s="1240"/>
      <c r="DH26" s="1239"/>
      <c r="DI26" s="1295">
        <v>325</v>
      </c>
      <c r="DJ26" s="1341">
        <v>0.97099999999999997</v>
      </c>
      <c r="DK26" s="1342">
        <v>0.83399999999999996</v>
      </c>
      <c r="DL26" s="1240"/>
      <c r="DO26" s="1239"/>
      <c r="DP26" s="1343">
        <v>2.5999999999999999E-2</v>
      </c>
      <c r="DQ26" s="1344">
        <v>0.66400000000000003</v>
      </c>
      <c r="DR26" s="1345">
        <v>0.84199999999999997</v>
      </c>
      <c r="DS26" s="1240"/>
      <c r="DV26" s="1371" t="s">
        <v>596</v>
      </c>
      <c r="EI26" s="1351"/>
      <c r="EJ26" s="1352"/>
      <c r="EK26" s="1352"/>
      <c r="EL26" s="1353"/>
    </row>
    <row r="27" spans="2:143" ht="15.75" thickTop="1" x14ac:dyDescent="0.25">
      <c r="B27" s="1225"/>
      <c r="C27" s="1241"/>
      <c r="D27" s="1416" t="s">
        <v>463</v>
      </c>
      <c r="E27" s="563">
        <f>ROUND((WageTruck+FringeTruck)/5,2)*5</f>
        <v>35.9</v>
      </c>
      <c r="F27" s="1245" t="s">
        <v>597</v>
      </c>
      <c r="G27" s="1229"/>
      <c r="H27" s="1212">
        <v>5</v>
      </c>
      <c r="I27" s="1225"/>
      <c r="J27" s="1227"/>
      <c r="K27" s="1227"/>
      <c r="L27" s="1384" t="s">
        <v>598</v>
      </c>
      <c r="M27" s="1384" t="s">
        <v>599</v>
      </c>
      <c r="N27" s="1384" t="s">
        <v>600</v>
      </c>
      <c r="O27" s="1384" t="s">
        <v>600</v>
      </c>
      <c r="P27" s="1229"/>
      <c r="Q27" s="1212"/>
      <c r="R27" s="657"/>
      <c r="S27" s="1241"/>
      <c r="T27" s="1383"/>
      <c r="U27" s="1245"/>
      <c r="V27" s="1228"/>
      <c r="W27" s="1389"/>
      <c r="X27" s="1212"/>
      <c r="Y27" s="1225"/>
      <c r="Z27" s="1401" t="s">
        <v>601</v>
      </c>
      <c r="AA27" s="1253"/>
      <c r="AB27" s="1227" t="s">
        <v>602</v>
      </c>
      <c r="AC27" s="1227" t="s">
        <v>603</v>
      </c>
      <c r="AD27" s="1233"/>
      <c r="AF27" s="1246"/>
      <c r="AG27" s="1295">
        <v>14</v>
      </c>
      <c r="AH27" s="1367">
        <v>0.91600000000000015</v>
      </c>
      <c r="AI27" s="1368">
        <v>0.91600000000000015</v>
      </c>
      <c r="AJ27" s="1368">
        <v>0.91600000000000015</v>
      </c>
      <c r="AK27" s="1368">
        <v>0.91600000000000015</v>
      </c>
      <c r="AL27" s="1368">
        <v>0.91600000000000015</v>
      </c>
      <c r="AM27" s="1369">
        <v>0.91600000000000015</v>
      </c>
      <c r="AN27" s="1237"/>
      <c r="AO27" s="1238"/>
      <c r="AQ27" s="1246"/>
      <c r="AR27" s="1290">
        <v>20</v>
      </c>
      <c r="AS27" s="551">
        <v>3.5799999999999998E-2</v>
      </c>
      <c r="AT27" s="552">
        <v>9.7199999999999995E-2</v>
      </c>
      <c r="AU27" s="1237"/>
      <c r="AV27" s="1238"/>
      <c r="AW27" s="1238"/>
      <c r="AX27" s="1239"/>
      <c r="BD27" s="1240"/>
      <c r="BF27" s="1239"/>
      <c r="BG27" s="1329" t="s">
        <v>96</v>
      </c>
      <c r="BH27" s="1417">
        <f>ROUND((BC12*InjAValue+BC13*InjBValue)/SUM(BC12:BC13),-2)</f>
        <v>211900</v>
      </c>
      <c r="BI27" s="1418">
        <f>ROUND((BC12*InjAValue+BC13*InjBValue)/SUM(BC12:BC13),-2)</f>
        <v>211900</v>
      </c>
      <c r="BJ27" s="1418">
        <f>ROUND((BC12*InjAValue+BC13*InjBValue)/SUM(BC12:BC13),-2)</f>
        <v>211900</v>
      </c>
      <c r="BK27" s="1419">
        <f>ROUND((BC12*InjAValue+BC13*InjBValue)/SUM(BC12:BC13),-2)</f>
        <v>211900</v>
      </c>
      <c r="BL27" s="1240"/>
      <c r="BO27" s="1239"/>
      <c r="BP27" s="1295"/>
      <c r="BQ27" s="1295">
        <v>19</v>
      </c>
      <c r="BR27" s="1302">
        <v>1.1433</v>
      </c>
      <c r="BS27" s="1303">
        <v>363.62779999999998</v>
      </c>
      <c r="BT27" s="1299">
        <v>7.1999999999999995E-2</v>
      </c>
      <c r="BU27" s="1299">
        <v>2.5999999999999999E-3</v>
      </c>
      <c r="BV27" s="1299">
        <v>3.5999999999999999E-3</v>
      </c>
      <c r="BW27" s="1300">
        <v>3.1099999999999999E-2</v>
      </c>
      <c r="BX27" s="1304">
        <v>2.3999999999999998E-3</v>
      </c>
      <c r="BY27" s="1240"/>
      <c r="CA27" s="1239"/>
      <c r="CB27" s="1295"/>
      <c r="CC27" s="1295">
        <v>19</v>
      </c>
      <c r="CD27" s="1302">
        <v>0.56410000000000005</v>
      </c>
      <c r="CE27" s="1303">
        <v>249.94730000000001</v>
      </c>
      <c r="CF27" s="1299">
        <v>2.0299999999999999E-2</v>
      </c>
      <c r="CG27" s="1299">
        <v>8.0000000000000004E-4</v>
      </c>
      <c r="CH27" s="1299">
        <v>2.5000000000000001E-3</v>
      </c>
      <c r="CI27" s="1300">
        <v>1.03E-2</v>
      </c>
      <c r="CJ27" s="1304">
        <v>6.9999999999999999E-4</v>
      </c>
      <c r="CK27" s="1240"/>
      <c r="CN27" s="1239"/>
      <c r="CO27" s="1271" t="s">
        <v>242</v>
      </c>
      <c r="CP27" s="1271" t="s">
        <v>34</v>
      </c>
      <c r="CQ27" s="1272" t="s">
        <v>344</v>
      </c>
      <c r="CR27" s="1268" t="s">
        <v>604</v>
      </c>
      <c r="CS27" s="1269" t="s">
        <v>476</v>
      </c>
      <c r="CT27" s="1269" t="s">
        <v>477</v>
      </c>
      <c r="CU27" s="1269" t="s">
        <v>478</v>
      </c>
      <c r="CV27" s="1269" t="s">
        <v>349</v>
      </c>
      <c r="CW27" s="1270" t="s">
        <v>605</v>
      </c>
      <c r="CX27" s="1240"/>
      <c r="DA27" s="1239"/>
      <c r="DB27" s="1295">
        <v>350</v>
      </c>
      <c r="DC27" s="1338">
        <v>750</v>
      </c>
      <c r="DD27" s="1339">
        <v>750</v>
      </c>
      <c r="DE27" s="1340">
        <v>750</v>
      </c>
      <c r="DF27" s="1240"/>
      <c r="DH27" s="1239"/>
      <c r="DI27" s="1295">
        <v>350</v>
      </c>
      <c r="DJ27" s="1341">
        <v>0.96099999999999997</v>
      </c>
      <c r="DK27" s="1342">
        <v>0.80800000000000005</v>
      </c>
      <c r="DL27" s="1240"/>
      <c r="DO27" s="1239"/>
      <c r="DP27" s="1343">
        <v>2.8000000000000001E-2</v>
      </c>
      <c r="DQ27" s="1344">
        <v>0.623</v>
      </c>
      <c r="DR27" s="1345">
        <v>0.81699999999999995</v>
      </c>
      <c r="DS27" s="1240"/>
      <c r="DW27" s="1212" t="s">
        <v>889</v>
      </c>
    </row>
    <row r="28" spans="2:143" ht="15" x14ac:dyDescent="0.25">
      <c r="B28" s="1225"/>
      <c r="C28" s="1241"/>
      <c r="D28" s="1416" t="s">
        <v>606</v>
      </c>
      <c r="E28" s="563">
        <f>ROUND((1.3*ValTimeAuto*0.91+ValTimeTruck*0.09)/5,2)*5</f>
        <v>22.400000000000002</v>
      </c>
      <c r="F28" s="1245" t="s">
        <v>597</v>
      </c>
      <c r="G28" s="1229"/>
      <c r="H28" s="1212">
        <v>6</v>
      </c>
      <c r="I28" s="1225"/>
      <c r="J28" s="1241" t="s">
        <v>480</v>
      </c>
      <c r="K28" s="1241"/>
      <c r="L28" s="1420">
        <v>0.2</v>
      </c>
      <c r="M28" s="1392">
        <v>10</v>
      </c>
      <c r="N28" s="1411">
        <v>2000</v>
      </c>
      <c r="O28" s="1411">
        <v>1800</v>
      </c>
      <c r="P28" s="1229"/>
      <c r="Q28" s="1212" t="s">
        <v>607</v>
      </c>
      <c r="R28" s="657"/>
      <c r="S28" s="1393" t="s">
        <v>608</v>
      </c>
      <c r="T28" s="1245"/>
      <c r="U28" s="1245"/>
      <c r="V28" s="1228"/>
      <c r="W28" s="1389"/>
      <c r="X28" s="1212"/>
      <c r="Y28" s="1225"/>
      <c r="Z28" s="1252" t="s">
        <v>609</v>
      </c>
      <c r="AA28" s="1253"/>
      <c r="AB28" s="1227" t="s">
        <v>610</v>
      </c>
      <c r="AC28" s="1227" t="s">
        <v>611</v>
      </c>
      <c r="AD28" s="1233"/>
      <c r="AF28" s="1246"/>
      <c r="AG28" s="1295">
        <v>15</v>
      </c>
      <c r="AH28" s="1367">
        <v>0.94300000000000017</v>
      </c>
      <c r="AI28" s="1368">
        <v>0.94300000000000017</v>
      </c>
      <c r="AJ28" s="1368">
        <v>0.94300000000000017</v>
      </c>
      <c r="AK28" s="1368">
        <v>0.94300000000000017</v>
      </c>
      <c r="AL28" s="1368">
        <v>0.94300000000000017</v>
      </c>
      <c r="AM28" s="1369">
        <v>0.94300000000000017</v>
      </c>
      <c r="AN28" s="1237"/>
      <c r="AO28" s="1238"/>
      <c r="AQ28" s="1246"/>
      <c r="AR28" s="1290">
        <v>21</v>
      </c>
      <c r="AS28" s="551">
        <v>3.5400000000000001E-2</v>
      </c>
      <c r="AT28" s="552">
        <v>9.4E-2</v>
      </c>
      <c r="AU28" s="1237"/>
      <c r="AV28" s="1238"/>
      <c r="AW28" s="1238"/>
      <c r="AX28" s="1239"/>
      <c r="BD28" s="1240"/>
      <c r="BF28" s="1239"/>
      <c r="BG28" s="1358" t="s">
        <v>612</v>
      </c>
      <c r="BH28" s="1364">
        <v>90000</v>
      </c>
      <c r="BI28" s="1365">
        <v>14200</v>
      </c>
      <c r="BJ28" s="1365">
        <v>4300</v>
      </c>
      <c r="BK28" s="1366">
        <v>156700</v>
      </c>
      <c r="BL28" s="1240"/>
      <c r="BO28" s="1239"/>
      <c r="BP28" s="1295"/>
      <c r="BQ28" s="1295">
        <v>20</v>
      </c>
      <c r="BR28" s="1302">
        <v>1.1600999999999999</v>
      </c>
      <c r="BS28" s="1303">
        <v>362.58940000000001</v>
      </c>
      <c r="BT28" s="1299">
        <v>7.2599999999999998E-2</v>
      </c>
      <c r="BU28" s="1299">
        <v>2.5000000000000001E-3</v>
      </c>
      <c r="BV28" s="1299">
        <v>3.5999999999999999E-3</v>
      </c>
      <c r="BW28" s="1300">
        <v>0.03</v>
      </c>
      <c r="BX28" s="1304">
        <v>2.3E-3</v>
      </c>
      <c r="BY28" s="1240"/>
      <c r="CA28" s="1239"/>
      <c r="CB28" s="1295"/>
      <c r="CC28" s="1295">
        <v>20</v>
      </c>
      <c r="CD28" s="1302">
        <v>0.58579999999999999</v>
      </c>
      <c r="CE28" s="1303">
        <v>254.4341</v>
      </c>
      <c r="CF28" s="1299">
        <v>2.1000000000000001E-2</v>
      </c>
      <c r="CG28" s="1299">
        <v>8.0000000000000004E-4</v>
      </c>
      <c r="CH28" s="1299">
        <v>2.5000000000000001E-3</v>
      </c>
      <c r="CI28" s="1300">
        <v>1.01E-2</v>
      </c>
      <c r="CJ28" s="1304">
        <v>6.9999999999999999E-4</v>
      </c>
      <c r="CK28" s="1240"/>
      <c r="CN28" s="1239"/>
      <c r="CO28" s="1421" t="s">
        <v>613</v>
      </c>
      <c r="CP28" s="1295">
        <v>2010</v>
      </c>
      <c r="CQ28" s="1422">
        <v>8.1109406683496204</v>
      </c>
      <c r="CR28" s="1423">
        <v>5150.4473244020091</v>
      </c>
      <c r="CS28" s="1424">
        <v>96.114646919942999</v>
      </c>
      <c r="CT28" s="1424">
        <v>2.0277351670874051</v>
      </c>
      <c r="CU28" s="1424"/>
      <c r="CV28" s="1424"/>
      <c r="CW28" s="1425">
        <v>2.0277351670874051</v>
      </c>
      <c r="CX28" s="1240"/>
      <c r="DA28" s="1239"/>
      <c r="DB28" s="1295">
        <v>375</v>
      </c>
      <c r="DC28" s="1338">
        <v>750</v>
      </c>
      <c r="DD28" s="1339">
        <v>750</v>
      </c>
      <c r="DE28" s="1340">
        <v>750</v>
      </c>
      <c r="DF28" s="1240"/>
      <c r="DH28" s="1239"/>
      <c r="DI28" s="1295">
        <v>375</v>
      </c>
      <c r="DJ28" s="1341">
        <v>0.95199999999999996</v>
      </c>
      <c r="DK28" s="1342">
        <v>0.78200000000000003</v>
      </c>
      <c r="DL28" s="1240"/>
      <c r="DO28" s="1239"/>
      <c r="DP28" s="1343">
        <v>0.03</v>
      </c>
      <c r="DQ28" s="1344">
        <v>0.58099999999999996</v>
      </c>
      <c r="DR28" s="1345">
        <v>0.78900000000000003</v>
      </c>
      <c r="DS28" s="1240"/>
      <c r="EI28" s="1371" t="s">
        <v>890</v>
      </c>
    </row>
    <row r="29" spans="2:143" ht="15.75" thickBot="1" x14ac:dyDescent="0.3">
      <c r="B29" s="1225"/>
      <c r="C29" s="1241"/>
      <c r="D29" s="1416" t="s">
        <v>26</v>
      </c>
      <c r="E29" s="563">
        <f>ROUND(WageStatewide*0.5/5,2)*5</f>
        <v>16.200000000000003</v>
      </c>
      <c r="F29" s="1245" t="s">
        <v>589</v>
      </c>
      <c r="G29" s="1229"/>
      <c r="H29" s="1212">
        <v>5</v>
      </c>
      <c r="I29" s="1225"/>
      <c r="J29" s="1241" t="s">
        <v>614</v>
      </c>
      <c r="K29" s="1241"/>
      <c r="L29" s="1420">
        <v>0.2</v>
      </c>
      <c r="M29" s="1392">
        <v>10</v>
      </c>
      <c r="N29" s="1411">
        <v>2000</v>
      </c>
      <c r="O29" s="1411">
        <v>1800</v>
      </c>
      <c r="P29" s="1229"/>
      <c r="Q29" s="1212" t="s">
        <v>607</v>
      </c>
      <c r="R29" s="657"/>
      <c r="S29" s="1241"/>
      <c r="T29" s="1395" t="s">
        <v>615</v>
      </c>
      <c r="U29" s="564">
        <v>8.6999999999999993</v>
      </c>
      <c r="V29" s="1228" t="s">
        <v>586</v>
      </c>
      <c r="W29" s="1389"/>
      <c r="X29" s="1212">
        <v>20</v>
      </c>
      <c r="Y29" s="1225"/>
      <c r="Z29" s="1252" t="s">
        <v>616</v>
      </c>
      <c r="AA29" s="1253"/>
      <c r="AB29" s="1227" t="s">
        <v>617</v>
      </c>
      <c r="AC29" s="1227" t="s">
        <v>611</v>
      </c>
      <c r="AD29" s="1233"/>
      <c r="AF29" s="1246"/>
      <c r="AG29" s="1295">
        <v>16</v>
      </c>
      <c r="AH29" s="1367">
        <v>0.96400000000000019</v>
      </c>
      <c r="AI29" s="1368">
        <v>0.96400000000000019</v>
      </c>
      <c r="AJ29" s="1368">
        <v>0.96400000000000019</v>
      </c>
      <c r="AK29" s="1368">
        <v>0.96400000000000019</v>
      </c>
      <c r="AL29" s="1368">
        <v>0.96400000000000019</v>
      </c>
      <c r="AM29" s="1369">
        <v>0.96400000000000019</v>
      </c>
      <c r="AN29" s="1237"/>
      <c r="AO29" s="1238"/>
      <c r="AQ29" s="1246"/>
      <c r="AR29" s="1290">
        <v>22</v>
      </c>
      <c r="AS29" s="551">
        <v>3.5000000000000003E-2</v>
      </c>
      <c r="AT29" s="552">
        <v>9.0899999999999995E-2</v>
      </c>
      <c r="AU29" s="1237"/>
      <c r="AV29" s="1238"/>
      <c r="AW29" s="1238"/>
      <c r="AX29" s="1239"/>
      <c r="AY29" s="1235" t="s">
        <v>618</v>
      </c>
      <c r="AZ29" s="1236"/>
      <c r="BA29" s="1236"/>
      <c r="BB29" s="1236"/>
      <c r="BC29" s="1236"/>
      <c r="BD29" s="1240"/>
      <c r="BF29" s="1351"/>
      <c r="BG29" s="1352"/>
      <c r="BH29" s="1352"/>
      <c r="BI29" s="1352"/>
      <c r="BJ29" s="1352"/>
      <c r="BK29" s="1352"/>
      <c r="BL29" s="1353"/>
      <c r="BO29" s="1239"/>
      <c r="BP29" s="1295"/>
      <c r="BQ29" s="1295">
        <v>21</v>
      </c>
      <c r="BR29" s="1302">
        <v>1.1563000000000001</v>
      </c>
      <c r="BS29" s="1303">
        <v>356.25099999999998</v>
      </c>
      <c r="BT29" s="1299">
        <v>7.2400000000000006E-2</v>
      </c>
      <c r="BU29" s="1299">
        <v>2.3999999999999998E-3</v>
      </c>
      <c r="BV29" s="1299">
        <v>3.5000000000000001E-3</v>
      </c>
      <c r="BW29" s="1300">
        <v>2.87E-2</v>
      </c>
      <c r="BX29" s="1304">
        <v>2.2000000000000001E-3</v>
      </c>
      <c r="BY29" s="1240"/>
      <c r="CA29" s="1239"/>
      <c r="CB29" s="1295"/>
      <c r="CC29" s="1295">
        <v>21</v>
      </c>
      <c r="CD29" s="1302">
        <v>0.59099999999999997</v>
      </c>
      <c r="CE29" s="1303">
        <v>253.23840000000001</v>
      </c>
      <c r="CF29" s="1299">
        <v>2.1100000000000001E-2</v>
      </c>
      <c r="CG29" s="1299">
        <v>8.0000000000000004E-4</v>
      </c>
      <c r="CH29" s="1299">
        <v>2.5000000000000001E-3</v>
      </c>
      <c r="CI29" s="1300">
        <v>9.7999999999999997E-3</v>
      </c>
      <c r="CJ29" s="1304">
        <v>6.9999999999999999E-4</v>
      </c>
      <c r="CK29" s="1240"/>
      <c r="CN29" s="1239"/>
      <c r="CO29" s="1426"/>
      <c r="CP29" s="1427">
        <v>2040</v>
      </c>
      <c r="CQ29" s="1428">
        <v>0.40554703341748105</v>
      </c>
      <c r="CR29" s="1429">
        <v>359.31467160788816</v>
      </c>
      <c r="CS29" s="1430">
        <v>4.8665644010097724</v>
      </c>
      <c r="CT29" s="1430">
        <v>0</v>
      </c>
      <c r="CU29" s="1430"/>
      <c r="CV29" s="1430"/>
      <c r="CW29" s="1431">
        <v>0</v>
      </c>
      <c r="CX29" s="1240"/>
      <c r="DA29" s="1239"/>
      <c r="DB29" s="1295">
        <v>400</v>
      </c>
      <c r="DC29" s="1338">
        <v>750</v>
      </c>
      <c r="DD29" s="1339">
        <v>750</v>
      </c>
      <c r="DE29" s="1340">
        <v>750</v>
      </c>
      <c r="DF29" s="1240"/>
      <c r="DH29" s="1239"/>
      <c r="DI29" s="1295">
        <v>400</v>
      </c>
      <c r="DJ29" s="1341">
        <v>0.94199999999999995</v>
      </c>
      <c r="DK29" s="1342">
        <v>0.75800000000000001</v>
      </c>
      <c r="DL29" s="1240"/>
      <c r="DO29" s="1239"/>
      <c r="DP29" s="1343">
        <v>3.2000000000000001E-2</v>
      </c>
      <c r="DQ29" s="1344">
        <v>0.54</v>
      </c>
      <c r="DR29" s="1345">
        <v>0.76100000000000001</v>
      </c>
      <c r="DS29" s="1240"/>
      <c r="EI29" s="1371"/>
      <c r="EJ29" s="1371" t="s">
        <v>891</v>
      </c>
    </row>
    <row r="30" spans="2:143" ht="16.5" thickTop="1" thickBot="1" x14ac:dyDescent="0.3">
      <c r="B30" s="1225"/>
      <c r="C30" s="1241"/>
      <c r="D30" s="1416" t="s">
        <v>619</v>
      </c>
      <c r="E30" s="561">
        <v>2</v>
      </c>
      <c r="F30" s="1245" t="s">
        <v>620</v>
      </c>
      <c r="G30" s="1229"/>
      <c r="H30" s="1212">
        <v>5</v>
      </c>
      <c r="I30" s="1225"/>
      <c r="J30" s="1241" t="s">
        <v>621</v>
      </c>
      <c r="K30" s="1241"/>
      <c r="L30" s="1420">
        <v>0.05</v>
      </c>
      <c r="M30" s="1392">
        <v>10</v>
      </c>
      <c r="N30" s="1411">
        <v>800</v>
      </c>
      <c r="O30" s="1411">
        <v>1400</v>
      </c>
      <c r="P30" s="1229"/>
      <c r="Q30" s="1212">
        <v>17</v>
      </c>
      <c r="R30" s="657"/>
      <c r="S30" s="1241"/>
      <c r="T30" s="1395" t="s">
        <v>622</v>
      </c>
      <c r="U30" s="564">
        <v>3.3</v>
      </c>
      <c r="V30" s="1228" t="s">
        <v>586</v>
      </c>
      <c r="W30" s="1389"/>
      <c r="X30" s="1212">
        <v>20</v>
      </c>
      <c r="Y30" s="1225"/>
      <c r="Z30" s="1252" t="s">
        <v>623</v>
      </c>
      <c r="AA30" s="1253"/>
      <c r="AB30" s="1227" t="s">
        <v>624</v>
      </c>
      <c r="AC30" s="1227" t="s">
        <v>611</v>
      </c>
      <c r="AD30" s="1233"/>
      <c r="AF30" s="1246"/>
      <c r="AG30" s="1295">
        <v>17</v>
      </c>
      <c r="AH30" s="1367">
        <v>0.9760000000000002</v>
      </c>
      <c r="AI30" s="1368">
        <v>0.9760000000000002</v>
      </c>
      <c r="AJ30" s="1368">
        <v>0.9760000000000002</v>
      </c>
      <c r="AK30" s="1368">
        <v>0.9760000000000002</v>
      </c>
      <c r="AL30" s="1368">
        <v>0.9760000000000002</v>
      </c>
      <c r="AM30" s="1369">
        <v>0.9760000000000002</v>
      </c>
      <c r="AN30" s="1237"/>
      <c r="AO30" s="1238"/>
      <c r="AQ30" s="1246"/>
      <c r="AR30" s="1290">
        <v>23</v>
      </c>
      <c r="AS30" s="551">
        <v>3.4500000000000003E-2</v>
      </c>
      <c r="AT30" s="552">
        <v>8.7900000000000006E-2</v>
      </c>
      <c r="AU30" s="1237"/>
      <c r="AV30" s="1238"/>
      <c r="AW30" s="1238"/>
      <c r="AX30" s="1239"/>
      <c r="AY30" s="1247" t="s">
        <v>886</v>
      </c>
      <c r="AZ30" s="1236"/>
      <c r="BA30" s="1236"/>
      <c r="BB30" s="1236"/>
      <c r="BC30" s="1236"/>
      <c r="BD30" s="1240"/>
      <c r="BO30" s="1239"/>
      <c r="BP30" s="1295"/>
      <c r="BQ30" s="1295">
        <v>22</v>
      </c>
      <c r="BR30" s="1302">
        <v>1.1524000000000001</v>
      </c>
      <c r="BS30" s="1303">
        <v>350.02339999999998</v>
      </c>
      <c r="BT30" s="1299">
        <v>7.2300000000000003E-2</v>
      </c>
      <c r="BU30" s="1299">
        <v>2.2000000000000001E-3</v>
      </c>
      <c r="BV30" s="1299">
        <v>3.5000000000000001E-3</v>
      </c>
      <c r="BW30" s="1300">
        <v>2.75E-2</v>
      </c>
      <c r="BX30" s="1304">
        <v>2.0999999999999999E-3</v>
      </c>
      <c r="BY30" s="1240"/>
      <c r="CA30" s="1239"/>
      <c r="CB30" s="1295"/>
      <c r="CC30" s="1295">
        <v>22</v>
      </c>
      <c r="CD30" s="1302">
        <v>0.59640000000000004</v>
      </c>
      <c r="CE30" s="1303">
        <v>252.04820000000001</v>
      </c>
      <c r="CF30" s="1299">
        <v>2.1299999999999999E-2</v>
      </c>
      <c r="CG30" s="1299">
        <v>6.9999999999999999E-4</v>
      </c>
      <c r="CH30" s="1299">
        <v>2.5000000000000001E-3</v>
      </c>
      <c r="CI30" s="1300">
        <v>9.4000000000000004E-3</v>
      </c>
      <c r="CJ30" s="1304">
        <v>6.9999999999999999E-4</v>
      </c>
      <c r="CK30" s="1240"/>
      <c r="CN30" s="1239"/>
      <c r="CX30" s="1240"/>
      <c r="DA30" s="1239"/>
      <c r="DB30" s="1295">
        <v>425</v>
      </c>
      <c r="DC30" s="1338">
        <v>750</v>
      </c>
      <c r="DD30" s="1339">
        <v>750</v>
      </c>
      <c r="DE30" s="1340">
        <v>750</v>
      </c>
      <c r="DF30" s="1240"/>
      <c r="DH30" s="1239"/>
      <c r="DI30" s="1295">
        <v>425</v>
      </c>
      <c r="DJ30" s="1341">
        <v>0.93200000000000005</v>
      </c>
      <c r="DK30" s="1342">
        <v>0.73399999999999999</v>
      </c>
      <c r="DL30" s="1240"/>
      <c r="DO30" s="1239"/>
      <c r="DP30" s="1343">
        <v>3.4000000000000002E-2</v>
      </c>
      <c r="DQ30" s="1344">
        <v>0.498</v>
      </c>
      <c r="DR30" s="1345">
        <v>0.73399999999999999</v>
      </c>
      <c r="DS30" s="1240"/>
    </row>
    <row r="31" spans="2:143" ht="15.75" thickTop="1" x14ac:dyDescent="0.25">
      <c r="B31" s="1225"/>
      <c r="C31" s="1241"/>
      <c r="D31" s="1416" t="s">
        <v>625</v>
      </c>
      <c r="E31" s="561">
        <v>3</v>
      </c>
      <c r="F31" s="1245" t="s">
        <v>620</v>
      </c>
      <c r="G31" s="1229"/>
      <c r="H31" s="1212">
        <v>7</v>
      </c>
      <c r="I31" s="1225"/>
      <c r="J31" s="1241" t="s">
        <v>626</v>
      </c>
      <c r="K31" s="1241"/>
      <c r="L31" s="1420">
        <v>0.55000000000000004</v>
      </c>
      <c r="M31" s="1392">
        <v>8</v>
      </c>
      <c r="N31" s="1411">
        <v>1600</v>
      </c>
      <c r="O31" s="1245"/>
      <c r="P31" s="1229"/>
      <c r="Q31" s="1212">
        <v>18</v>
      </c>
      <c r="R31" s="657"/>
      <c r="S31" s="1241"/>
      <c r="T31" s="1395" t="s">
        <v>627</v>
      </c>
      <c r="U31" s="712">
        <v>2.23</v>
      </c>
      <c r="V31" s="713" t="s">
        <v>628</v>
      </c>
      <c r="W31" s="1389"/>
      <c r="X31" s="1212">
        <v>19</v>
      </c>
      <c r="Y31" s="1225"/>
      <c r="Z31" s="1252" t="s">
        <v>629</v>
      </c>
      <c r="AA31" s="1253"/>
      <c r="AB31" s="1227" t="s">
        <v>630</v>
      </c>
      <c r="AC31" s="1227" t="s">
        <v>611</v>
      </c>
      <c r="AD31" s="1233"/>
      <c r="AF31" s="1246"/>
      <c r="AG31" s="1295">
        <v>18</v>
      </c>
      <c r="AH31" s="1367">
        <v>0.98500000000000021</v>
      </c>
      <c r="AI31" s="1368">
        <v>0.98500000000000021</v>
      </c>
      <c r="AJ31" s="1368">
        <v>0.98500000000000021</v>
      </c>
      <c r="AK31" s="1368">
        <v>0.98500000000000021</v>
      </c>
      <c r="AL31" s="1368">
        <v>0.98500000000000021</v>
      </c>
      <c r="AM31" s="1369">
        <v>0.98500000000000021</v>
      </c>
      <c r="AN31" s="1237"/>
      <c r="AO31" s="1238"/>
      <c r="AQ31" s="1246"/>
      <c r="AR31" s="1290">
        <v>24</v>
      </c>
      <c r="AS31" s="551">
        <v>3.4099999999999998E-2</v>
      </c>
      <c r="AT31" s="552">
        <v>8.5000000000000006E-2</v>
      </c>
      <c r="AU31" s="1237"/>
      <c r="AV31" s="1238"/>
      <c r="AW31" s="1238"/>
      <c r="AX31" s="1239"/>
      <c r="BA31" s="1202"/>
      <c r="BD31" s="1240"/>
      <c r="BF31" s="714" t="s">
        <v>631</v>
      </c>
      <c r="BG31" s="715"/>
      <c r="BO31" s="1239"/>
      <c r="BP31" s="1295"/>
      <c r="BQ31" s="1295">
        <v>23</v>
      </c>
      <c r="BR31" s="1302">
        <v>1.1486000000000001</v>
      </c>
      <c r="BS31" s="1303">
        <v>343.90460000000002</v>
      </c>
      <c r="BT31" s="1299">
        <v>7.2099999999999997E-2</v>
      </c>
      <c r="BU31" s="1299">
        <v>2.2000000000000001E-3</v>
      </c>
      <c r="BV31" s="1299">
        <v>3.3999999999999998E-3</v>
      </c>
      <c r="BW31" s="1300">
        <v>2.63E-2</v>
      </c>
      <c r="BX31" s="1304">
        <v>2E-3</v>
      </c>
      <c r="BY31" s="1240"/>
      <c r="CA31" s="1239"/>
      <c r="CB31" s="1295"/>
      <c r="CC31" s="1295">
        <v>23</v>
      </c>
      <c r="CD31" s="1302">
        <v>0.6018</v>
      </c>
      <c r="CE31" s="1303">
        <v>250.86359999999999</v>
      </c>
      <c r="CF31" s="1299">
        <v>2.1499999999999998E-2</v>
      </c>
      <c r="CG31" s="1299">
        <v>6.9999999999999999E-4</v>
      </c>
      <c r="CH31" s="1299">
        <v>2.5000000000000001E-3</v>
      </c>
      <c r="CI31" s="1300">
        <v>9.1000000000000004E-3</v>
      </c>
      <c r="CJ31" s="1304">
        <v>5.9999999999999995E-4</v>
      </c>
      <c r="CK31" s="1240"/>
      <c r="CN31" s="1239"/>
      <c r="CX31" s="1240"/>
      <c r="DA31" s="1239"/>
      <c r="DB31" s="1427">
        <v>450</v>
      </c>
      <c r="DC31" s="1432">
        <v>750</v>
      </c>
      <c r="DD31" s="1433">
        <v>750</v>
      </c>
      <c r="DE31" s="1434">
        <v>750</v>
      </c>
      <c r="DF31" s="1240"/>
      <c r="DH31" s="1239"/>
      <c r="DI31" s="1427">
        <v>450</v>
      </c>
      <c r="DJ31" s="1435">
        <v>0.92300000000000004</v>
      </c>
      <c r="DK31" s="1436">
        <v>0.70899999999999996</v>
      </c>
      <c r="DL31" s="1240"/>
      <c r="DO31" s="1239"/>
      <c r="DP31" s="1343">
        <v>3.5999999999999997E-2</v>
      </c>
      <c r="DQ31" s="1344">
        <v>0.47599999999999998</v>
      </c>
      <c r="DR31" s="1345">
        <v>0.70599999999999996</v>
      </c>
      <c r="DS31" s="1240"/>
      <c r="DV31" s="1222"/>
      <c r="DW31" s="1223"/>
      <c r="DX31" s="1223"/>
      <c r="DY31" s="1223"/>
      <c r="DZ31" s="1223"/>
      <c r="EA31" s="1223"/>
      <c r="EB31" s="1223"/>
      <c r="EC31" s="1224"/>
    </row>
    <row r="32" spans="2:143" ht="15.75" thickBot="1" x14ac:dyDescent="0.3">
      <c r="B32" s="1225"/>
      <c r="C32" s="1241"/>
      <c r="D32" s="1416" t="s">
        <v>632</v>
      </c>
      <c r="E32" s="571">
        <v>0</v>
      </c>
      <c r="F32" s="1245" t="s">
        <v>633</v>
      </c>
      <c r="G32" s="1229"/>
      <c r="H32" s="1212"/>
      <c r="I32" s="1225"/>
      <c r="J32" s="1241"/>
      <c r="K32" s="1241"/>
      <c r="L32" s="1227"/>
      <c r="M32" s="1227"/>
      <c r="N32" s="1245"/>
      <c r="O32" s="1245"/>
      <c r="P32" s="1229"/>
      <c r="Q32" s="1212"/>
      <c r="R32" s="657"/>
      <c r="S32" s="1241"/>
      <c r="T32" s="1395" t="s">
        <v>634</v>
      </c>
      <c r="U32" s="712">
        <v>2.1</v>
      </c>
      <c r="V32" s="713" t="s">
        <v>628</v>
      </c>
      <c r="W32" s="1389"/>
      <c r="X32" s="1212">
        <v>19</v>
      </c>
      <c r="Y32" s="1225"/>
      <c r="Z32" s="1252" t="s">
        <v>635</v>
      </c>
      <c r="AA32" s="1253"/>
      <c r="AB32" s="1227" t="s">
        <v>636</v>
      </c>
      <c r="AC32" s="1227" t="s">
        <v>637</v>
      </c>
      <c r="AD32" s="1233"/>
      <c r="AF32" s="1246"/>
      <c r="AG32" s="1295">
        <v>19</v>
      </c>
      <c r="AH32" s="1367">
        <v>0.99100000000000021</v>
      </c>
      <c r="AI32" s="1368">
        <v>0.99100000000000021</v>
      </c>
      <c r="AJ32" s="1368">
        <v>0.99100000000000021</v>
      </c>
      <c r="AK32" s="1368">
        <v>0.99100000000000021</v>
      </c>
      <c r="AL32" s="1368">
        <v>0.99100000000000021</v>
      </c>
      <c r="AM32" s="1369">
        <v>0.99100000000000021</v>
      </c>
      <c r="AN32" s="1237"/>
      <c r="AO32" s="1238"/>
      <c r="AQ32" s="1246"/>
      <c r="AR32" s="1290">
        <v>25</v>
      </c>
      <c r="AS32" s="551">
        <v>3.3700000000000001E-2</v>
      </c>
      <c r="AT32" s="552">
        <v>8.2199999999999995E-2</v>
      </c>
      <c r="AU32" s="1237"/>
      <c r="AV32" s="1238"/>
      <c r="AW32" s="1238"/>
      <c r="AX32" s="1239"/>
      <c r="AY32" s="1267" t="s">
        <v>887</v>
      </c>
      <c r="AZ32" s="1268" t="s">
        <v>461</v>
      </c>
      <c r="BA32" s="1269" t="s">
        <v>465</v>
      </c>
      <c r="BB32" s="1269" t="s">
        <v>466</v>
      </c>
      <c r="BC32" s="1270" t="s">
        <v>94</v>
      </c>
      <c r="BD32" s="1240"/>
      <c r="BF32" s="716"/>
      <c r="BG32" s="714" t="s">
        <v>892</v>
      </c>
      <c r="BO32" s="1239"/>
      <c r="BP32" s="1295"/>
      <c r="BQ32" s="1295">
        <v>24</v>
      </c>
      <c r="BR32" s="1302">
        <v>1.1448</v>
      </c>
      <c r="BS32" s="1303">
        <v>337.89280000000002</v>
      </c>
      <c r="BT32" s="1299">
        <v>7.1900000000000006E-2</v>
      </c>
      <c r="BU32" s="1299">
        <v>2.0999999999999999E-3</v>
      </c>
      <c r="BV32" s="1299">
        <v>3.3E-3</v>
      </c>
      <c r="BW32" s="1300">
        <v>2.52E-2</v>
      </c>
      <c r="BX32" s="1304">
        <v>1.9E-3</v>
      </c>
      <c r="BY32" s="1240"/>
      <c r="CA32" s="1239"/>
      <c r="CB32" s="1295"/>
      <c r="CC32" s="1295">
        <v>24</v>
      </c>
      <c r="CD32" s="1302">
        <v>0.60719999999999996</v>
      </c>
      <c r="CE32" s="1303">
        <v>249.68469999999999</v>
      </c>
      <c r="CF32" s="1299">
        <v>2.1700000000000001E-2</v>
      </c>
      <c r="CG32" s="1299">
        <v>6.9999999999999999E-4</v>
      </c>
      <c r="CH32" s="1299">
        <v>2.5000000000000001E-3</v>
      </c>
      <c r="CI32" s="1300">
        <v>8.8000000000000005E-3</v>
      </c>
      <c r="CJ32" s="1304">
        <v>5.9999999999999995E-4</v>
      </c>
      <c r="CK32" s="1240"/>
      <c r="CN32" s="1239"/>
      <c r="CO32" s="1235" t="s">
        <v>638</v>
      </c>
      <c r="CP32" s="1236"/>
      <c r="CQ32" s="1236"/>
      <c r="CR32" s="1236"/>
      <c r="CS32" s="1236"/>
      <c r="CT32" s="1236"/>
      <c r="CU32" s="1236"/>
      <c r="CV32" s="1236"/>
      <c r="CW32" s="1236"/>
      <c r="CX32" s="1240"/>
      <c r="DA32" s="1351"/>
      <c r="DB32" s="1352"/>
      <c r="DC32" s="1352"/>
      <c r="DD32" s="1352"/>
      <c r="DE32" s="1352"/>
      <c r="DF32" s="1353"/>
      <c r="DH32" s="1351"/>
      <c r="DI32" s="1352"/>
      <c r="DJ32" s="1352"/>
      <c r="DK32" s="1352"/>
      <c r="DL32" s="1353"/>
      <c r="DO32" s="1239"/>
      <c r="DP32" s="1343">
        <v>3.7999999999999999E-2</v>
      </c>
      <c r="DQ32" s="1344">
        <v>0.47299999999999998</v>
      </c>
      <c r="DR32" s="1345">
        <v>0.67800000000000005</v>
      </c>
      <c r="DS32" s="1240"/>
      <c r="DV32" s="1239"/>
      <c r="DW32" s="1235" t="s">
        <v>639</v>
      </c>
      <c r="DX32" s="1235"/>
      <c r="DY32" s="1235"/>
      <c r="DZ32" s="1236"/>
      <c r="EA32" s="1236"/>
      <c r="EB32" s="1236"/>
      <c r="EC32" s="1240"/>
    </row>
    <row r="33" spans="2:145" ht="16.5" thickTop="1" thickBot="1" x14ac:dyDescent="0.3">
      <c r="B33" s="1225"/>
      <c r="C33" s="1241"/>
      <c r="D33" s="1226"/>
      <c r="E33" s="1227"/>
      <c r="F33" s="1245"/>
      <c r="G33" s="1229"/>
      <c r="H33" s="572"/>
      <c r="I33" s="1225"/>
      <c r="J33" s="1241"/>
      <c r="K33" s="1241"/>
      <c r="L33" s="1227"/>
      <c r="M33" s="1227"/>
      <c r="N33" s="1384" t="s">
        <v>590</v>
      </c>
      <c r="O33" s="1245"/>
      <c r="P33" s="1229"/>
      <c r="Q33" s="1212"/>
      <c r="R33" s="657"/>
      <c r="S33" s="1241"/>
      <c r="T33" s="1395" t="s">
        <v>640</v>
      </c>
      <c r="U33" s="570">
        <v>0.5</v>
      </c>
      <c r="V33" s="1228" t="s">
        <v>641</v>
      </c>
      <c r="W33" s="1389"/>
      <c r="X33" s="1212"/>
      <c r="Y33" s="1225"/>
      <c r="Z33" s="1252" t="s">
        <v>642</v>
      </c>
      <c r="AA33" s="1253"/>
      <c r="AB33" s="1227" t="s">
        <v>643</v>
      </c>
      <c r="AC33" s="1227" t="s">
        <v>644</v>
      </c>
      <c r="AD33" s="1233"/>
      <c r="AF33" s="1246"/>
      <c r="AG33" s="1295">
        <v>20</v>
      </c>
      <c r="AH33" s="1367">
        <v>0.99400000000000022</v>
      </c>
      <c r="AI33" s="1368">
        <v>0.99400000000000022</v>
      </c>
      <c r="AJ33" s="1368">
        <v>0.99400000000000022</v>
      </c>
      <c r="AK33" s="1368">
        <v>0.99400000000000022</v>
      </c>
      <c r="AL33" s="1368">
        <v>0.99400000000000022</v>
      </c>
      <c r="AM33" s="1369">
        <v>0.99400000000000022</v>
      </c>
      <c r="AN33" s="1237"/>
      <c r="AO33" s="1238"/>
      <c r="AQ33" s="1246"/>
      <c r="AR33" s="1290">
        <v>26</v>
      </c>
      <c r="AS33" s="551">
        <v>3.3399999999999999E-2</v>
      </c>
      <c r="AT33" s="552">
        <v>8.1299999999999997E-2</v>
      </c>
      <c r="AU33" s="1237"/>
      <c r="AV33" s="1238"/>
      <c r="AW33" s="1238"/>
      <c r="AX33" s="1239"/>
      <c r="AY33" s="1291" t="s">
        <v>888</v>
      </c>
      <c r="AZ33" s="573">
        <v>0.81</v>
      </c>
      <c r="BA33" s="573">
        <v>0.82</v>
      </c>
      <c r="BB33" s="573">
        <v>1.1200000000000001</v>
      </c>
      <c r="BC33" s="574">
        <v>0.95</v>
      </c>
      <c r="BD33" s="1240"/>
      <c r="BO33" s="1239"/>
      <c r="BP33" s="1295"/>
      <c r="BQ33" s="1295">
        <v>25</v>
      </c>
      <c r="BR33" s="1302">
        <v>1.141</v>
      </c>
      <c r="BS33" s="1303">
        <v>331.98610000000002</v>
      </c>
      <c r="BT33" s="1299">
        <v>7.1800000000000003E-2</v>
      </c>
      <c r="BU33" s="1299">
        <v>2E-3</v>
      </c>
      <c r="BV33" s="1299">
        <v>3.3E-3</v>
      </c>
      <c r="BW33" s="1300">
        <v>2.4199999999999999E-2</v>
      </c>
      <c r="BX33" s="1304">
        <v>1.8E-3</v>
      </c>
      <c r="BY33" s="1240"/>
      <c r="CA33" s="1239"/>
      <c r="CB33" s="1295"/>
      <c r="CC33" s="1295">
        <v>25</v>
      </c>
      <c r="CD33" s="1302">
        <v>0.61270000000000002</v>
      </c>
      <c r="CE33" s="1303">
        <v>248.5112</v>
      </c>
      <c r="CF33" s="1299">
        <v>2.18E-2</v>
      </c>
      <c r="CG33" s="1299">
        <v>6.9999999999999999E-4</v>
      </c>
      <c r="CH33" s="1299">
        <v>2.5000000000000001E-3</v>
      </c>
      <c r="CI33" s="1300">
        <v>8.5000000000000006E-3</v>
      </c>
      <c r="CJ33" s="1304">
        <v>5.9999999999999995E-4</v>
      </c>
      <c r="CK33" s="1240"/>
      <c r="CN33" s="1239"/>
      <c r="CO33" s="1247" t="s">
        <v>645</v>
      </c>
      <c r="CP33" s="1236"/>
      <c r="CQ33" s="1236"/>
      <c r="CR33" s="1236"/>
      <c r="CS33" s="1236"/>
      <c r="CT33" s="1236"/>
      <c r="CU33" s="1236"/>
      <c r="CV33" s="1236"/>
      <c r="CW33" s="1236"/>
      <c r="CX33" s="1240"/>
      <c r="DO33" s="1239"/>
      <c r="DP33" s="1343">
        <v>0.04</v>
      </c>
      <c r="DQ33" s="1344">
        <v>0.47099999999999997</v>
      </c>
      <c r="DR33" s="1345">
        <v>0.65</v>
      </c>
      <c r="DS33" s="1240"/>
      <c r="DV33" s="1239"/>
      <c r="DW33" s="1247" t="s">
        <v>646</v>
      </c>
      <c r="DX33" s="1247"/>
      <c r="DY33" s="1247"/>
      <c r="DZ33" s="1236"/>
      <c r="EA33" s="1236"/>
      <c r="EB33" s="1236"/>
      <c r="EC33" s="1240"/>
    </row>
    <row r="34" spans="2:145" ht="16.5" thickTop="1" x14ac:dyDescent="0.25">
      <c r="B34" s="1386" t="s">
        <v>647</v>
      </c>
      <c r="C34" s="1241"/>
      <c r="D34" s="1226"/>
      <c r="E34" s="1227"/>
      <c r="F34" s="1245"/>
      <c r="G34" s="1229"/>
      <c r="H34" s="572"/>
      <c r="I34" s="1225"/>
      <c r="J34" s="1398" t="s">
        <v>648</v>
      </c>
      <c r="K34" s="1227"/>
      <c r="L34" s="1384" t="s">
        <v>598</v>
      </c>
      <c r="M34" s="1384" t="s">
        <v>599</v>
      </c>
      <c r="N34" s="1384" t="s">
        <v>600</v>
      </c>
      <c r="O34" s="1245"/>
      <c r="P34" s="1229"/>
      <c r="Q34" s="1212"/>
      <c r="R34" s="657"/>
      <c r="S34" s="1241"/>
      <c r="T34" s="1395" t="s">
        <v>649</v>
      </c>
      <c r="U34" s="570">
        <v>0.5</v>
      </c>
      <c r="V34" s="1228" t="s">
        <v>641</v>
      </c>
      <c r="W34" s="1389"/>
      <c r="X34" s="1212"/>
      <c r="Y34" s="1225"/>
      <c r="Z34" s="1252" t="s">
        <v>650</v>
      </c>
      <c r="AA34" s="1253"/>
      <c r="AB34" s="1227" t="s">
        <v>651</v>
      </c>
      <c r="AC34" s="1227" t="s">
        <v>644</v>
      </c>
      <c r="AD34" s="1233"/>
      <c r="AF34" s="1246"/>
      <c r="AG34" s="1295">
        <v>21</v>
      </c>
      <c r="AH34" s="1367">
        <v>0.99700000000000022</v>
      </c>
      <c r="AI34" s="1368">
        <v>0.99700000000000022</v>
      </c>
      <c r="AJ34" s="1368">
        <v>0.99700000000000022</v>
      </c>
      <c r="AK34" s="1368">
        <v>0.99700000000000022</v>
      </c>
      <c r="AL34" s="1368">
        <v>0.99700000000000022</v>
      </c>
      <c r="AM34" s="1369">
        <v>0.99700000000000022</v>
      </c>
      <c r="AN34" s="1237"/>
      <c r="AO34" s="1238"/>
      <c r="AQ34" s="1246"/>
      <c r="AR34" s="1290">
        <v>27</v>
      </c>
      <c r="AS34" s="551">
        <v>3.3099999999999997E-2</v>
      </c>
      <c r="AT34" s="552">
        <v>8.0299999999999996E-2</v>
      </c>
      <c r="AU34" s="1237"/>
      <c r="AV34" s="1238"/>
      <c r="AW34" s="1238"/>
      <c r="AX34" s="1239"/>
      <c r="AY34" s="1358" t="s">
        <v>893</v>
      </c>
      <c r="AZ34" s="575">
        <v>1.44</v>
      </c>
      <c r="BA34" s="575">
        <v>1.43</v>
      </c>
      <c r="BB34" s="575">
        <v>1.5</v>
      </c>
      <c r="BC34" s="576">
        <v>1.44</v>
      </c>
      <c r="BD34" s="1240"/>
      <c r="BF34" s="1222"/>
      <c r="BG34" s="1223"/>
      <c r="BH34" s="1223"/>
      <c r="BI34" s="1223"/>
      <c r="BJ34" s="1223"/>
      <c r="BK34" s="1223"/>
      <c r="BL34" s="1224"/>
      <c r="BO34" s="1239"/>
      <c r="BP34" s="1295"/>
      <c r="BQ34" s="1295">
        <v>26</v>
      </c>
      <c r="BR34" s="1302">
        <v>1.1286</v>
      </c>
      <c r="BS34" s="1303">
        <v>327.27409999999998</v>
      </c>
      <c r="BT34" s="1299">
        <v>7.1099999999999997E-2</v>
      </c>
      <c r="BU34" s="1299">
        <v>1.9E-3</v>
      </c>
      <c r="BV34" s="1299">
        <v>3.2000000000000002E-3</v>
      </c>
      <c r="BW34" s="1300">
        <v>2.3199999999999998E-2</v>
      </c>
      <c r="BX34" s="1304">
        <v>1.6999999999999999E-3</v>
      </c>
      <c r="BY34" s="1240"/>
      <c r="CA34" s="1239"/>
      <c r="CB34" s="1295"/>
      <c r="CC34" s="1295">
        <v>26</v>
      </c>
      <c r="CD34" s="1302">
        <v>0.61439999999999995</v>
      </c>
      <c r="CE34" s="1303">
        <v>247.79</v>
      </c>
      <c r="CF34" s="1299">
        <v>2.1999999999999999E-2</v>
      </c>
      <c r="CG34" s="1299">
        <v>5.9999999999999995E-4</v>
      </c>
      <c r="CH34" s="1299">
        <v>2.3999999999999998E-3</v>
      </c>
      <c r="CI34" s="1300">
        <v>8.3000000000000001E-3</v>
      </c>
      <c r="CJ34" s="1304">
        <v>5.9999999999999995E-4</v>
      </c>
      <c r="CK34" s="1240"/>
      <c r="CN34" s="1239"/>
      <c r="CO34" s="1256"/>
      <c r="CX34" s="1240"/>
      <c r="DA34" s="1371" t="s">
        <v>652</v>
      </c>
      <c r="DH34" s="1371" t="s">
        <v>653</v>
      </c>
      <c r="DO34" s="1239"/>
      <c r="DP34" s="1343">
        <v>4.2000000000000003E-2</v>
      </c>
      <c r="DQ34" s="1344">
        <v>0.46800000000000003</v>
      </c>
      <c r="DR34" s="1345">
        <v>0.623</v>
      </c>
      <c r="DS34" s="1240"/>
      <c r="DV34" s="1239"/>
      <c r="DW34" s="1248"/>
      <c r="DX34" s="1248"/>
      <c r="DY34" s="1248"/>
      <c r="EC34" s="1240"/>
    </row>
    <row r="35" spans="2:145" ht="15.75" x14ac:dyDescent="0.25">
      <c r="B35" s="1386"/>
      <c r="C35" s="1241"/>
      <c r="D35" s="1226"/>
      <c r="E35" s="1227"/>
      <c r="F35" s="1245"/>
      <c r="G35" s="1229"/>
      <c r="H35" s="572"/>
      <c r="I35" s="1225"/>
      <c r="J35" s="1241"/>
      <c r="K35" s="1395" t="s">
        <v>74</v>
      </c>
      <c r="L35" s="1437"/>
      <c r="M35" s="1438"/>
      <c r="N35" s="1439"/>
      <c r="O35" s="1245"/>
      <c r="P35" s="1229"/>
      <c r="Q35" s="1212"/>
      <c r="R35" s="657"/>
      <c r="S35" s="1241"/>
      <c r="T35" s="1383"/>
      <c r="U35" s="1245"/>
      <c r="V35" s="1228"/>
      <c r="W35" s="1389"/>
      <c r="X35" s="1212"/>
      <c r="Y35" s="1225"/>
      <c r="Z35" s="1227"/>
      <c r="AA35" s="658"/>
      <c r="AB35" s="1227"/>
      <c r="AC35" s="1227"/>
      <c r="AD35" s="1233"/>
      <c r="AF35" s="1246"/>
      <c r="AG35" s="1295">
        <v>22</v>
      </c>
      <c r="AH35" s="1367">
        <v>0.99800000000000022</v>
      </c>
      <c r="AI35" s="1368">
        <v>0.99800000000000022</v>
      </c>
      <c r="AJ35" s="1368">
        <v>0.99800000000000022</v>
      </c>
      <c r="AK35" s="1368">
        <v>0.99800000000000022</v>
      </c>
      <c r="AL35" s="1368">
        <v>0.99800000000000022</v>
      </c>
      <c r="AM35" s="1369">
        <v>0.99800000000000022</v>
      </c>
      <c r="AN35" s="1237"/>
      <c r="AO35" s="1238"/>
      <c r="AQ35" s="1246"/>
      <c r="AR35" s="1290">
        <v>28</v>
      </c>
      <c r="AS35" s="551">
        <v>3.2800000000000003E-2</v>
      </c>
      <c r="AT35" s="552">
        <v>7.9399999999999998E-2</v>
      </c>
      <c r="AU35" s="1237"/>
      <c r="AV35" s="1238"/>
      <c r="AW35" s="1238"/>
      <c r="AX35" s="1239"/>
      <c r="BD35" s="1240"/>
      <c r="BF35" s="1239"/>
      <c r="BG35" s="1235" t="s">
        <v>654</v>
      </c>
      <c r="BH35" s="1236"/>
      <c r="BI35" s="1236"/>
      <c r="BJ35" s="1236"/>
      <c r="BK35" s="1236"/>
      <c r="BL35" s="1240"/>
      <c r="BO35" s="1239"/>
      <c r="BP35" s="1295"/>
      <c r="BQ35" s="1295">
        <v>27</v>
      </c>
      <c r="BR35" s="1302">
        <v>1.1164000000000001</v>
      </c>
      <c r="BS35" s="1303">
        <v>322.62889999999999</v>
      </c>
      <c r="BT35" s="1299">
        <v>7.0300000000000001E-2</v>
      </c>
      <c r="BU35" s="1299">
        <v>1.8E-3</v>
      </c>
      <c r="BV35" s="1299">
        <v>3.2000000000000002E-3</v>
      </c>
      <c r="BW35" s="1300">
        <v>2.2200000000000001E-2</v>
      </c>
      <c r="BX35" s="1304">
        <v>1.6999999999999999E-3</v>
      </c>
      <c r="BY35" s="1240"/>
      <c r="CA35" s="1239"/>
      <c r="CB35" s="1295"/>
      <c r="CC35" s="1295">
        <v>27</v>
      </c>
      <c r="CD35" s="1302">
        <v>0.61609999999999998</v>
      </c>
      <c r="CE35" s="1303">
        <v>247.07089999999999</v>
      </c>
      <c r="CF35" s="1299">
        <v>2.2100000000000002E-2</v>
      </c>
      <c r="CG35" s="1299">
        <v>5.9999999999999995E-4</v>
      </c>
      <c r="CH35" s="1299">
        <v>2.3999999999999998E-3</v>
      </c>
      <c r="CI35" s="1300">
        <v>8.0000000000000002E-3</v>
      </c>
      <c r="CJ35" s="1304">
        <v>5.9999999999999995E-4</v>
      </c>
      <c r="CK35" s="1240"/>
      <c r="CN35" s="1239"/>
      <c r="CO35" s="1271" t="s">
        <v>242</v>
      </c>
      <c r="CP35" s="1271" t="s">
        <v>34</v>
      </c>
      <c r="CQ35" s="1272" t="s">
        <v>344</v>
      </c>
      <c r="CR35" s="1268" t="s">
        <v>604</v>
      </c>
      <c r="CS35" s="1269" t="s">
        <v>476</v>
      </c>
      <c r="CT35" s="1269" t="s">
        <v>477</v>
      </c>
      <c r="CU35" s="1269" t="s">
        <v>478</v>
      </c>
      <c r="CV35" s="1269" t="s">
        <v>349</v>
      </c>
      <c r="CW35" s="1270" t="s">
        <v>605</v>
      </c>
      <c r="CX35" s="1240"/>
      <c r="DO35" s="1239"/>
      <c r="DP35" s="1343">
        <v>4.3999999999999997E-2</v>
      </c>
      <c r="DQ35" s="1344">
        <v>0.46600000000000003</v>
      </c>
      <c r="DR35" s="1345">
        <v>0.59499999999999997</v>
      </c>
      <c r="DS35" s="1240"/>
      <c r="DV35" s="1239"/>
      <c r="DW35" s="1280"/>
      <c r="DX35" s="1209"/>
      <c r="DY35" s="1216"/>
      <c r="DZ35" s="1278" t="s">
        <v>378</v>
      </c>
      <c r="EA35" s="1261" t="s">
        <v>655</v>
      </c>
      <c r="EB35" s="1440"/>
      <c r="EC35" s="1240"/>
    </row>
    <row r="36" spans="2:145" ht="16.5" thickBot="1" x14ac:dyDescent="0.3">
      <c r="B36" s="1386"/>
      <c r="C36" s="1241" t="s">
        <v>656</v>
      </c>
      <c r="D36" s="1226"/>
      <c r="E36" s="1227"/>
      <c r="F36" s="1245"/>
      <c r="G36" s="1229"/>
      <c r="H36" s="572"/>
      <c r="I36" s="1225"/>
      <c r="J36" s="1241"/>
      <c r="K36" s="1395" t="s">
        <v>125</v>
      </c>
      <c r="L36" s="1437"/>
      <c r="M36" s="1438"/>
      <c r="N36" s="1439"/>
      <c r="O36" s="1245"/>
      <c r="P36" s="1229"/>
      <c r="Q36" s="1212"/>
      <c r="R36" s="1441"/>
      <c r="S36" s="1393" t="s">
        <v>657</v>
      </c>
      <c r="T36" s="1245"/>
      <c r="U36" s="1245"/>
      <c r="V36" s="1228"/>
      <c r="W36" s="1442"/>
      <c r="X36" s="1212"/>
      <c r="Y36" s="1225"/>
      <c r="Z36" s="1241" t="s">
        <v>658</v>
      </c>
      <c r="AA36" s="1245"/>
      <c r="AB36" s="1227"/>
      <c r="AC36" s="1227" t="s">
        <v>659</v>
      </c>
      <c r="AD36" s="1233"/>
      <c r="AF36" s="1246"/>
      <c r="AG36" s="1295">
        <v>23</v>
      </c>
      <c r="AH36" s="1367">
        <v>0.99900000000000022</v>
      </c>
      <c r="AI36" s="1368">
        <v>0.99900000000000022</v>
      </c>
      <c r="AJ36" s="1368">
        <v>0.99900000000000022</v>
      </c>
      <c r="AK36" s="1368">
        <v>0.99900000000000022</v>
      </c>
      <c r="AL36" s="1368">
        <v>0.99900000000000022</v>
      </c>
      <c r="AM36" s="1369">
        <v>0.99900000000000022</v>
      </c>
      <c r="AN36" s="1237"/>
      <c r="AO36" s="1238"/>
      <c r="AQ36" s="1246"/>
      <c r="AR36" s="1290">
        <v>29</v>
      </c>
      <c r="AS36" s="551">
        <v>3.2500000000000001E-2</v>
      </c>
      <c r="AT36" s="552">
        <v>7.85E-2</v>
      </c>
      <c r="AU36" s="1237"/>
      <c r="AV36" s="1238"/>
      <c r="AW36" s="1238"/>
      <c r="AX36" s="1239"/>
      <c r="BD36" s="1240"/>
      <c r="BF36" s="1239"/>
      <c r="BG36" s="1247" t="s">
        <v>660</v>
      </c>
      <c r="BH36" s="1236"/>
      <c r="BI36" s="1236"/>
      <c r="BJ36" s="1236"/>
      <c r="BK36" s="1236"/>
      <c r="BL36" s="1240"/>
      <c r="BO36" s="1239"/>
      <c r="BP36" s="1295"/>
      <c r="BQ36" s="1295">
        <v>28</v>
      </c>
      <c r="BR36" s="1302">
        <v>1.1042000000000001</v>
      </c>
      <c r="BS36" s="1303">
        <v>318.04969999999997</v>
      </c>
      <c r="BT36" s="1299">
        <v>6.9599999999999995E-2</v>
      </c>
      <c r="BU36" s="1299">
        <v>1.6999999999999999E-3</v>
      </c>
      <c r="BV36" s="1299">
        <v>3.0999999999999999E-3</v>
      </c>
      <c r="BW36" s="1300">
        <v>2.1299999999999999E-2</v>
      </c>
      <c r="BX36" s="1304">
        <v>1.6000000000000001E-3</v>
      </c>
      <c r="BY36" s="1240"/>
      <c r="CA36" s="1239"/>
      <c r="CB36" s="1295"/>
      <c r="CC36" s="1295">
        <v>28</v>
      </c>
      <c r="CD36" s="1302">
        <v>0.61780000000000002</v>
      </c>
      <c r="CE36" s="1303">
        <v>246.35390000000001</v>
      </c>
      <c r="CF36" s="1299">
        <v>2.2200000000000001E-2</v>
      </c>
      <c r="CG36" s="1299">
        <v>5.9999999999999995E-4</v>
      </c>
      <c r="CH36" s="1299">
        <v>2.3999999999999998E-3</v>
      </c>
      <c r="CI36" s="1300">
        <v>7.7999999999999996E-3</v>
      </c>
      <c r="CJ36" s="1304">
        <v>5.9999999999999995E-4</v>
      </c>
      <c r="CK36" s="1240"/>
      <c r="CN36" s="1239"/>
      <c r="CO36" s="1421" t="s">
        <v>456</v>
      </c>
      <c r="CP36" s="1295">
        <v>2021</v>
      </c>
      <c r="CQ36" s="1422">
        <v>0.30793468022032555</v>
      </c>
      <c r="CR36" s="1443">
        <v>1241.7336277075171</v>
      </c>
      <c r="CS36" s="1424">
        <v>0.38673042777796213</v>
      </c>
      <c r="CT36" s="1424">
        <v>6.6299535089004408E-2</v>
      </c>
      <c r="CU36" s="1424">
        <v>8.7287146098541088E-2</v>
      </c>
      <c r="CV36" s="1424">
        <v>2.548694683471648E-2</v>
      </c>
      <c r="CW36" s="1425">
        <v>6.433220275077213E-2</v>
      </c>
      <c r="CX36" s="1240"/>
      <c r="DO36" s="1239"/>
      <c r="DP36" s="1343">
        <v>4.5999999999999999E-2</v>
      </c>
      <c r="DQ36" s="1344">
        <v>0.46300000000000002</v>
      </c>
      <c r="DR36" s="1345">
        <v>0.56699999999999995</v>
      </c>
      <c r="DS36" s="1240"/>
      <c r="DV36" s="1239"/>
      <c r="DW36" s="1444" t="s">
        <v>661</v>
      </c>
      <c r="DX36" s="1320"/>
      <c r="DY36" s="1445"/>
      <c r="DZ36" s="1311" t="s">
        <v>385</v>
      </c>
      <c r="EA36" s="1314" t="s">
        <v>662</v>
      </c>
      <c r="EB36" s="1312" t="s">
        <v>663</v>
      </c>
      <c r="EC36" s="1240"/>
    </row>
    <row r="37" spans="2:145" ht="16.5" thickTop="1" x14ac:dyDescent="0.25">
      <c r="B37" s="1386"/>
      <c r="C37" s="1241"/>
      <c r="D37" s="1414" t="s">
        <v>664</v>
      </c>
      <c r="E37" s="560">
        <f>AVERAGE(3.227,4.39)*ValueUpdate</f>
        <v>3.8084999999999996</v>
      </c>
      <c r="F37" s="1245" t="s">
        <v>665</v>
      </c>
      <c r="G37" s="1229"/>
      <c r="H37" s="1212">
        <v>8</v>
      </c>
      <c r="I37" s="1318"/>
      <c r="J37" s="1320"/>
      <c r="K37" s="1320"/>
      <c r="L37" s="1320"/>
      <c r="M37" s="1320"/>
      <c r="N37" s="1320"/>
      <c r="O37" s="1320"/>
      <c r="P37" s="1322"/>
      <c r="Q37" s="1212"/>
      <c r="R37" s="1441"/>
      <c r="S37" s="1241"/>
      <c r="T37" s="1400" t="s">
        <v>666</v>
      </c>
      <c r="U37" s="577">
        <f>ValTimeAuto</f>
        <v>16.200000000000003</v>
      </c>
      <c r="V37" s="1228" t="s">
        <v>589</v>
      </c>
      <c r="W37" s="1442"/>
      <c r="X37" s="1212"/>
      <c r="Y37" s="1225"/>
      <c r="Z37" s="1401" t="s">
        <v>667</v>
      </c>
      <c r="AA37" s="1253"/>
      <c r="AB37" s="1227" t="s">
        <v>668</v>
      </c>
      <c r="AC37" s="1227" t="s">
        <v>669</v>
      </c>
      <c r="AD37" s="1233"/>
      <c r="AF37" s="1246"/>
      <c r="AG37" s="1427">
        <v>24</v>
      </c>
      <c r="AH37" s="1446">
        <v>1.0000000000000002</v>
      </c>
      <c r="AI37" s="1447">
        <v>1.0000000000000002</v>
      </c>
      <c r="AJ37" s="1447">
        <v>1.0000000000000002</v>
      </c>
      <c r="AK37" s="1447">
        <v>1.0000000000000002</v>
      </c>
      <c r="AL37" s="1447">
        <v>1.0000000000000002</v>
      </c>
      <c r="AM37" s="1448">
        <v>1.0000000000000002</v>
      </c>
      <c r="AN37" s="1237"/>
      <c r="AO37" s="1238"/>
      <c r="AQ37" s="1246"/>
      <c r="AR37" s="1290">
        <v>30</v>
      </c>
      <c r="AS37" s="551">
        <v>3.2199999999999999E-2</v>
      </c>
      <c r="AT37" s="552">
        <v>7.7600000000000002E-2</v>
      </c>
      <c r="AU37" s="1237"/>
      <c r="AV37" s="1238"/>
      <c r="AW37" s="1238"/>
      <c r="AX37" s="1239"/>
      <c r="AY37" s="1235" t="s">
        <v>670</v>
      </c>
      <c r="AZ37" s="1236"/>
      <c r="BA37" s="1236"/>
      <c r="BB37" s="1236"/>
      <c r="BC37" s="1236"/>
      <c r="BD37" s="1240"/>
      <c r="BF37" s="1239"/>
      <c r="BI37" s="1202"/>
      <c r="BL37" s="1240"/>
      <c r="BO37" s="1239"/>
      <c r="BP37" s="1295"/>
      <c r="BQ37" s="1295">
        <v>29</v>
      </c>
      <c r="BR37" s="1302">
        <v>1.0922000000000001</v>
      </c>
      <c r="BS37" s="1303">
        <v>313.53550000000001</v>
      </c>
      <c r="BT37" s="1299">
        <v>6.8900000000000003E-2</v>
      </c>
      <c r="BU37" s="1299">
        <v>1.6999999999999999E-3</v>
      </c>
      <c r="BV37" s="1299">
        <v>3.0999999999999999E-3</v>
      </c>
      <c r="BW37" s="1300">
        <v>2.0400000000000001E-2</v>
      </c>
      <c r="BX37" s="1304">
        <v>1.5E-3</v>
      </c>
      <c r="BY37" s="1240"/>
      <c r="CA37" s="1239"/>
      <c r="CB37" s="1295"/>
      <c r="CC37" s="1295">
        <v>29</v>
      </c>
      <c r="CD37" s="1302">
        <v>0.61950000000000005</v>
      </c>
      <c r="CE37" s="1303">
        <v>245.63890000000001</v>
      </c>
      <c r="CF37" s="1299">
        <v>2.24E-2</v>
      </c>
      <c r="CG37" s="1299">
        <v>5.9999999999999995E-4</v>
      </c>
      <c r="CH37" s="1299">
        <v>2.3999999999999998E-3</v>
      </c>
      <c r="CI37" s="1300">
        <v>7.6E-3</v>
      </c>
      <c r="CJ37" s="1304">
        <v>5.0000000000000001E-4</v>
      </c>
      <c r="CK37" s="1240"/>
      <c r="CN37" s="1239"/>
      <c r="CO37" s="1426"/>
      <c r="CP37" s="1427">
        <v>2022</v>
      </c>
      <c r="CQ37" s="1428">
        <v>0.30793468022032555</v>
      </c>
      <c r="CR37" s="1449">
        <v>1241.7336277075171</v>
      </c>
      <c r="CS37" s="1430">
        <v>0.38673042777796213</v>
      </c>
      <c r="CT37" s="1430">
        <v>6.6299535089004408E-2</v>
      </c>
      <c r="CU37" s="1430">
        <v>8.7287146098541088E-2</v>
      </c>
      <c r="CV37" s="1430">
        <v>2.548694683471648E-2</v>
      </c>
      <c r="CW37" s="1431">
        <v>6.433220275077213E-2</v>
      </c>
      <c r="CX37" s="1240"/>
      <c r="DA37" s="1222"/>
      <c r="DB37" s="1223"/>
      <c r="DC37" s="1223"/>
      <c r="DD37" s="1223"/>
      <c r="DE37" s="1224"/>
      <c r="DF37" s="1239"/>
      <c r="DH37" s="1222"/>
      <c r="DI37" s="1223"/>
      <c r="DJ37" s="1223"/>
      <c r="DK37" s="1223"/>
      <c r="DL37" s="1224"/>
      <c r="DO37" s="1239"/>
      <c r="DP37" s="1343">
        <v>4.8000000000000001E-2</v>
      </c>
      <c r="DQ37" s="1344">
        <v>0.46</v>
      </c>
      <c r="DR37" s="1345">
        <v>0.54</v>
      </c>
      <c r="DS37" s="1240"/>
      <c r="DV37" s="1239"/>
      <c r="DW37" s="1450" t="s">
        <v>671</v>
      </c>
      <c r="DZ37" s="578">
        <v>0.15</v>
      </c>
      <c r="EA37" s="579">
        <v>0.02</v>
      </c>
      <c r="EB37" s="580">
        <v>0.08</v>
      </c>
      <c r="EC37" s="1240"/>
    </row>
    <row r="38" spans="2:145" ht="16.5" thickBot="1" x14ac:dyDescent="0.3">
      <c r="B38" s="1386"/>
      <c r="C38" s="1241"/>
      <c r="D38" s="1416" t="s">
        <v>672</v>
      </c>
      <c r="E38" s="560">
        <f>AVERAGE(4.372,3.366)*ValueUpdate</f>
        <v>3.8689999999999998</v>
      </c>
      <c r="F38" s="1245" t="s">
        <v>665</v>
      </c>
      <c r="G38" s="1229"/>
      <c r="H38" s="1212">
        <v>8</v>
      </c>
      <c r="R38" s="1441"/>
      <c r="S38" s="1241"/>
      <c r="T38" s="1395" t="s">
        <v>673</v>
      </c>
      <c r="U38" s="577">
        <f>ValTimeAuto</f>
        <v>16.200000000000003</v>
      </c>
      <c r="V38" s="1228" t="s">
        <v>589</v>
      </c>
      <c r="W38" s="1442"/>
      <c r="X38" s="1371"/>
      <c r="Y38" s="1225"/>
      <c r="Z38" s="1252" t="s">
        <v>674</v>
      </c>
      <c r="AA38" s="1253"/>
      <c r="AB38" s="1227" t="s">
        <v>675</v>
      </c>
      <c r="AC38" s="1227" t="s">
        <v>669</v>
      </c>
      <c r="AD38" s="1233"/>
      <c r="AF38" s="1351"/>
      <c r="AG38" s="1352"/>
      <c r="AH38" s="1352"/>
      <c r="AI38" s="1352"/>
      <c r="AJ38" s="1352"/>
      <c r="AK38" s="1352"/>
      <c r="AL38" s="1352"/>
      <c r="AM38" s="1352"/>
      <c r="AN38" s="1353"/>
      <c r="AQ38" s="1246"/>
      <c r="AR38" s="1290">
        <v>31</v>
      </c>
      <c r="AS38" s="551">
        <v>3.1699999999999999E-2</v>
      </c>
      <c r="AT38" s="552">
        <v>7.7799999999999994E-2</v>
      </c>
      <c r="AU38" s="1237"/>
      <c r="AV38" s="1238"/>
      <c r="AW38" s="1238"/>
      <c r="AX38" s="1239"/>
      <c r="AY38" s="1247" t="s">
        <v>886</v>
      </c>
      <c r="AZ38" s="1236"/>
      <c r="BA38" s="1236"/>
      <c r="BB38" s="1236"/>
      <c r="BC38" s="1236"/>
      <c r="BD38" s="1240"/>
      <c r="BF38" s="1239"/>
      <c r="BG38" s="1267" t="s">
        <v>49</v>
      </c>
      <c r="BH38" s="1268" t="s">
        <v>453</v>
      </c>
      <c r="BI38" s="1269" t="s">
        <v>456</v>
      </c>
      <c r="BJ38" s="1269" t="s">
        <v>442</v>
      </c>
      <c r="BK38" s="1270" t="s">
        <v>467</v>
      </c>
      <c r="BL38" s="1240"/>
      <c r="BO38" s="1239"/>
      <c r="BP38" s="1295"/>
      <c r="BQ38" s="1295">
        <v>30</v>
      </c>
      <c r="BR38" s="1302">
        <v>1.0804</v>
      </c>
      <c r="BS38" s="1303">
        <v>309.08539999999999</v>
      </c>
      <c r="BT38" s="1299">
        <v>6.8199999999999997E-2</v>
      </c>
      <c r="BU38" s="1299">
        <v>1.6000000000000001E-3</v>
      </c>
      <c r="BV38" s="1299">
        <v>3.0999999999999999E-3</v>
      </c>
      <c r="BW38" s="1300">
        <v>1.9599999999999999E-2</v>
      </c>
      <c r="BX38" s="1304">
        <v>1.5E-3</v>
      </c>
      <c r="BY38" s="1240"/>
      <c r="CA38" s="1239"/>
      <c r="CB38" s="1295"/>
      <c r="CC38" s="1295">
        <v>30</v>
      </c>
      <c r="CD38" s="1302">
        <v>0.62119999999999997</v>
      </c>
      <c r="CE38" s="1303">
        <v>244.92609999999999</v>
      </c>
      <c r="CF38" s="1299">
        <v>2.2499999999999999E-2</v>
      </c>
      <c r="CG38" s="1299">
        <v>5.9999999999999995E-4</v>
      </c>
      <c r="CH38" s="1299">
        <v>2.3999999999999998E-3</v>
      </c>
      <c r="CI38" s="1300">
        <v>7.4000000000000003E-3</v>
      </c>
      <c r="CJ38" s="1304">
        <v>5.0000000000000001E-4</v>
      </c>
      <c r="CK38" s="1240"/>
      <c r="CN38" s="1239"/>
      <c r="CO38" s="1205"/>
      <c r="CP38" s="1370"/>
      <c r="CQ38" s="1396"/>
      <c r="CR38" s="1396"/>
      <c r="CS38" s="1396"/>
      <c r="CT38" s="1396"/>
      <c r="CU38" s="1396"/>
      <c r="CV38" s="1396"/>
      <c r="CW38" s="1396"/>
      <c r="CX38" s="1240"/>
      <c r="DA38" s="1239"/>
      <c r="DB38" s="1235" t="s">
        <v>676</v>
      </c>
      <c r="DC38" s="1236"/>
      <c r="DD38" s="1236"/>
      <c r="DE38" s="1240"/>
      <c r="DF38" s="1239"/>
      <c r="DH38" s="1239"/>
      <c r="DI38" s="1235" t="s">
        <v>677</v>
      </c>
      <c r="DJ38" s="1236"/>
      <c r="DK38" s="1236"/>
      <c r="DL38" s="1240"/>
      <c r="DO38" s="1239"/>
      <c r="DP38" s="1343">
        <v>0.05</v>
      </c>
      <c r="DQ38" s="1344">
        <v>0.45800000000000002</v>
      </c>
      <c r="DR38" s="1345">
        <v>0.51200000000000001</v>
      </c>
      <c r="DS38" s="1240"/>
      <c r="DV38" s="1239"/>
      <c r="DW38" s="1450" t="s">
        <v>678</v>
      </c>
      <c r="DZ38" s="578">
        <v>0.1</v>
      </c>
      <c r="EA38" s="581" t="s">
        <v>548</v>
      </c>
      <c r="EB38" s="582" t="s">
        <v>548</v>
      </c>
      <c r="EC38" s="1240"/>
    </row>
    <row r="39" spans="2:145" ht="16.5" thickTop="1" x14ac:dyDescent="0.25">
      <c r="B39" s="1386"/>
      <c r="C39" s="1241"/>
      <c r="D39" s="1226"/>
      <c r="E39" s="1227"/>
      <c r="F39" s="1245"/>
      <c r="G39" s="1229"/>
      <c r="H39" s="572"/>
      <c r="I39" s="1371" t="s">
        <v>679</v>
      </c>
      <c r="R39" s="657"/>
      <c r="S39" s="658"/>
      <c r="T39" s="658"/>
      <c r="U39" s="658"/>
      <c r="V39" s="658"/>
      <c r="W39" s="660"/>
      <c r="X39" s="1371"/>
      <c r="Y39" s="1225"/>
      <c r="Z39" s="1252" t="s">
        <v>680</v>
      </c>
      <c r="AA39" s="1253"/>
      <c r="AB39" s="1227" t="s">
        <v>681</v>
      </c>
      <c r="AC39" s="1227" t="s">
        <v>669</v>
      </c>
      <c r="AD39" s="1233"/>
      <c r="AQ39" s="1246"/>
      <c r="AR39" s="1290">
        <v>32</v>
      </c>
      <c r="AS39" s="551">
        <v>3.1300000000000001E-2</v>
      </c>
      <c r="AT39" s="552">
        <v>7.8100000000000003E-2</v>
      </c>
      <c r="AU39" s="1237"/>
      <c r="AV39" s="1238"/>
      <c r="AW39" s="1238"/>
      <c r="AX39" s="1239"/>
      <c r="BA39" s="1202"/>
      <c r="BD39" s="1240"/>
      <c r="BF39" s="1239"/>
      <c r="BG39" s="1415" t="s">
        <v>37</v>
      </c>
      <c r="BH39" s="1451">
        <f>ROUND(BH12*BH26+BH13*BH27+BH14*BH28,-2)</f>
        <v>1037400</v>
      </c>
      <c r="BI39" s="1452">
        <f>ROUND(BI12*BI26+BI13*BI27+BI14*BI28,-2)</f>
        <v>3528600</v>
      </c>
      <c r="BJ39" s="1452">
        <f>ROUND(BJ12*BJ26+BJ13*BJ27+BJ14*BJ28,-2)</f>
        <v>1200600</v>
      </c>
      <c r="BK39" s="1453">
        <f>ROUND(BK12*BK26+BK13*BK27+BK14*BK28,-2)</f>
        <v>15860000</v>
      </c>
      <c r="BL39" s="1240"/>
      <c r="BO39" s="1239"/>
      <c r="BP39" s="1295"/>
      <c r="BQ39" s="1295">
        <v>31</v>
      </c>
      <c r="BR39" s="1302">
        <v>1.0681</v>
      </c>
      <c r="BS39" s="1303">
        <v>304.8313</v>
      </c>
      <c r="BT39" s="1299">
        <v>6.7900000000000002E-2</v>
      </c>
      <c r="BU39" s="1299">
        <v>1.6000000000000001E-3</v>
      </c>
      <c r="BV39" s="1299">
        <v>3.0000000000000001E-3</v>
      </c>
      <c r="BW39" s="1300">
        <v>1.9E-2</v>
      </c>
      <c r="BX39" s="1304">
        <v>1.4E-3</v>
      </c>
      <c r="BY39" s="1240"/>
      <c r="CA39" s="1239"/>
      <c r="CB39" s="1295"/>
      <c r="CC39" s="1295">
        <v>31</v>
      </c>
      <c r="CD39" s="1302">
        <v>0.61260000000000003</v>
      </c>
      <c r="CE39" s="1303">
        <v>241.3366</v>
      </c>
      <c r="CF39" s="1299">
        <v>2.2200000000000001E-2</v>
      </c>
      <c r="CG39" s="1299">
        <v>5.9999999999999995E-4</v>
      </c>
      <c r="CH39" s="1299">
        <v>2.3999999999999998E-3</v>
      </c>
      <c r="CI39" s="1300">
        <v>7.1000000000000004E-3</v>
      </c>
      <c r="CJ39" s="1304">
        <v>5.0000000000000001E-4</v>
      </c>
      <c r="CK39" s="1240"/>
      <c r="CN39" s="1239"/>
      <c r="CO39" s="1205"/>
      <c r="CP39" s="1370"/>
      <c r="CQ39" s="1396"/>
      <c r="CR39" s="1396"/>
      <c r="CS39" s="1396"/>
      <c r="CT39" s="1396"/>
      <c r="CU39" s="1396"/>
      <c r="CV39" s="1396"/>
      <c r="CW39" s="1396"/>
      <c r="CX39" s="1240"/>
      <c r="DA39" s="1239"/>
      <c r="DB39" s="1247" t="s">
        <v>451</v>
      </c>
      <c r="DC39" s="1236"/>
      <c r="DD39" s="1236"/>
      <c r="DE39" s="1240"/>
      <c r="DF39" s="1239"/>
      <c r="DH39" s="1239"/>
      <c r="DI39" s="1247" t="s">
        <v>451</v>
      </c>
      <c r="DJ39" s="1236"/>
      <c r="DK39" s="1236"/>
      <c r="DL39" s="1240"/>
      <c r="DO39" s="1239"/>
      <c r="DP39" s="1343">
        <v>5.1999999999999998E-2</v>
      </c>
      <c r="DQ39" s="1344">
        <v>0.45500000000000002</v>
      </c>
      <c r="DR39" s="1345">
        <v>0.48399999999999999</v>
      </c>
      <c r="DS39" s="1240"/>
      <c r="DV39" s="1239"/>
      <c r="DW39" s="1454" t="s">
        <v>682</v>
      </c>
      <c r="DX39" s="1455"/>
      <c r="DY39" s="1455"/>
      <c r="DZ39" s="583">
        <v>0.28999999999999998</v>
      </c>
      <c r="EA39" s="584" t="s">
        <v>548</v>
      </c>
      <c r="EB39" s="585" t="s">
        <v>548</v>
      </c>
      <c r="EC39" s="1240"/>
    </row>
    <row r="40" spans="2:145" ht="16.5" thickBot="1" x14ac:dyDescent="0.3">
      <c r="B40" s="1386"/>
      <c r="C40" s="1241" t="s">
        <v>683</v>
      </c>
      <c r="D40" s="1226"/>
      <c r="E40" s="1227"/>
      <c r="F40" s="1245"/>
      <c r="G40" s="1229"/>
      <c r="H40" s="572"/>
      <c r="R40" s="657"/>
      <c r="S40" s="1393" t="s">
        <v>684</v>
      </c>
      <c r="T40" s="1226"/>
      <c r="U40" s="658"/>
      <c r="V40" s="1388"/>
      <c r="W40" s="1389"/>
      <c r="X40" s="1371"/>
      <c r="Y40" s="1225"/>
      <c r="Z40" s="1252" t="s">
        <v>685</v>
      </c>
      <c r="AA40" s="1253"/>
      <c r="AB40" s="1227" t="s">
        <v>686</v>
      </c>
      <c r="AC40" s="1227" t="s">
        <v>669</v>
      </c>
      <c r="AD40" s="1233"/>
      <c r="AF40" s="586" t="s">
        <v>687</v>
      </c>
      <c r="AQ40" s="1246"/>
      <c r="AR40" s="1290">
        <v>33</v>
      </c>
      <c r="AS40" s="551">
        <v>3.0800000000000001E-2</v>
      </c>
      <c r="AT40" s="552">
        <v>7.8399999999999997E-2</v>
      </c>
      <c r="AU40" s="1237"/>
      <c r="AV40" s="1238"/>
      <c r="AW40" s="1238"/>
      <c r="AX40" s="1239"/>
      <c r="AY40" s="1267" t="s">
        <v>887</v>
      </c>
      <c r="AZ40" s="1268" t="s">
        <v>461</v>
      </c>
      <c r="BA40" s="1269" t="s">
        <v>465</v>
      </c>
      <c r="BB40" s="1269" t="s">
        <v>466</v>
      </c>
      <c r="BC40" s="1270" t="s">
        <v>94</v>
      </c>
      <c r="BD40" s="1240"/>
      <c r="BF40" s="1351"/>
      <c r="BG40" s="1352"/>
      <c r="BH40" s="1352"/>
      <c r="BI40" s="1352"/>
      <c r="BJ40" s="1352"/>
      <c r="BK40" s="1352"/>
      <c r="BL40" s="1353"/>
      <c r="BO40" s="1239"/>
      <c r="BP40" s="1295"/>
      <c r="BQ40" s="1295">
        <v>32</v>
      </c>
      <c r="BR40" s="1302">
        <v>1.0561</v>
      </c>
      <c r="BS40" s="1303">
        <v>300.63569999999999</v>
      </c>
      <c r="BT40" s="1299">
        <v>6.7500000000000004E-2</v>
      </c>
      <c r="BU40" s="1299">
        <v>1.5E-3</v>
      </c>
      <c r="BV40" s="1299">
        <v>3.0000000000000001E-3</v>
      </c>
      <c r="BW40" s="1300">
        <v>1.84E-2</v>
      </c>
      <c r="BX40" s="1304">
        <v>1.4E-3</v>
      </c>
      <c r="BY40" s="1240"/>
      <c r="CA40" s="1239"/>
      <c r="CB40" s="1295"/>
      <c r="CC40" s="1295">
        <v>32</v>
      </c>
      <c r="CD40" s="1302">
        <v>0.60419999999999996</v>
      </c>
      <c r="CE40" s="1303">
        <v>237.7997</v>
      </c>
      <c r="CF40" s="1299">
        <v>2.1999999999999999E-2</v>
      </c>
      <c r="CG40" s="1299">
        <v>5.0000000000000001E-4</v>
      </c>
      <c r="CH40" s="1299">
        <v>2.3999999999999998E-3</v>
      </c>
      <c r="CI40" s="1300">
        <v>6.7999999999999996E-3</v>
      </c>
      <c r="CJ40" s="1304">
        <v>5.0000000000000001E-4</v>
      </c>
      <c r="CK40" s="1240"/>
      <c r="CN40" s="1239"/>
      <c r="CO40" s="1235" t="s">
        <v>688</v>
      </c>
      <c r="CP40" s="1236"/>
      <c r="CQ40" s="1236"/>
      <c r="CR40" s="1236"/>
      <c r="CS40" s="1236"/>
      <c r="CT40" s="1236"/>
      <c r="CU40" s="1236"/>
      <c r="CV40" s="1236"/>
      <c r="CW40" s="1236"/>
      <c r="CX40" s="1240"/>
      <c r="DA40" s="1239"/>
      <c r="DB40" s="1256"/>
      <c r="DE40" s="1240"/>
      <c r="DF40" s="1239"/>
      <c r="DH40" s="1239"/>
      <c r="DI40" s="1256"/>
      <c r="DL40" s="1240"/>
      <c r="DO40" s="1239"/>
      <c r="DP40" s="1343">
        <v>5.3999999999999999E-2</v>
      </c>
      <c r="DQ40" s="1344">
        <v>0.45300000000000001</v>
      </c>
      <c r="DR40" s="1345">
        <v>0.47599999999999998</v>
      </c>
      <c r="DS40" s="1240"/>
      <c r="DV40" s="1351"/>
      <c r="DW40" s="1352"/>
      <c r="DX40" s="1352"/>
      <c r="DY40" s="1352"/>
      <c r="DZ40" s="1352"/>
      <c r="EA40" s="1352"/>
      <c r="EB40" s="1352"/>
      <c r="EC40" s="1353"/>
    </row>
    <row r="41" spans="2:145" ht="16.5" thickTop="1" x14ac:dyDescent="0.25">
      <c r="B41" s="1386"/>
      <c r="C41" s="1241"/>
      <c r="D41" s="1414" t="s">
        <v>689</v>
      </c>
      <c r="E41" s="587">
        <v>2.2499999999999999E-2</v>
      </c>
      <c r="F41" s="1245" t="s">
        <v>559</v>
      </c>
      <c r="G41" s="1229"/>
      <c r="H41" s="588">
        <v>9</v>
      </c>
      <c r="R41" s="657"/>
      <c r="S41" s="1241"/>
      <c r="T41" s="1404" t="s">
        <v>690</v>
      </c>
      <c r="U41" s="589">
        <v>0.56999999999999995</v>
      </c>
      <c r="V41" s="1228" t="s">
        <v>548</v>
      </c>
      <c r="W41" s="660"/>
      <c r="X41" s="1212">
        <v>21</v>
      </c>
      <c r="Y41" s="1225"/>
      <c r="Z41" s="1252" t="s">
        <v>691</v>
      </c>
      <c r="AA41" s="1253"/>
      <c r="AB41" s="1227" t="s">
        <v>692</v>
      </c>
      <c r="AC41" s="1227" t="s">
        <v>693</v>
      </c>
      <c r="AD41" s="1233"/>
      <c r="AF41" s="1371" t="s">
        <v>694</v>
      </c>
      <c r="AQ41" s="1246"/>
      <c r="AR41" s="1290">
        <v>34</v>
      </c>
      <c r="AS41" s="551">
        <v>3.04E-2</v>
      </c>
      <c r="AT41" s="552">
        <v>7.8700000000000006E-2</v>
      </c>
      <c r="AU41" s="1237"/>
      <c r="AV41" s="1238"/>
      <c r="AW41" s="1238"/>
      <c r="AX41" s="1239"/>
      <c r="AY41" s="1291" t="s">
        <v>888</v>
      </c>
      <c r="AZ41" s="573">
        <v>1.51</v>
      </c>
      <c r="BA41" s="573">
        <v>1.69</v>
      </c>
      <c r="BB41" s="573">
        <v>1.58</v>
      </c>
      <c r="BC41" s="574">
        <v>1.63</v>
      </c>
      <c r="BD41" s="1240"/>
      <c r="BO41" s="1239"/>
      <c r="BP41" s="1295"/>
      <c r="BQ41" s="1295">
        <v>33</v>
      </c>
      <c r="BR41" s="1302">
        <v>1.0441</v>
      </c>
      <c r="BS41" s="1303">
        <v>296.49790000000002</v>
      </c>
      <c r="BT41" s="1299">
        <v>6.7100000000000007E-2</v>
      </c>
      <c r="BU41" s="1299">
        <v>1.4E-3</v>
      </c>
      <c r="BV41" s="1299">
        <v>2.8999999999999998E-3</v>
      </c>
      <c r="BW41" s="1300">
        <v>1.78E-2</v>
      </c>
      <c r="BX41" s="1304">
        <v>1.2999999999999999E-3</v>
      </c>
      <c r="BY41" s="1240"/>
      <c r="CA41" s="1239"/>
      <c r="CB41" s="1295"/>
      <c r="CC41" s="1295">
        <v>33</v>
      </c>
      <c r="CD41" s="1302">
        <v>0.59589999999999999</v>
      </c>
      <c r="CE41" s="1303">
        <v>234.31469999999999</v>
      </c>
      <c r="CF41" s="1299">
        <v>2.1700000000000001E-2</v>
      </c>
      <c r="CG41" s="1299">
        <v>5.0000000000000001E-4</v>
      </c>
      <c r="CH41" s="1299">
        <v>2.3E-3</v>
      </c>
      <c r="CI41" s="1300">
        <v>6.4999999999999997E-3</v>
      </c>
      <c r="CJ41" s="1304">
        <v>5.0000000000000001E-4</v>
      </c>
      <c r="CK41" s="1240"/>
      <c r="CN41" s="1239"/>
      <c r="CO41" s="1247" t="s">
        <v>695</v>
      </c>
      <c r="CP41" s="1236"/>
      <c r="CQ41" s="1236"/>
      <c r="CR41" s="1236"/>
      <c r="CS41" s="1236"/>
      <c r="CT41" s="1236"/>
      <c r="CU41" s="1236"/>
      <c r="CV41" s="1236"/>
      <c r="CW41" s="1236"/>
      <c r="CX41" s="1240"/>
      <c r="DA41" s="1239"/>
      <c r="DB41" s="1271" t="s">
        <v>500</v>
      </c>
      <c r="DC41" s="1272" t="s">
        <v>494</v>
      </c>
      <c r="DD41" s="1270" t="s">
        <v>463</v>
      </c>
      <c r="DE41" s="1240"/>
      <c r="DF41" s="1239"/>
      <c r="DH41" s="1239"/>
      <c r="DI41" s="1271" t="s">
        <v>500</v>
      </c>
      <c r="DJ41" s="1272" t="s">
        <v>494</v>
      </c>
      <c r="DK41" s="1270" t="s">
        <v>463</v>
      </c>
      <c r="DL41" s="1240"/>
      <c r="DO41" s="1239"/>
      <c r="DP41" s="1343">
        <v>5.6000000000000001E-2</v>
      </c>
      <c r="DQ41" s="1344">
        <v>0.45300000000000001</v>
      </c>
      <c r="DR41" s="1345">
        <v>0.47399999999999998</v>
      </c>
      <c r="DS41" s="1240"/>
    </row>
    <row r="42" spans="2:145" ht="15.75" x14ac:dyDescent="0.25">
      <c r="B42" s="1386"/>
      <c r="C42" s="1241"/>
      <c r="D42" s="1416" t="s">
        <v>696</v>
      </c>
      <c r="E42" s="587">
        <v>0.13</v>
      </c>
      <c r="F42" s="1245" t="s">
        <v>559</v>
      </c>
      <c r="G42" s="1229"/>
      <c r="H42" s="588">
        <v>10</v>
      </c>
      <c r="R42" s="657"/>
      <c r="S42" s="1241"/>
      <c r="T42" s="1456" t="s">
        <v>697</v>
      </c>
      <c r="U42" s="589">
        <v>0.49</v>
      </c>
      <c r="V42" s="1228" t="s">
        <v>548</v>
      </c>
      <c r="W42" s="660"/>
      <c r="X42" s="1212">
        <v>21</v>
      </c>
      <c r="Y42" s="1225"/>
      <c r="Z42" s="1252" t="s">
        <v>698</v>
      </c>
      <c r="AA42" s="1253"/>
      <c r="AB42" s="1227" t="s">
        <v>699</v>
      </c>
      <c r="AC42" s="1227" t="s">
        <v>700</v>
      </c>
      <c r="AD42" s="1233"/>
      <c r="AQ42" s="1246"/>
      <c r="AR42" s="1290">
        <v>35</v>
      </c>
      <c r="AS42" s="551">
        <v>0.03</v>
      </c>
      <c r="AT42" s="552">
        <v>7.9000000000000001E-2</v>
      </c>
      <c r="AU42" s="1457"/>
      <c r="AV42" s="1458"/>
      <c r="AW42" s="1238"/>
      <c r="AX42" s="1239"/>
      <c r="AY42" s="1329" t="s">
        <v>893</v>
      </c>
      <c r="AZ42" s="590">
        <v>1.82</v>
      </c>
      <c r="BA42" s="590">
        <v>2.1</v>
      </c>
      <c r="BB42" s="590">
        <v>1.59</v>
      </c>
      <c r="BC42" s="591">
        <v>1.99</v>
      </c>
      <c r="BD42" s="1240"/>
      <c r="BF42" s="1371" t="s">
        <v>701</v>
      </c>
      <c r="BO42" s="1239"/>
      <c r="BP42" s="1295"/>
      <c r="BQ42" s="1295">
        <v>34</v>
      </c>
      <c r="BR42" s="1302">
        <v>1.0323</v>
      </c>
      <c r="BS42" s="1303">
        <v>292.4171</v>
      </c>
      <c r="BT42" s="1299">
        <v>6.6699999999999995E-2</v>
      </c>
      <c r="BU42" s="1299">
        <v>1.4E-3</v>
      </c>
      <c r="BV42" s="1299">
        <v>2.8999999999999998E-3</v>
      </c>
      <c r="BW42" s="1300">
        <v>1.72E-2</v>
      </c>
      <c r="BX42" s="1304">
        <v>1.2999999999999999E-3</v>
      </c>
      <c r="BY42" s="1240"/>
      <c r="CA42" s="1239"/>
      <c r="CB42" s="1295"/>
      <c r="CC42" s="1295">
        <v>34</v>
      </c>
      <c r="CD42" s="1302">
        <v>0.5877</v>
      </c>
      <c r="CE42" s="1303">
        <v>230.88069999999999</v>
      </c>
      <c r="CF42" s="1299">
        <v>2.1499999999999998E-2</v>
      </c>
      <c r="CG42" s="1299">
        <v>5.0000000000000001E-4</v>
      </c>
      <c r="CH42" s="1299">
        <v>2.3E-3</v>
      </c>
      <c r="CI42" s="1300">
        <v>6.3E-3</v>
      </c>
      <c r="CJ42" s="1304">
        <v>5.0000000000000001E-4</v>
      </c>
      <c r="CK42" s="1240"/>
      <c r="CN42" s="1239"/>
      <c r="CO42" s="1256"/>
      <c r="CX42" s="1240"/>
      <c r="DA42" s="1239"/>
      <c r="DB42" s="1295">
        <v>0</v>
      </c>
      <c r="DC42" s="1341">
        <v>0.97099999999999997</v>
      </c>
      <c r="DD42" s="1342">
        <v>0.96099999999999997</v>
      </c>
      <c r="DE42" s="1240"/>
      <c r="DF42" s="1239"/>
      <c r="DH42" s="1239"/>
      <c r="DI42" s="1295">
        <v>0</v>
      </c>
      <c r="DJ42" s="1341">
        <v>1</v>
      </c>
      <c r="DK42" s="1342">
        <v>1</v>
      </c>
      <c r="DL42" s="1240"/>
      <c r="DO42" s="1239"/>
      <c r="DP42" s="1343">
        <v>5.8000000000000003E-2</v>
      </c>
      <c r="DQ42" s="1344">
        <v>0.45300000000000001</v>
      </c>
      <c r="DR42" s="1345">
        <v>0.47299999999999998</v>
      </c>
      <c r="DS42" s="1240"/>
      <c r="DV42" s="1371" t="s">
        <v>702</v>
      </c>
    </row>
    <row r="43" spans="2:145" ht="15.75" x14ac:dyDescent="0.25">
      <c r="B43" s="1386"/>
      <c r="C43" s="1241"/>
      <c r="D43" s="1416" t="s">
        <v>703</v>
      </c>
      <c r="E43" s="587">
        <v>5.0000000000000001E-3</v>
      </c>
      <c r="F43" s="1245" t="s">
        <v>559</v>
      </c>
      <c r="G43" s="1229"/>
      <c r="H43" s="588">
        <v>9</v>
      </c>
      <c r="N43" s="1202"/>
      <c r="Q43" s="1212"/>
      <c r="R43" s="657"/>
      <c r="S43" s="1241"/>
      <c r="T43" s="1456" t="s">
        <v>704</v>
      </c>
      <c r="U43" s="589">
        <v>0.92</v>
      </c>
      <c r="V43" s="1228" t="s">
        <v>548</v>
      </c>
      <c r="W43" s="660"/>
      <c r="X43" s="1212">
        <v>21</v>
      </c>
      <c r="Y43" s="1225"/>
      <c r="Z43" s="1252" t="s">
        <v>705</v>
      </c>
      <c r="AA43" s="1253"/>
      <c r="AB43" s="1227" t="s">
        <v>706</v>
      </c>
      <c r="AC43" s="1227" t="s">
        <v>707</v>
      </c>
      <c r="AD43" s="1233"/>
      <c r="AQ43" s="1246"/>
      <c r="AR43" s="1290">
        <v>36</v>
      </c>
      <c r="AS43" s="551">
        <v>2.98E-2</v>
      </c>
      <c r="AT43" s="552">
        <v>7.9399999999999998E-2</v>
      </c>
      <c r="AU43" s="1457"/>
      <c r="AV43" s="1458"/>
      <c r="AW43" s="1458"/>
      <c r="AX43" s="1239"/>
      <c r="AY43" s="1358" t="s">
        <v>894</v>
      </c>
      <c r="AZ43" s="575">
        <v>1.8</v>
      </c>
      <c r="BA43" s="575">
        <v>2.0299999999999998</v>
      </c>
      <c r="BB43" s="575">
        <v>1.59</v>
      </c>
      <c r="BC43" s="576">
        <v>1.96</v>
      </c>
      <c r="BD43" s="1240"/>
      <c r="BO43" s="1239"/>
      <c r="BP43" s="1295"/>
      <c r="BQ43" s="1295">
        <v>35</v>
      </c>
      <c r="BR43" s="1302">
        <v>1.0206</v>
      </c>
      <c r="BS43" s="1303">
        <v>288.39240000000001</v>
      </c>
      <c r="BT43" s="1299">
        <v>6.6299999999999998E-2</v>
      </c>
      <c r="BU43" s="1299">
        <v>1.2999999999999999E-3</v>
      </c>
      <c r="BV43" s="1299">
        <v>2.8999999999999998E-3</v>
      </c>
      <c r="BW43" s="1300">
        <v>1.67E-2</v>
      </c>
      <c r="BX43" s="1304">
        <v>1.1999999999999999E-3</v>
      </c>
      <c r="BY43" s="1240"/>
      <c r="CA43" s="1239"/>
      <c r="CB43" s="1295"/>
      <c r="CC43" s="1295">
        <v>35</v>
      </c>
      <c r="CD43" s="1302">
        <v>0.5796</v>
      </c>
      <c r="CE43" s="1303">
        <v>227.49700000000001</v>
      </c>
      <c r="CF43" s="1299">
        <v>2.12E-2</v>
      </c>
      <c r="CG43" s="1299">
        <v>5.0000000000000001E-4</v>
      </c>
      <c r="CH43" s="1299">
        <v>2.2000000000000001E-3</v>
      </c>
      <c r="CI43" s="1300">
        <v>6.0000000000000001E-3</v>
      </c>
      <c r="CJ43" s="1304">
        <v>4.0000000000000002E-4</v>
      </c>
      <c r="CK43" s="1240"/>
      <c r="CN43" s="1239"/>
      <c r="CO43" s="1271" t="s">
        <v>242</v>
      </c>
      <c r="CP43" s="1271" t="s">
        <v>34</v>
      </c>
      <c r="CQ43" s="1272" t="s">
        <v>344</v>
      </c>
      <c r="CR43" s="1268" t="s">
        <v>604</v>
      </c>
      <c r="CS43" s="1269" t="s">
        <v>476</v>
      </c>
      <c r="CT43" s="1269" t="s">
        <v>477</v>
      </c>
      <c r="CU43" s="1269" t="s">
        <v>478</v>
      </c>
      <c r="CV43" s="1269" t="s">
        <v>349</v>
      </c>
      <c r="CW43" s="1270" t="s">
        <v>605</v>
      </c>
      <c r="CX43" s="1240"/>
      <c r="DA43" s="1239"/>
      <c r="DB43" s="1295">
        <v>25</v>
      </c>
      <c r="DC43" s="1341">
        <v>0.97699999999999998</v>
      </c>
      <c r="DD43" s="1342">
        <v>0.96499999999999997</v>
      </c>
      <c r="DE43" s="1240"/>
      <c r="DF43" s="1239"/>
      <c r="DH43" s="1239"/>
      <c r="DI43" s="1295">
        <v>25</v>
      </c>
      <c r="DJ43" s="1341">
        <v>1</v>
      </c>
      <c r="DK43" s="1342">
        <v>1</v>
      </c>
      <c r="DL43" s="1240"/>
      <c r="DO43" s="1239"/>
      <c r="DP43" s="1343">
        <v>0.06</v>
      </c>
      <c r="DQ43" s="1344">
        <v>0.45300000000000001</v>
      </c>
      <c r="DR43" s="1345">
        <v>0.47099999999999997</v>
      </c>
      <c r="DS43" s="1240"/>
    </row>
    <row r="44" spans="2:145" ht="16.5" thickBot="1" x14ac:dyDescent="0.3">
      <c r="B44" s="1386"/>
      <c r="C44" s="1241"/>
      <c r="D44" s="1416" t="s">
        <v>708</v>
      </c>
      <c r="E44" s="592">
        <v>0.183</v>
      </c>
      <c r="F44" s="1245" t="s">
        <v>665</v>
      </c>
      <c r="G44" s="1229"/>
      <c r="H44" s="588">
        <v>9</v>
      </c>
      <c r="R44" s="657"/>
      <c r="S44" s="1241"/>
      <c r="T44" s="1456" t="s">
        <v>709</v>
      </c>
      <c r="U44" s="589">
        <f>CLASS2MRS</f>
        <v>0.49</v>
      </c>
      <c r="V44" s="1228" t="s">
        <v>548</v>
      </c>
      <c r="W44" s="660"/>
      <c r="X44" s="1212">
        <v>21</v>
      </c>
      <c r="Y44" s="1225"/>
      <c r="Z44" s="1252" t="s">
        <v>710</v>
      </c>
      <c r="AA44" s="1253"/>
      <c r="AB44" s="1227" t="s">
        <v>711</v>
      </c>
      <c r="AC44" s="1227" t="s">
        <v>712</v>
      </c>
      <c r="AD44" s="1233"/>
      <c r="AQ44" s="1246"/>
      <c r="AR44" s="1290">
        <v>37</v>
      </c>
      <c r="AS44" s="551">
        <v>2.9700000000000001E-2</v>
      </c>
      <c r="AT44" s="552">
        <v>7.9899999999999999E-2</v>
      </c>
      <c r="AU44" s="1457"/>
      <c r="AV44" s="1458"/>
      <c r="AW44" s="1458"/>
      <c r="AX44" s="1239"/>
      <c r="AZ44" s="593"/>
      <c r="BA44" s="593"/>
      <c r="BB44" s="593"/>
      <c r="BC44" s="593"/>
      <c r="BD44" s="1240"/>
      <c r="BO44" s="1239"/>
      <c r="BP44" s="1295"/>
      <c r="BQ44" s="1295">
        <v>36</v>
      </c>
      <c r="BR44" s="1302">
        <v>1.0098</v>
      </c>
      <c r="BS44" s="1303">
        <v>287.18729999999999</v>
      </c>
      <c r="BT44" s="1299">
        <v>6.6100000000000006E-2</v>
      </c>
      <c r="BU44" s="1299">
        <v>1.2999999999999999E-3</v>
      </c>
      <c r="BV44" s="1299">
        <v>2.8E-3</v>
      </c>
      <c r="BW44" s="1300">
        <v>1.6299999999999999E-2</v>
      </c>
      <c r="BX44" s="1304">
        <v>1.1999999999999999E-3</v>
      </c>
      <c r="BY44" s="1240"/>
      <c r="CA44" s="1239"/>
      <c r="CB44" s="1295"/>
      <c r="CC44" s="1295">
        <v>36</v>
      </c>
      <c r="CD44" s="1302">
        <v>0.57289999999999996</v>
      </c>
      <c r="CE44" s="1303">
        <v>226.57159999999999</v>
      </c>
      <c r="CF44" s="1299">
        <v>2.1100000000000001E-2</v>
      </c>
      <c r="CG44" s="1299">
        <v>5.0000000000000001E-4</v>
      </c>
      <c r="CH44" s="1299">
        <v>2.2000000000000001E-3</v>
      </c>
      <c r="CI44" s="1300">
        <v>5.7999999999999996E-3</v>
      </c>
      <c r="CJ44" s="1304">
        <v>4.0000000000000002E-4</v>
      </c>
      <c r="CK44" s="1240"/>
      <c r="CN44" s="1239"/>
      <c r="CO44" s="1421" t="s">
        <v>467</v>
      </c>
      <c r="CP44" s="1295">
        <v>2020</v>
      </c>
      <c r="CQ44" s="1422">
        <v>26.62</v>
      </c>
      <c r="CR44" s="1459">
        <v>10217</v>
      </c>
      <c r="CS44" s="1424">
        <v>107.38</v>
      </c>
      <c r="CT44" s="1424">
        <v>3.2</v>
      </c>
      <c r="CU44" s="1424"/>
      <c r="CV44" s="1424"/>
      <c r="CW44" s="1425">
        <v>3.11</v>
      </c>
      <c r="CX44" s="1240"/>
      <c r="DA44" s="1239"/>
      <c r="DB44" s="1295">
        <v>50</v>
      </c>
      <c r="DC44" s="1341">
        <v>0.98</v>
      </c>
      <c r="DD44" s="1342">
        <v>0.97</v>
      </c>
      <c r="DE44" s="1240"/>
      <c r="DF44" s="1239"/>
      <c r="DH44" s="1239"/>
      <c r="DI44" s="1295">
        <v>50</v>
      </c>
      <c r="DJ44" s="1341">
        <v>1</v>
      </c>
      <c r="DK44" s="1342">
        <v>1</v>
      </c>
      <c r="DL44" s="1240"/>
      <c r="DO44" s="1239"/>
      <c r="DP44" s="1343">
        <v>6.2E-2</v>
      </c>
      <c r="DQ44" s="1344">
        <v>0.45300000000000001</v>
      </c>
      <c r="DR44" s="1345">
        <v>0.46899999999999997</v>
      </c>
      <c r="DS44" s="1240"/>
      <c r="EO44" s="651" t="s">
        <v>807</v>
      </c>
    </row>
    <row r="45" spans="2:145" ht="16.5" thickTop="1" x14ac:dyDescent="0.25">
      <c r="B45" s="1386"/>
      <c r="C45" s="1241"/>
      <c r="D45" s="1416" t="s">
        <v>713</v>
      </c>
      <c r="E45" s="592">
        <v>0.24299999999999999</v>
      </c>
      <c r="F45" s="1245" t="s">
        <v>665</v>
      </c>
      <c r="G45" s="1229"/>
      <c r="H45" s="588">
        <v>9</v>
      </c>
      <c r="R45" s="657"/>
      <c r="S45" s="1241"/>
      <c r="T45" s="1460" t="s">
        <v>714</v>
      </c>
      <c r="U45" s="1245"/>
      <c r="V45" s="1228"/>
      <c r="W45" s="660"/>
      <c r="X45" s="1212"/>
      <c r="Y45" s="1225"/>
      <c r="Z45" s="1461"/>
      <c r="AA45" s="1245"/>
      <c r="AB45" s="1227"/>
      <c r="AC45" s="1227"/>
      <c r="AD45" s="1233"/>
      <c r="AF45" s="1222"/>
      <c r="AG45" s="1223"/>
      <c r="AH45" s="1223"/>
      <c r="AI45" s="1223"/>
      <c r="AJ45" s="1223"/>
      <c r="AK45" s="1223"/>
      <c r="AL45" s="1223"/>
      <c r="AM45" s="1224"/>
      <c r="AQ45" s="1246"/>
      <c r="AR45" s="1290">
        <v>38</v>
      </c>
      <c r="AS45" s="551">
        <v>2.9600000000000001E-2</v>
      </c>
      <c r="AT45" s="552">
        <v>8.0299999999999996E-2</v>
      </c>
      <c r="AU45" s="1457"/>
      <c r="AV45" s="1458"/>
      <c r="AW45" s="1458"/>
      <c r="AX45" s="1239"/>
      <c r="AZ45" s="593"/>
      <c r="BA45" s="593"/>
      <c r="BB45" s="593"/>
      <c r="BC45" s="593"/>
      <c r="BD45" s="1240"/>
      <c r="BF45" s="1222"/>
      <c r="BG45" s="1223"/>
      <c r="BH45" s="1223"/>
      <c r="BI45" s="1223"/>
      <c r="BJ45" s="1223"/>
      <c r="BK45" s="1224"/>
      <c r="BO45" s="1239"/>
      <c r="BP45" s="1295"/>
      <c r="BQ45" s="1295">
        <v>37</v>
      </c>
      <c r="BR45" s="1302">
        <v>0.99909999999999999</v>
      </c>
      <c r="BS45" s="1303">
        <v>285.98719999999997</v>
      </c>
      <c r="BT45" s="1299">
        <v>6.5799999999999997E-2</v>
      </c>
      <c r="BU45" s="1299">
        <v>1.2999999999999999E-3</v>
      </c>
      <c r="BV45" s="1299">
        <v>2.8E-3</v>
      </c>
      <c r="BW45" s="1300">
        <v>1.5900000000000001E-2</v>
      </c>
      <c r="BX45" s="1304">
        <v>1.1999999999999999E-3</v>
      </c>
      <c r="BY45" s="1240"/>
      <c r="CA45" s="1239"/>
      <c r="CB45" s="1295"/>
      <c r="CC45" s="1295">
        <v>37</v>
      </c>
      <c r="CD45" s="1302">
        <v>0.56640000000000001</v>
      </c>
      <c r="CE45" s="1303">
        <v>225.6499</v>
      </c>
      <c r="CF45" s="1299">
        <v>2.1000000000000001E-2</v>
      </c>
      <c r="CG45" s="1299">
        <v>4.0000000000000002E-4</v>
      </c>
      <c r="CH45" s="1299">
        <v>2.2000000000000001E-3</v>
      </c>
      <c r="CI45" s="1300">
        <v>5.7000000000000002E-3</v>
      </c>
      <c r="CJ45" s="1304">
        <v>4.0000000000000002E-4</v>
      </c>
      <c r="CK45" s="1240"/>
      <c r="CN45" s="1239"/>
      <c r="CO45" s="1426"/>
      <c r="CP45" s="1427">
        <v>2030</v>
      </c>
      <c r="CQ45" s="1428">
        <v>26.62</v>
      </c>
      <c r="CR45" s="1462">
        <v>10217</v>
      </c>
      <c r="CS45" s="1430">
        <v>70.92</v>
      </c>
      <c r="CT45" s="1430">
        <v>1.88</v>
      </c>
      <c r="CU45" s="1430"/>
      <c r="CV45" s="1430"/>
      <c r="CW45" s="1431">
        <v>1.83</v>
      </c>
      <c r="CX45" s="1240"/>
      <c r="DA45" s="1239"/>
      <c r="DB45" s="1295">
        <v>75</v>
      </c>
      <c r="DC45" s="1341">
        <v>0.98199999999999998</v>
      </c>
      <c r="DD45" s="1342">
        <v>0.97499999999999998</v>
      </c>
      <c r="DE45" s="1240"/>
      <c r="DF45" s="1239"/>
      <c r="DH45" s="1239"/>
      <c r="DI45" s="1295">
        <v>75</v>
      </c>
      <c r="DJ45" s="1341">
        <v>1</v>
      </c>
      <c r="DK45" s="1342">
        <v>1</v>
      </c>
      <c r="DL45" s="1240"/>
      <c r="DO45" s="1239"/>
      <c r="DP45" s="1343">
        <v>6.4000000000000001E-2</v>
      </c>
      <c r="DQ45" s="1344">
        <v>0.45300000000000001</v>
      </c>
      <c r="DR45" s="1345">
        <v>0.46700000000000003</v>
      </c>
      <c r="DS45" s="1240"/>
    </row>
    <row r="46" spans="2:145" ht="15.75" x14ac:dyDescent="0.25">
      <c r="B46" s="1386"/>
      <c r="C46" s="1241"/>
      <c r="D46" s="1416" t="s">
        <v>715</v>
      </c>
      <c r="E46" s="592">
        <v>0.51100000000000001</v>
      </c>
      <c r="F46" s="1245" t="s">
        <v>665</v>
      </c>
      <c r="G46" s="1229"/>
      <c r="H46" s="588">
        <v>9</v>
      </c>
      <c r="R46" s="657"/>
      <c r="S46" s="658"/>
      <c r="T46" s="658"/>
      <c r="U46" s="658"/>
      <c r="V46" s="1394"/>
      <c r="W46" s="660"/>
      <c r="X46" s="1212"/>
      <c r="Y46" s="1225"/>
      <c r="Z46" s="1461" t="s">
        <v>716</v>
      </c>
      <c r="AA46" s="1253"/>
      <c r="AB46" s="1227" t="s">
        <v>717</v>
      </c>
      <c r="AC46" s="1227"/>
      <c r="AD46" s="1233"/>
      <c r="AF46" s="1239"/>
      <c r="AG46" s="1235" t="s">
        <v>718</v>
      </c>
      <c r="AH46" s="1236"/>
      <c r="AI46" s="1236"/>
      <c r="AJ46" s="1236"/>
      <c r="AK46" s="1236"/>
      <c r="AL46" s="1236"/>
      <c r="AM46" s="1240"/>
      <c r="AQ46" s="1246"/>
      <c r="AR46" s="1290">
        <v>39</v>
      </c>
      <c r="AS46" s="551">
        <v>2.9499999999999998E-2</v>
      </c>
      <c r="AT46" s="552">
        <v>8.0799999999999997E-2</v>
      </c>
      <c r="AU46" s="1457"/>
      <c r="AV46" s="1458"/>
      <c r="AW46" s="1458"/>
      <c r="AX46" s="1239"/>
      <c r="AY46" s="1235" t="s">
        <v>895</v>
      </c>
      <c r="AZ46" s="1236"/>
      <c r="BA46" s="1236"/>
      <c r="BB46" s="1236"/>
      <c r="BC46" s="1236"/>
      <c r="BD46" s="1240"/>
      <c r="BF46" s="1239"/>
      <c r="BG46" s="1235" t="s">
        <v>719</v>
      </c>
      <c r="BH46" s="1236"/>
      <c r="BI46" s="1236"/>
      <c r="BJ46" s="1236"/>
      <c r="BK46" s="1463"/>
      <c r="BO46" s="1239"/>
      <c r="BP46" s="1295"/>
      <c r="BQ46" s="1295">
        <v>38</v>
      </c>
      <c r="BR46" s="1302">
        <v>0.98850000000000005</v>
      </c>
      <c r="BS46" s="1303">
        <v>284.79219999999998</v>
      </c>
      <c r="BT46" s="1299">
        <v>6.5600000000000006E-2</v>
      </c>
      <c r="BU46" s="1299">
        <v>1.1999999999999999E-3</v>
      </c>
      <c r="BV46" s="1299">
        <v>2.8E-3</v>
      </c>
      <c r="BW46" s="1300">
        <v>1.55E-2</v>
      </c>
      <c r="BX46" s="1304">
        <v>1.1000000000000001E-3</v>
      </c>
      <c r="BY46" s="1240"/>
      <c r="CA46" s="1239"/>
      <c r="CB46" s="1295"/>
      <c r="CC46" s="1295">
        <v>38</v>
      </c>
      <c r="CD46" s="1302">
        <v>0.55989999999999995</v>
      </c>
      <c r="CE46" s="1303">
        <v>224.7319</v>
      </c>
      <c r="CF46" s="1299">
        <v>2.0799999999999999E-2</v>
      </c>
      <c r="CG46" s="1299">
        <v>4.0000000000000002E-4</v>
      </c>
      <c r="CH46" s="1299">
        <v>2.2000000000000001E-3</v>
      </c>
      <c r="CI46" s="1300">
        <v>5.4999999999999997E-3</v>
      </c>
      <c r="CJ46" s="1304">
        <v>4.0000000000000002E-4</v>
      </c>
      <c r="CK46" s="1240"/>
      <c r="CN46" s="1239"/>
      <c r="CO46" s="1205"/>
      <c r="CP46" s="1370"/>
      <c r="CQ46" s="1396"/>
      <c r="CR46" s="1396"/>
      <c r="CS46" s="1396"/>
      <c r="CT46" s="1396"/>
      <c r="CU46" s="1396"/>
      <c r="CV46" s="1396"/>
      <c r="CW46" s="1396"/>
      <c r="CX46" s="1240"/>
      <c r="DA46" s="1239"/>
      <c r="DB46" s="1295">
        <v>100</v>
      </c>
      <c r="DC46" s="1341">
        <v>0.98499999999999999</v>
      </c>
      <c r="DD46" s="1342">
        <v>0.98</v>
      </c>
      <c r="DE46" s="1240"/>
      <c r="DF46" s="1239"/>
      <c r="DH46" s="1239"/>
      <c r="DI46" s="1295">
        <v>100</v>
      </c>
      <c r="DJ46" s="1341">
        <v>1</v>
      </c>
      <c r="DK46" s="1342">
        <v>1</v>
      </c>
      <c r="DL46" s="1240"/>
      <c r="DO46" s="1239"/>
      <c r="DP46" s="1343">
        <v>6.6000000000000003E-2</v>
      </c>
      <c r="DQ46" s="1344">
        <v>0.45300000000000001</v>
      </c>
      <c r="DR46" s="1345">
        <v>0.46600000000000003</v>
      </c>
      <c r="DS46" s="1240"/>
    </row>
    <row r="47" spans="2:145" ht="15.75" x14ac:dyDescent="0.25">
      <c r="B47" s="1386"/>
      <c r="C47" s="1241"/>
      <c r="D47" s="1416" t="s">
        <v>720</v>
      </c>
      <c r="E47" s="592">
        <v>0.38900000000000001</v>
      </c>
      <c r="F47" s="1245" t="s">
        <v>665</v>
      </c>
      <c r="G47" s="1229"/>
      <c r="H47" s="588">
        <v>9</v>
      </c>
      <c r="R47" s="657"/>
      <c r="S47" s="1393" t="s">
        <v>896</v>
      </c>
      <c r="T47" s="658"/>
      <c r="U47" s="658"/>
      <c r="V47" s="1394"/>
      <c r="W47" s="660"/>
      <c r="X47" s="1212"/>
      <c r="Y47" s="1225"/>
      <c r="Z47" s="1461" t="s">
        <v>721</v>
      </c>
      <c r="AA47" s="1253"/>
      <c r="AB47" s="1227" t="s">
        <v>722</v>
      </c>
      <c r="AC47" s="1227"/>
      <c r="AD47" s="1233"/>
      <c r="AF47" s="1239"/>
      <c r="AG47" s="1464" t="s">
        <v>723</v>
      </c>
      <c r="AH47" s="1236"/>
      <c r="AI47" s="1464"/>
      <c r="AJ47" s="1464"/>
      <c r="AK47" s="1464"/>
      <c r="AL47" s="1464"/>
      <c r="AM47" s="1240"/>
      <c r="AQ47" s="1246"/>
      <c r="AR47" s="1290">
        <v>40</v>
      </c>
      <c r="AS47" s="551">
        <v>2.93E-2</v>
      </c>
      <c r="AT47" s="552">
        <v>8.1199999999999994E-2</v>
      </c>
      <c r="AU47" s="1237"/>
      <c r="AV47" s="1238"/>
      <c r="AW47" s="1458"/>
      <c r="AX47" s="1239"/>
      <c r="AY47" s="1247" t="s">
        <v>897</v>
      </c>
      <c r="AZ47" s="1236"/>
      <c r="BA47" s="1236"/>
      <c r="BB47" s="1236"/>
      <c r="BC47" s="1236"/>
      <c r="BD47" s="1240"/>
      <c r="BF47" s="1239"/>
      <c r="BG47" s="1247" t="s">
        <v>724</v>
      </c>
      <c r="BH47" s="1236"/>
      <c r="BI47" s="1236"/>
      <c r="BJ47" s="1236"/>
      <c r="BK47" s="1463"/>
      <c r="BO47" s="1239"/>
      <c r="BP47" s="1295"/>
      <c r="BQ47" s="1295">
        <v>39</v>
      </c>
      <c r="BR47" s="1302">
        <v>0.97799999999999998</v>
      </c>
      <c r="BS47" s="1303">
        <v>283.60210000000001</v>
      </c>
      <c r="BT47" s="1299">
        <v>6.5299999999999997E-2</v>
      </c>
      <c r="BU47" s="1299">
        <v>1.1999999999999999E-3</v>
      </c>
      <c r="BV47" s="1299">
        <v>2.8E-3</v>
      </c>
      <c r="BW47" s="1300">
        <v>1.52E-2</v>
      </c>
      <c r="BX47" s="1304">
        <v>1.1000000000000001E-3</v>
      </c>
      <c r="BY47" s="1240"/>
      <c r="CA47" s="1239"/>
      <c r="CB47" s="1295"/>
      <c r="CC47" s="1295">
        <v>39</v>
      </c>
      <c r="CD47" s="1302">
        <v>0.55349999999999999</v>
      </c>
      <c r="CE47" s="1303">
        <v>223.8177</v>
      </c>
      <c r="CF47" s="1299">
        <v>2.07E-2</v>
      </c>
      <c r="CG47" s="1299">
        <v>4.0000000000000002E-4</v>
      </c>
      <c r="CH47" s="1299">
        <v>2.2000000000000001E-3</v>
      </c>
      <c r="CI47" s="1300">
        <v>5.3E-3</v>
      </c>
      <c r="CJ47" s="1304">
        <v>4.0000000000000002E-4</v>
      </c>
      <c r="CK47" s="1240"/>
      <c r="CN47" s="1239"/>
      <c r="CO47" s="1205"/>
      <c r="CQ47" s="1465"/>
      <c r="CR47" s="1466" t="s">
        <v>725</v>
      </c>
      <c r="CS47" s="1467">
        <v>480</v>
      </c>
      <c r="CT47" s="1396" t="s">
        <v>726</v>
      </c>
      <c r="CV47" s="1396"/>
      <c r="CW47" s="1396"/>
      <c r="CX47" s="1240"/>
      <c r="DA47" s="1239"/>
      <c r="DB47" s="1295">
        <v>125</v>
      </c>
      <c r="DC47" s="1341">
        <v>0.99</v>
      </c>
      <c r="DD47" s="1342">
        <v>0.98599999999999999</v>
      </c>
      <c r="DE47" s="1240"/>
      <c r="DF47" s="1239"/>
      <c r="DH47" s="1239"/>
      <c r="DI47" s="1295">
        <v>125</v>
      </c>
      <c r="DJ47" s="1341">
        <v>1</v>
      </c>
      <c r="DK47" s="1342">
        <v>1</v>
      </c>
      <c r="DL47" s="1240"/>
      <c r="DO47" s="1239"/>
      <c r="DP47" s="1343">
        <v>6.8000000000000005E-2</v>
      </c>
      <c r="DQ47" s="1344">
        <v>0.45300000000000001</v>
      </c>
      <c r="DR47" s="1345">
        <v>0.46400000000000002</v>
      </c>
      <c r="DS47" s="1240"/>
    </row>
    <row r="48" spans="2:145" ht="15.75" x14ac:dyDescent="0.25">
      <c r="B48" s="1386"/>
      <c r="C48" s="1241"/>
      <c r="D48" s="1226"/>
      <c r="E48" s="1227"/>
      <c r="F48" s="1245"/>
      <c r="G48" s="1229"/>
      <c r="H48" s="572"/>
      <c r="R48" s="657"/>
      <c r="S48" s="658"/>
      <c r="T48" s="1404" t="s">
        <v>727</v>
      </c>
      <c r="U48" s="594">
        <v>0.11</v>
      </c>
      <c r="V48" s="1228" t="s">
        <v>728</v>
      </c>
      <c r="W48" s="660"/>
      <c r="X48" s="1212">
        <v>22</v>
      </c>
      <c r="Y48" s="1318"/>
      <c r="Z48" s="1468"/>
      <c r="AA48" s="1469"/>
      <c r="AB48" s="1320"/>
      <c r="AC48" s="1320"/>
      <c r="AD48" s="1445"/>
      <c r="AF48" s="1239"/>
      <c r="AJ48" s="1202"/>
      <c r="AK48" s="1201"/>
      <c r="AM48" s="1240"/>
      <c r="AQ48" s="1246"/>
      <c r="AR48" s="1290">
        <v>41</v>
      </c>
      <c r="AS48" s="551">
        <v>2.9399999999999999E-2</v>
      </c>
      <c r="AT48" s="552">
        <v>8.1299999999999997E-2</v>
      </c>
      <c r="AU48" s="1237"/>
      <c r="AV48" s="1238"/>
      <c r="AW48" s="1238"/>
      <c r="AX48" s="1239"/>
      <c r="BA48" s="1202"/>
      <c r="BD48" s="1240"/>
      <c r="BF48" s="1239"/>
      <c r="BK48" s="1240"/>
      <c r="BO48" s="1239"/>
      <c r="BP48" s="1295"/>
      <c r="BQ48" s="1295">
        <v>40</v>
      </c>
      <c r="BR48" s="1302">
        <v>0.9677</v>
      </c>
      <c r="BS48" s="1303">
        <v>282.41699999999997</v>
      </c>
      <c r="BT48" s="1299">
        <v>6.5100000000000005E-2</v>
      </c>
      <c r="BU48" s="1299">
        <v>1.1999999999999999E-3</v>
      </c>
      <c r="BV48" s="1299">
        <v>2.8E-3</v>
      </c>
      <c r="BW48" s="1300">
        <v>1.4800000000000001E-2</v>
      </c>
      <c r="BX48" s="1304">
        <v>1.1000000000000001E-3</v>
      </c>
      <c r="BY48" s="1240"/>
      <c r="CA48" s="1239"/>
      <c r="CB48" s="1295"/>
      <c r="CC48" s="1295">
        <v>40</v>
      </c>
      <c r="CD48" s="1302">
        <v>0.54710000000000003</v>
      </c>
      <c r="CE48" s="1303">
        <v>222.90719999999999</v>
      </c>
      <c r="CF48" s="1299">
        <v>2.06E-2</v>
      </c>
      <c r="CG48" s="1299">
        <v>4.0000000000000002E-4</v>
      </c>
      <c r="CH48" s="1299">
        <v>2.2000000000000001E-3</v>
      </c>
      <c r="CI48" s="1300">
        <v>5.1999999999999998E-3</v>
      </c>
      <c r="CJ48" s="1304">
        <v>4.0000000000000002E-4</v>
      </c>
      <c r="CK48" s="1240"/>
      <c r="CN48" s="1239"/>
      <c r="CO48" s="1205"/>
      <c r="CQ48" s="1465"/>
      <c r="CR48" s="1466" t="s">
        <v>729</v>
      </c>
      <c r="CS48" s="1467">
        <f>AVERAGE(3,5)</f>
        <v>4</v>
      </c>
      <c r="CT48" s="1396" t="s">
        <v>730</v>
      </c>
      <c r="CV48" s="1396"/>
      <c r="CW48" s="1396"/>
      <c r="CX48" s="1240"/>
      <c r="DA48" s="1239"/>
      <c r="DB48" s="1295">
        <v>150</v>
      </c>
      <c r="DC48" s="1341">
        <v>0.995</v>
      </c>
      <c r="DD48" s="1342">
        <v>0.99299999999999999</v>
      </c>
      <c r="DE48" s="1240"/>
      <c r="DF48" s="1239"/>
      <c r="DH48" s="1239"/>
      <c r="DI48" s="1295">
        <v>150</v>
      </c>
      <c r="DJ48" s="1341">
        <v>1.0169999999999999</v>
      </c>
      <c r="DK48" s="1342">
        <v>1.018</v>
      </c>
      <c r="DL48" s="1240"/>
      <c r="DO48" s="1239"/>
      <c r="DP48" s="1343">
        <v>7.0000000000000007E-2</v>
      </c>
      <c r="DQ48" s="1344">
        <v>0.45300000000000001</v>
      </c>
      <c r="DR48" s="1345">
        <v>0.46200000000000002</v>
      </c>
      <c r="DS48" s="1240"/>
    </row>
    <row r="49" spans="2:123" ht="16.5" thickBot="1" x14ac:dyDescent="0.3">
      <c r="B49" s="1386"/>
      <c r="C49" s="1241" t="s">
        <v>731</v>
      </c>
      <c r="D49" s="1226"/>
      <c r="E49" s="1227"/>
      <c r="F49" s="1245"/>
      <c r="G49" s="1229"/>
      <c r="H49" s="572"/>
      <c r="R49" s="657"/>
      <c r="S49" s="658"/>
      <c r="T49" s="1456" t="s">
        <v>732</v>
      </c>
      <c r="U49" s="595">
        <v>7.8E-2</v>
      </c>
      <c r="V49" s="1228" t="s">
        <v>728</v>
      </c>
      <c r="W49" s="660"/>
      <c r="X49" s="1212">
        <v>22</v>
      </c>
      <c r="AF49" s="1239"/>
      <c r="AG49" s="1470"/>
      <c r="AH49" s="652"/>
      <c r="AI49" s="656"/>
      <c r="AJ49" s="1471" t="s">
        <v>461</v>
      </c>
      <c r="AK49" s="1472"/>
      <c r="AL49" s="1473"/>
      <c r="AM49" s="1240"/>
      <c r="AQ49" s="1246"/>
      <c r="AR49" s="1290">
        <v>42</v>
      </c>
      <c r="AS49" s="551">
        <v>2.9399999999999999E-2</v>
      </c>
      <c r="AT49" s="552">
        <v>8.1299999999999997E-2</v>
      </c>
      <c r="AU49" s="1237"/>
      <c r="AV49" s="1238"/>
      <c r="AW49" s="1238"/>
      <c r="AX49" s="1239"/>
      <c r="AY49" s="1267" t="s">
        <v>887</v>
      </c>
      <c r="AZ49" s="1268" t="s">
        <v>461</v>
      </c>
      <c r="BA49" s="1269" t="s">
        <v>465</v>
      </c>
      <c r="BB49" s="1269" t="s">
        <v>466</v>
      </c>
      <c r="BC49" s="1270" t="s">
        <v>94</v>
      </c>
      <c r="BD49" s="1240"/>
      <c r="BF49" s="1239"/>
      <c r="BG49" s="1267" t="s">
        <v>49</v>
      </c>
      <c r="BH49" s="1268" t="s">
        <v>733</v>
      </c>
      <c r="BI49" s="1269" t="s">
        <v>493</v>
      </c>
      <c r="BJ49" s="1270" t="s">
        <v>96</v>
      </c>
      <c r="BK49" s="1240"/>
      <c r="BO49" s="1239"/>
      <c r="BP49" s="1295"/>
      <c r="BQ49" s="1295">
        <v>41</v>
      </c>
      <c r="BR49" s="1302">
        <v>0.95420000000000005</v>
      </c>
      <c r="BS49" s="1303">
        <v>282.63159999999999</v>
      </c>
      <c r="BT49" s="1299">
        <v>6.4899999999999999E-2</v>
      </c>
      <c r="BU49" s="1299">
        <v>1.1999999999999999E-3</v>
      </c>
      <c r="BV49" s="1299">
        <v>2.8E-3</v>
      </c>
      <c r="BW49" s="1300">
        <v>1.46E-2</v>
      </c>
      <c r="BX49" s="1304">
        <v>1.1000000000000001E-3</v>
      </c>
      <c r="BY49" s="1240"/>
      <c r="CA49" s="1239"/>
      <c r="CB49" s="1295"/>
      <c r="CC49" s="1295">
        <v>41</v>
      </c>
      <c r="CD49" s="1302">
        <v>0.53979999999999995</v>
      </c>
      <c r="CE49" s="1303">
        <v>223.35849999999999</v>
      </c>
      <c r="CF49" s="1299">
        <v>2.0500000000000001E-2</v>
      </c>
      <c r="CG49" s="1299">
        <v>4.0000000000000002E-4</v>
      </c>
      <c r="CH49" s="1299">
        <v>2.2000000000000001E-3</v>
      </c>
      <c r="CI49" s="1300">
        <v>5.1000000000000004E-3</v>
      </c>
      <c r="CJ49" s="1304">
        <v>4.0000000000000002E-4</v>
      </c>
      <c r="CK49" s="1240"/>
      <c r="CN49" s="1351"/>
      <c r="CO49" s="1352"/>
      <c r="CP49" s="1352"/>
      <c r="CQ49" s="1352"/>
      <c r="CR49" s="1352"/>
      <c r="CS49" s="1352"/>
      <c r="CT49" s="1352"/>
      <c r="CU49" s="1352"/>
      <c r="CV49" s="1352"/>
      <c r="CW49" s="1352"/>
      <c r="CX49" s="1353"/>
      <c r="DA49" s="1239"/>
      <c r="DB49" s="1295">
        <v>175</v>
      </c>
      <c r="DC49" s="1341">
        <v>1</v>
      </c>
      <c r="DD49" s="1342">
        <v>1</v>
      </c>
      <c r="DE49" s="1240"/>
      <c r="DF49" s="1239"/>
      <c r="DH49" s="1239"/>
      <c r="DI49" s="1295">
        <v>175</v>
      </c>
      <c r="DJ49" s="1341">
        <v>1.034</v>
      </c>
      <c r="DK49" s="1342">
        <v>1.038</v>
      </c>
      <c r="DL49" s="1240"/>
      <c r="DO49" s="1239"/>
      <c r="DP49" s="1343">
        <v>7.1999999999999995E-2</v>
      </c>
      <c r="DQ49" s="1344">
        <v>0.45300000000000001</v>
      </c>
      <c r="DR49" s="1345">
        <v>0.46</v>
      </c>
      <c r="DS49" s="1240"/>
    </row>
    <row r="50" spans="2:123" ht="15.75" thickTop="1" x14ac:dyDescent="0.25">
      <c r="B50" s="1225"/>
      <c r="C50" s="1241"/>
      <c r="D50" s="1414" t="s">
        <v>588</v>
      </c>
      <c r="E50" s="563">
        <f>ROUND((FuelPriceAuto/(1+SalesTaxGasState+SalesTaxLocal)-ExciseTaxGasFed-ExciseTaxGasState)/5,2)*5</f>
        <v>3</v>
      </c>
      <c r="F50" s="1245" t="s">
        <v>665</v>
      </c>
      <c r="G50" s="1229"/>
      <c r="H50" s="1212"/>
      <c r="R50" s="657"/>
      <c r="S50" s="658"/>
      <c r="T50" s="1456" t="s">
        <v>734</v>
      </c>
      <c r="U50" s="594">
        <v>5.5E-2</v>
      </c>
      <c r="V50" s="1228" t="s">
        <v>728</v>
      </c>
      <c r="W50" s="660"/>
      <c r="X50" s="1212">
        <v>22</v>
      </c>
      <c r="AF50" s="1239"/>
      <c r="AG50" s="1474" t="s">
        <v>242</v>
      </c>
      <c r="AH50" s="1475" t="s">
        <v>735</v>
      </c>
      <c r="AI50" s="1476"/>
      <c r="AJ50" s="1477" t="s">
        <v>736</v>
      </c>
      <c r="AK50" s="1478" t="s">
        <v>737</v>
      </c>
      <c r="AL50" s="1479" t="s">
        <v>466</v>
      </c>
      <c r="AM50" s="1240"/>
      <c r="AQ50" s="1246"/>
      <c r="AR50" s="1290">
        <v>43</v>
      </c>
      <c r="AS50" s="551">
        <v>2.9499999999999998E-2</v>
      </c>
      <c r="AT50" s="552">
        <v>8.14E-2</v>
      </c>
      <c r="AU50" s="1237"/>
      <c r="AV50" s="1238"/>
      <c r="AW50" s="1238"/>
      <c r="AX50" s="1239"/>
      <c r="AY50" s="1291" t="s">
        <v>888</v>
      </c>
      <c r="AZ50" s="596">
        <f>ROUND(553/123662,4)</f>
        <v>4.4999999999999997E-3</v>
      </c>
      <c r="BA50" s="597">
        <f>ROUND(250/34195,4)</f>
        <v>7.3000000000000001E-3</v>
      </c>
      <c r="BB50" s="597">
        <f>ROUND(559/27456,4)</f>
        <v>2.0400000000000001E-2</v>
      </c>
      <c r="BC50" s="554">
        <f>ROUND(1362/185313,4)</f>
        <v>7.3000000000000001E-3</v>
      </c>
      <c r="BD50" s="1240"/>
      <c r="BE50" s="1212">
        <v>26</v>
      </c>
      <c r="BF50" s="1239"/>
      <c r="BG50" s="1415" t="s">
        <v>738</v>
      </c>
      <c r="BH50" s="1480">
        <v>847</v>
      </c>
      <c r="BI50" s="1481">
        <v>80</v>
      </c>
      <c r="BJ50" s="1482">
        <v>462</v>
      </c>
      <c r="BK50" s="1240"/>
      <c r="BO50" s="1239"/>
      <c r="BP50" s="1295"/>
      <c r="BQ50" s="1295">
        <v>42</v>
      </c>
      <c r="BR50" s="1302">
        <v>0.94079999999999997</v>
      </c>
      <c r="BS50" s="1303">
        <v>282.84640000000002</v>
      </c>
      <c r="BT50" s="1299">
        <v>6.4699999999999994E-2</v>
      </c>
      <c r="BU50" s="1299">
        <v>1.1000000000000001E-3</v>
      </c>
      <c r="BV50" s="1299">
        <v>2.8E-3</v>
      </c>
      <c r="BW50" s="1300">
        <v>1.44E-2</v>
      </c>
      <c r="BX50" s="1304">
        <v>1E-3</v>
      </c>
      <c r="BY50" s="1240"/>
      <c r="CA50" s="1239"/>
      <c r="CB50" s="1295"/>
      <c r="CC50" s="1295">
        <v>42</v>
      </c>
      <c r="CD50" s="1302">
        <v>0.53249999999999997</v>
      </c>
      <c r="CE50" s="1303">
        <v>223.8107</v>
      </c>
      <c r="CF50" s="1299">
        <v>2.0500000000000001E-2</v>
      </c>
      <c r="CG50" s="1299">
        <v>4.0000000000000002E-4</v>
      </c>
      <c r="CH50" s="1299">
        <v>2.2000000000000001E-3</v>
      </c>
      <c r="CI50" s="1300">
        <v>5.0000000000000001E-3</v>
      </c>
      <c r="CJ50" s="1304">
        <v>4.0000000000000002E-4</v>
      </c>
      <c r="CK50" s="1240"/>
      <c r="DA50" s="1239"/>
      <c r="DB50" s="1295">
        <v>200</v>
      </c>
      <c r="DC50" s="1341">
        <v>1.0049999999999999</v>
      </c>
      <c r="DD50" s="1342">
        <v>1.0069999999999999</v>
      </c>
      <c r="DE50" s="1240"/>
      <c r="DF50" s="1239"/>
      <c r="DH50" s="1239"/>
      <c r="DI50" s="1295">
        <v>200</v>
      </c>
      <c r="DJ50" s="1341">
        <v>1.052</v>
      </c>
      <c r="DK50" s="1342">
        <v>1.0580000000000001</v>
      </c>
      <c r="DL50" s="1240"/>
      <c r="DO50" s="1239"/>
      <c r="DP50" s="1343">
        <v>7.3999999999999996E-2</v>
      </c>
      <c r="DQ50" s="1344">
        <v>0.45300000000000001</v>
      </c>
      <c r="DR50" s="1345">
        <v>0.45900000000000002</v>
      </c>
      <c r="DS50" s="1240"/>
    </row>
    <row r="51" spans="2:123" ht="15" x14ac:dyDescent="0.25">
      <c r="B51" s="1225"/>
      <c r="C51" s="1241"/>
      <c r="D51" s="1416" t="s">
        <v>463</v>
      </c>
      <c r="E51" s="563">
        <f>ROUND((FuelPriceTruck/(1+SalesTaxDieselState)-ExciseTaxDieselFed-ExciseTaxDieselState)/5,2)*5</f>
        <v>2.8000000000000003</v>
      </c>
      <c r="F51" s="1245" t="s">
        <v>665</v>
      </c>
      <c r="G51" s="1229"/>
      <c r="H51" s="1212"/>
      <c r="R51" s="657"/>
      <c r="S51" s="658"/>
      <c r="T51" s="1456" t="s">
        <v>739</v>
      </c>
      <c r="U51" s="595">
        <v>2.5999999999999999E-2</v>
      </c>
      <c r="V51" s="1228" t="s">
        <v>728</v>
      </c>
      <c r="W51" s="660"/>
      <c r="X51" s="1212">
        <v>22</v>
      </c>
      <c r="AF51" s="1239"/>
      <c r="AG51" s="598" t="s">
        <v>740</v>
      </c>
      <c r="AH51" s="1483" t="s">
        <v>741</v>
      </c>
      <c r="AI51" s="1484"/>
      <c r="AJ51" s="599">
        <v>0.54900000000000004</v>
      </c>
      <c r="AK51" s="600">
        <v>0.54900000000000004</v>
      </c>
      <c r="AL51" s="601">
        <v>0.44600000000000001</v>
      </c>
      <c r="AM51" s="1240"/>
      <c r="AQ51" s="1246"/>
      <c r="AR51" s="1290">
        <v>44</v>
      </c>
      <c r="AS51" s="551">
        <v>2.9499999999999998E-2</v>
      </c>
      <c r="AT51" s="552">
        <v>8.14E-2</v>
      </c>
      <c r="AU51" s="1237"/>
      <c r="AV51" s="1238"/>
      <c r="AW51" s="1238"/>
      <c r="AX51" s="1239"/>
      <c r="AY51" s="1329" t="s">
        <v>893</v>
      </c>
      <c r="AZ51" s="602">
        <f>ROUND(39513/123662,4)</f>
        <v>0.31950000000000001</v>
      </c>
      <c r="BA51" s="603">
        <f>ROUND(11328/34195,4)</f>
        <v>0.33129999999999998</v>
      </c>
      <c r="BB51" s="603">
        <f>ROUND(9886/27456,4)</f>
        <v>0.36009999999999998</v>
      </c>
      <c r="BC51" s="556">
        <f>ROUND(60727/185313,4)</f>
        <v>0.32769999999999999</v>
      </c>
      <c r="BD51" s="1240"/>
      <c r="BE51" s="1212">
        <v>26</v>
      </c>
      <c r="BF51" s="1239"/>
      <c r="BG51" s="1485" t="s">
        <v>742</v>
      </c>
      <c r="BH51" s="1486"/>
      <c r="BI51" s="1487">
        <f>ROUND(BI50/BH50,4)</f>
        <v>9.4500000000000001E-2</v>
      </c>
      <c r="BJ51" s="1488">
        <f>ROUND(BJ50/BH50,4)</f>
        <v>0.54549999999999998</v>
      </c>
      <c r="BK51" s="1240"/>
      <c r="BO51" s="1239"/>
      <c r="BP51" s="1295"/>
      <c r="BQ51" s="1295">
        <v>43</v>
      </c>
      <c r="BR51" s="1302">
        <v>0.92769999999999997</v>
      </c>
      <c r="BS51" s="1303">
        <v>283.06130000000002</v>
      </c>
      <c r="BT51" s="1299">
        <v>6.4500000000000002E-2</v>
      </c>
      <c r="BU51" s="1299">
        <v>1.1000000000000001E-3</v>
      </c>
      <c r="BV51" s="1299">
        <v>2.8E-3</v>
      </c>
      <c r="BW51" s="1300">
        <v>1.4200000000000001E-2</v>
      </c>
      <c r="BX51" s="1304">
        <v>1E-3</v>
      </c>
      <c r="BY51" s="1240"/>
      <c r="CA51" s="1239"/>
      <c r="CB51" s="1295"/>
      <c r="CC51" s="1295">
        <v>43</v>
      </c>
      <c r="CD51" s="1302">
        <v>0.52529999999999999</v>
      </c>
      <c r="CE51" s="1303">
        <v>224.2638</v>
      </c>
      <c r="CF51" s="1299">
        <v>2.0400000000000001E-2</v>
      </c>
      <c r="CG51" s="1299">
        <v>4.0000000000000002E-4</v>
      </c>
      <c r="CH51" s="1299">
        <v>2.2000000000000001E-3</v>
      </c>
      <c r="CI51" s="1300">
        <v>5.0000000000000001E-3</v>
      </c>
      <c r="CJ51" s="1304">
        <v>4.0000000000000002E-4</v>
      </c>
      <c r="CK51" s="1240"/>
      <c r="CN51" s="714" t="s">
        <v>898</v>
      </c>
      <c r="CO51" s="715"/>
      <c r="DA51" s="1239"/>
      <c r="DB51" s="1295">
        <v>225</v>
      </c>
      <c r="DC51" s="1341">
        <v>1.012</v>
      </c>
      <c r="DD51" s="1342">
        <v>1.0169999999999999</v>
      </c>
      <c r="DE51" s="1240"/>
      <c r="DF51" s="1239"/>
      <c r="DH51" s="1239"/>
      <c r="DI51" s="1295">
        <v>225</v>
      </c>
      <c r="DJ51" s="1341">
        <v>1.07</v>
      </c>
      <c r="DK51" s="1342">
        <v>1.0780000000000001</v>
      </c>
      <c r="DL51" s="1240"/>
      <c r="DO51" s="1239"/>
      <c r="DP51" s="1343">
        <v>7.5999999999999998E-2</v>
      </c>
      <c r="DQ51" s="1344">
        <v>0.45300000000000001</v>
      </c>
      <c r="DR51" s="1345">
        <v>0.45700000000000002</v>
      </c>
      <c r="DS51" s="1240"/>
    </row>
    <row r="52" spans="2:123" ht="15" x14ac:dyDescent="0.25">
      <c r="B52" s="1225"/>
      <c r="C52" s="1241"/>
      <c r="D52" s="1226"/>
      <c r="E52" s="1227"/>
      <c r="F52" s="1245"/>
      <c r="G52" s="1229"/>
      <c r="H52" s="1212"/>
      <c r="R52" s="657"/>
      <c r="S52" s="658"/>
      <c r="T52" s="1456" t="s">
        <v>743</v>
      </c>
      <c r="U52" s="594">
        <v>2.5999999999999999E-2</v>
      </c>
      <c r="V52" s="1228" t="s">
        <v>728</v>
      </c>
      <c r="W52" s="660"/>
      <c r="X52" s="1212">
        <v>22</v>
      </c>
      <c r="AF52" s="1239"/>
      <c r="AG52" s="604" t="s">
        <v>744</v>
      </c>
      <c r="AH52" s="1489" t="s">
        <v>745</v>
      </c>
      <c r="AI52" s="1490"/>
      <c r="AJ52" s="605">
        <v>0.80500000000000005</v>
      </c>
      <c r="AK52" s="606">
        <v>0.80500000000000005</v>
      </c>
      <c r="AL52" s="607">
        <v>0.79900000000000004</v>
      </c>
      <c r="AM52" s="1240"/>
      <c r="AQ52" s="1246"/>
      <c r="AR52" s="1290">
        <v>45</v>
      </c>
      <c r="AS52" s="551">
        <v>2.9499999999999998E-2</v>
      </c>
      <c r="AT52" s="552">
        <v>8.14E-2</v>
      </c>
      <c r="AU52" s="1237"/>
      <c r="AV52" s="1238"/>
      <c r="AW52" s="1238"/>
      <c r="AX52" s="1239"/>
      <c r="AY52" s="1358" t="s">
        <v>894</v>
      </c>
      <c r="AZ52" s="608">
        <f>ROUND(83596/123662,4)</f>
        <v>0.67600000000000005</v>
      </c>
      <c r="BA52" s="609">
        <f>ROUND(22617/34195,4)</f>
        <v>0.66139999999999999</v>
      </c>
      <c r="BB52" s="609">
        <f>ROUND(17011/27456,4)</f>
        <v>0.61960000000000004</v>
      </c>
      <c r="BC52" s="558">
        <f>ROUND(123224/185313,4)</f>
        <v>0.66500000000000004</v>
      </c>
      <c r="BD52" s="1240"/>
      <c r="BE52" s="1212">
        <v>26</v>
      </c>
      <c r="BF52" s="1239"/>
      <c r="BG52" s="1358" t="s">
        <v>746</v>
      </c>
      <c r="BH52" s="1491"/>
      <c r="BI52" s="1492">
        <f>BH26</f>
        <v>11800000</v>
      </c>
      <c r="BJ52" s="1493">
        <f>BH27</f>
        <v>211900</v>
      </c>
      <c r="BK52" s="1240"/>
      <c r="BO52" s="1239"/>
      <c r="BP52" s="1295"/>
      <c r="BQ52" s="1295">
        <v>44</v>
      </c>
      <c r="BR52" s="1302">
        <v>0.91469999999999996</v>
      </c>
      <c r="BS52" s="1303">
        <v>283.27640000000002</v>
      </c>
      <c r="BT52" s="1299">
        <v>6.4299999999999996E-2</v>
      </c>
      <c r="BU52" s="1299">
        <v>1.1000000000000001E-3</v>
      </c>
      <c r="BV52" s="1299">
        <v>2.8E-3</v>
      </c>
      <c r="BW52" s="1300">
        <v>1.4E-2</v>
      </c>
      <c r="BX52" s="1304">
        <v>1E-3</v>
      </c>
      <c r="BY52" s="1240"/>
      <c r="CA52" s="1239"/>
      <c r="CB52" s="1295"/>
      <c r="CC52" s="1295">
        <v>44</v>
      </c>
      <c r="CD52" s="1302">
        <v>0.51819999999999999</v>
      </c>
      <c r="CE52" s="1303">
        <v>224.71789999999999</v>
      </c>
      <c r="CF52" s="1299">
        <v>2.0299999999999999E-2</v>
      </c>
      <c r="CG52" s="1299">
        <v>4.0000000000000002E-4</v>
      </c>
      <c r="CH52" s="1299">
        <v>2.2000000000000001E-3</v>
      </c>
      <c r="CI52" s="1300">
        <v>4.8999999999999998E-3</v>
      </c>
      <c r="CJ52" s="1304">
        <v>4.0000000000000002E-4</v>
      </c>
      <c r="CK52" s="1240"/>
      <c r="CN52" s="715"/>
      <c r="CO52" s="714" t="s">
        <v>899</v>
      </c>
      <c r="DA52" s="1239"/>
      <c r="DB52" s="1295">
        <v>250</v>
      </c>
      <c r="DC52" s="1341">
        <v>1.0189999999999999</v>
      </c>
      <c r="DD52" s="1342">
        <v>1.026</v>
      </c>
      <c r="DE52" s="1240"/>
      <c r="DF52" s="1239"/>
      <c r="DH52" s="1239"/>
      <c r="DI52" s="1295">
        <v>250</v>
      </c>
      <c r="DJ52" s="1341">
        <v>1.0880000000000001</v>
      </c>
      <c r="DK52" s="1342">
        <v>1.097</v>
      </c>
      <c r="DL52" s="1240"/>
      <c r="DO52" s="1239"/>
      <c r="DP52" s="1343">
        <v>7.8E-2</v>
      </c>
      <c r="DQ52" s="1344">
        <v>0.45300000000000001</v>
      </c>
      <c r="DR52" s="1345">
        <v>0.45500000000000002</v>
      </c>
      <c r="DS52" s="1240"/>
    </row>
    <row r="53" spans="2:123" ht="15.75" thickBot="1" x14ac:dyDescent="0.3">
      <c r="B53" s="1225"/>
      <c r="C53" s="1241" t="s">
        <v>747</v>
      </c>
      <c r="D53" s="1226"/>
      <c r="E53" s="1227"/>
      <c r="F53" s="1245"/>
      <c r="G53" s="1229"/>
      <c r="H53" s="1212"/>
      <c r="R53" s="657"/>
      <c r="S53" s="658"/>
      <c r="T53" s="1456" t="s">
        <v>748</v>
      </c>
      <c r="U53" s="595">
        <v>1.7000000000000001E-2</v>
      </c>
      <c r="V53" s="1228" t="s">
        <v>728</v>
      </c>
      <c r="W53" s="660"/>
      <c r="X53" s="1212">
        <v>22</v>
      </c>
      <c r="AF53" s="1239"/>
      <c r="AI53" s="610"/>
      <c r="AJ53" s="611"/>
      <c r="AK53" s="611"/>
      <c r="AL53" s="611"/>
      <c r="AM53" s="1240"/>
      <c r="AQ53" s="1246"/>
      <c r="AR53" s="1290">
        <v>46</v>
      </c>
      <c r="AS53" s="551">
        <v>2.9899999999999999E-2</v>
      </c>
      <c r="AT53" s="552">
        <v>7.8600000000000003E-2</v>
      </c>
      <c r="AU53" s="1237"/>
      <c r="AV53" s="1238"/>
      <c r="AW53" s="1238"/>
      <c r="AX53" s="1351"/>
      <c r="AY53" s="1352"/>
      <c r="AZ53" s="1352"/>
      <c r="BA53" s="1352"/>
      <c r="BB53" s="1352"/>
      <c r="BC53" s="1352"/>
      <c r="BD53" s="1353"/>
      <c r="BF53" s="1351"/>
      <c r="BG53" s="1352"/>
      <c r="BH53" s="1352"/>
      <c r="BI53" s="1352"/>
      <c r="BJ53" s="1352"/>
      <c r="BK53" s="1353"/>
      <c r="BO53" s="1239"/>
      <c r="BP53" s="1295"/>
      <c r="BQ53" s="1295">
        <v>45</v>
      </c>
      <c r="BR53" s="1302">
        <v>0.90200000000000002</v>
      </c>
      <c r="BS53" s="1303">
        <v>283.49169999999998</v>
      </c>
      <c r="BT53" s="1299">
        <v>6.4100000000000004E-2</v>
      </c>
      <c r="BU53" s="1299">
        <v>1.1000000000000001E-3</v>
      </c>
      <c r="BV53" s="1299">
        <v>2.8E-3</v>
      </c>
      <c r="BW53" s="1300">
        <v>1.38E-2</v>
      </c>
      <c r="BX53" s="1304">
        <v>1E-3</v>
      </c>
      <c r="BY53" s="1240"/>
      <c r="CA53" s="1239"/>
      <c r="CB53" s="1295"/>
      <c r="CC53" s="1295">
        <v>45</v>
      </c>
      <c r="CD53" s="1302">
        <v>0.51119999999999999</v>
      </c>
      <c r="CE53" s="1303">
        <v>225.1728</v>
      </c>
      <c r="CF53" s="1299">
        <v>2.0299999999999999E-2</v>
      </c>
      <c r="CG53" s="1299">
        <v>4.0000000000000002E-4</v>
      </c>
      <c r="CH53" s="1299">
        <v>2.2000000000000001E-3</v>
      </c>
      <c r="CI53" s="1300">
        <v>4.7999999999999996E-3</v>
      </c>
      <c r="CJ53" s="1304">
        <v>4.0000000000000002E-4</v>
      </c>
      <c r="CK53" s="1240"/>
      <c r="CN53" s="715"/>
      <c r="CO53" s="714" t="s">
        <v>900</v>
      </c>
      <c r="DA53" s="1239"/>
      <c r="DB53" s="1295">
        <v>275</v>
      </c>
      <c r="DC53" s="1341">
        <v>1.0269999999999999</v>
      </c>
      <c r="DD53" s="1342">
        <v>1.036</v>
      </c>
      <c r="DE53" s="1240"/>
      <c r="DF53" s="1239"/>
      <c r="DH53" s="1239"/>
      <c r="DI53" s="1295">
        <v>275</v>
      </c>
      <c r="DJ53" s="1341">
        <v>1.105</v>
      </c>
      <c r="DK53" s="1342">
        <v>1.117</v>
      </c>
      <c r="DL53" s="1240"/>
      <c r="DO53" s="1239"/>
      <c r="DP53" s="1494">
        <v>0.08</v>
      </c>
      <c r="DQ53" s="1495">
        <v>0.45300000000000001</v>
      </c>
      <c r="DR53" s="1496">
        <v>0.45300000000000001</v>
      </c>
      <c r="DS53" s="1240"/>
    </row>
    <row r="54" spans="2:123" ht="15.75" thickTop="1" thickBot="1" x14ac:dyDescent="0.25">
      <c r="B54" s="1225"/>
      <c r="C54" s="1241"/>
      <c r="D54" s="1414" t="s">
        <v>588</v>
      </c>
      <c r="E54" s="592">
        <f>ROUND((0.0955+3900/15000)*ValueUpdate,3)</f>
        <v>0.35599999999999998</v>
      </c>
      <c r="F54" s="1245" t="s">
        <v>728</v>
      </c>
      <c r="G54" s="1229"/>
      <c r="H54" s="1212">
        <v>11</v>
      </c>
      <c r="R54" s="657"/>
      <c r="S54" s="658"/>
      <c r="T54" s="1456" t="s">
        <v>750</v>
      </c>
      <c r="U54" s="594">
        <v>1.7000000000000001E-2</v>
      </c>
      <c r="V54" s="1228" t="s">
        <v>728</v>
      </c>
      <c r="W54" s="660"/>
      <c r="X54" s="1212">
        <v>22</v>
      </c>
      <c r="AF54" s="1239"/>
      <c r="AM54" s="1240"/>
      <c r="AQ54" s="1246"/>
      <c r="AR54" s="1290">
        <v>47</v>
      </c>
      <c r="AS54" s="551">
        <v>3.0200000000000001E-2</v>
      </c>
      <c r="AT54" s="552">
        <v>7.5800000000000006E-2</v>
      </c>
      <c r="AU54" s="1237"/>
      <c r="AV54" s="1238"/>
      <c r="AW54" s="1238"/>
      <c r="AX54" s="1238"/>
      <c r="AY54" s="1238"/>
      <c r="AZ54" s="1238"/>
      <c r="BA54" s="1238"/>
      <c r="BB54" s="1238"/>
      <c r="BC54" s="1238"/>
      <c r="BD54" s="1238"/>
      <c r="BO54" s="1239"/>
      <c r="BP54" s="1295"/>
      <c r="BQ54" s="1295">
        <v>46</v>
      </c>
      <c r="BR54" s="1302">
        <v>0.89500000000000002</v>
      </c>
      <c r="BS54" s="1303">
        <v>286.14699999999999</v>
      </c>
      <c r="BT54" s="1299">
        <v>6.4299999999999996E-2</v>
      </c>
      <c r="BU54" s="1299">
        <v>1.1000000000000001E-3</v>
      </c>
      <c r="BV54" s="1299">
        <v>2.8E-3</v>
      </c>
      <c r="BW54" s="1300">
        <v>1.38E-2</v>
      </c>
      <c r="BX54" s="1304">
        <v>1E-3</v>
      </c>
      <c r="BY54" s="1240"/>
      <c r="CA54" s="1239"/>
      <c r="CB54" s="1295"/>
      <c r="CC54" s="1295">
        <v>46</v>
      </c>
      <c r="CD54" s="1302">
        <v>0.5081</v>
      </c>
      <c r="CE54" s="1303">
        <v>228.05520000000001</v>
      </c>
      <c r="CF54" s="1299">
        <v>2.0299999999999999E-2</v>
      </c>
      <c r="CG54" s="1299">
        <v>4.0000000000000002E-4</v>
      </c>
      <c r="CH54" s="1299">
        <v>2.3E-3</v>
      </c>
      <c r="CI54" s="1300">
        <v>4.7999999999999996E-3</v>
      </c>
      <c r="CJ54" s="1304">
        <v>4.0000000000000002E-4</v>
      </c>
      <c r="CK54" s="1240"/>
      <c r="CN54" s="717"/>
      <c r="CO54" s="714" t="s">
        <v>901</v>
      </c>
      <c r="DA54" s="1239"/>
      <c r="DB54" s="1295">
        <v>300</v>
      </c>
      <c r="DC54" s="1341">
        <v>1.034</v>
      </c>
      <c r="DD54" s="1342">
        <v>1.0469999999999999</v>
      </c>
      <c r="DE54" s="1240"/>
      <c r="DF54" s="1239"/>
      <c r="DH54" s="1239"/>
      <c r="DI54" s="1295">
        <v>300</v>
      </c>
      <c r="DJ54" s="1341">
        <v>1.123</v>
      </c>
      <c r="DK54" s="1342">
        <v>1.137</v>
      </c>
      <c r="DL54" s="1240"/>
      <c r="DO54" s="1351"/>
      <c r="DP54" s="1352"/>
      <c r="DQ54" s="1352"/>
      <c r="DR54" s="1352"/>
      <c r="DS54" s="1353"/>
    </row>
    <row r="55" spans="2:123" ht="15" thickTop="1" x14ac:dyDescent="0.2">
      <c r="B55" s="1225"/>
      <c r="C55" s="1241"/>
      <c r="D55" s="1416" t="s">
        <v>463</v>
      </c>
      <c r="E55" s="592">
        <f>ROUND((0.28+0.119+0.034)*(1.1578/1.1385)*ValueUpdate,3)</f>
        <v>0.44</v>
      </c>
      <c r="F55" s="1245" t="s">
        <v>728</v>
      </c>
      <c r="G55" s="1229"/>
      <c r="H55" s="1212">
        <v>12</v>
      </c>
      <c r="R55" s="657"/>
      <c r="S55" s="658"/>
      <c r="T55" s="658"/>
      <c r="U55" s="658"/>
      <c r="V55" s="1394"/>
      <c r="W55" s="660"/>
      <c r="X55" s="1212"/>
      <c r="AF55" s="1239"/>
      <c r="AG55" s="1235" t="s">
        <v>752</v>
      </c>
      <c r="AH55" s="1236"/>
      <c r="AI55" s="1236"/>
      <c r="AJ55" s="1236"/>
      <c r="AK55" s="1236"/>
      <c r="AL55" s="1236"/>
      <c r="AM55" s="1240"/>
      <c r="AQ55" s="1246"/>
      <c r="AR55" s="1290">
        <v>48</v>
      </c>
      <c r="AS55" s="551">
        <v>3.0499999999999999E-2</v>
      </c>
      <c r="AT55" s="552">
        <v>7.3099999999999998E-2</v>
      </c>
      <c r="AU55" s="1237"/>
      <c r="AV55" s="1238"/>
      <c r="AW55" s="1238"/>
      <c r="AX55" s="1371" t="s">
        <v>753</v>
      </c>
      <c r="AY55" s="1238"/>
      <c r="AZ55" s="1238"/>
      <c r="BA55" s="1238"/>
      <c r="BB55" s="1238"/>
      <c r="BC55" s="1238"/>
      <c r="BD55" s="1238"/>
      <c r="BF55" s="1371" t="s">
        <v>754</v>
      </c>
      <c r="BO55" s="1239"/>
      <c r="BP55" s="1295"/>
      <c r="BQ55" s="1295">
        <v>47</v>
      </c>
      <c r="BR55" s="1302">
        <v>0.88819999999999999</v>
      </c>
      <c r="BS55" s="1303">
        <v>288.82729999999998</v>
      </c>
      <c r="BT55" s="1299">
        <v>6.4500000000000002E-2</v>
      </c>
      <c r="BU55" s="1299">
        <v>1.1000000000000001E-3</v>
      </c>
      <c r="BV55" s="1299">
        <v>2.8999999999999998E-3</v>
      </c>
      <c r="BW55" s="1300">
        <v>1.38E-2</v>
      </c>
      <c r="BX55" s="1304">
        <v>1E-3</v>
      </c>
      <c r="BY55" s="1240"/>
      <c r="CA55" s="1239"/>
      <c r="CB55" s="1295"/>
      <c r="CC55" s="1295">
        <v>47</v>
      </c>
      <c r="CD55" s="1302">
        <v>0.50509999999999999</v>
      </c>
      <c r="CE55" s="1303">
        <v>230.97450000000001</v>
      </c>
      <c r="CF55" s="1299">
        <v>2.0400000000000001E-2</v>
      </c>
      <c r="CG55" s="1299">
        <v>4.0000000000000002E-4</v>
      </c>
      <c r="CH55" s="1299">
        <v>2.3E-3</v>
      </c>
      <c r="CI55" s="1300">
        <v>4.7999999999999996E-3</v>
      </c>
      <c r="CJ55" s="1304">
        <v>4.0000000000000002E-4</v>
      </c>
      <c r="CK55" s="1240"/>
      <c r="CO55" s="714" t="s">
        <v>749</v>
      </c>
      <c r="DA55" s="1239"/>
      <c r="DB55" s="1295">
        <v>325</v>
      </c>
      <c r="DC55" s="1341">
        <v>1.0409999999999999</v>
      </c>
      <c r="DD55" s="1342">
        <v>1.0580000000000001</v>
      </c>
      <c r="DE55" s="1240"/>
      <c r="DF55" s="1239"/>
      <c r="DH55" s="1239"/>
      <c r="DI55" s="1295">
        <v>325</v>
      </c>
      <c r="DJ55" s="1341">
        <v>1.141</v>
      </c>
      <c r="DK55" s="1342">
        <v>1.1559999999999999</v>
      </c>
      <c r="DL55" s="1240"/>
    </row>
    <row r="56" spans="2:123" ht="14.25" x14ac:dyDescent="0.2">
      <c r="B56" s="1225"/>
      <c r="C56" s="1241"/>
      <c r="D56" s="1226"/>
      <c r="E56" s="1227"/>
      <c r="F56" s="1245"/>
      <c r="G56" s="1229"/>
      <c r="H56" s="1212"/>
      <c r="R56" s="657"/>
      <c r="S56" s="1241" t="s">
        <v>755</v>
      </c>
      <c r="T56" s="1226"/>
      <c r="U56" s="658"/>
      <c r="V56" s="1228"/>
      <c r="W56" s="1389"/>
      <c r="X56" s="1212"/>
      <c r="AF56" s="1239"/>
      <c r="AG56" s="1464" t="s">
        <v>756</v>
      </c>
      <c r="AH56" s="1236"/>
      <c r="AI56" s="1464"/>
      <c r="AJ56" s="1464"/>
      <c r="AK56" s="1464"/>
      <c r="AL56" s="1464"/>
      <c r="AM56" s="1240"/>
      <c r="AQ56" s="1246"/>
      <c r="AR56" s="1290">
        <v>49</v>
      </c>
      <c r="AS56" s="551">
        <v>3.09E-2</v>
      </c>
      <c r="AT56" s="552">
        <v>7.0499999999999993E-2</v>
      </c>
      <c r="AU56" s="1237"/>
      <c r="AV56" s="1238"/>
      <c r="AW56" s="1238"/>
      <c r="AX56" s="1371"/>
      <c r="AY56" s="1497" t="s">
        <v>902</v>
      </c>
      <c r="AZ56" s="1238"/>
      <c r="BA56" s="1238"/>
      <c r="BB56" s="1238"/>
      <c r="BC56" s="1238"/>
      <c r="BD56" s="1238"/>
      <c r="BG56" s="1371" t="s">
        <v>903</v>
      </c>
      <c r="BO56" s="1239"/>
      <c r="BP56" s="1295"/>
      <c r="BQ56" s="1295">
        <v>48</v>
      </c>
      <c r="BR56" s="1302">
        <v>0.88139999999999996</v>
      </c>
      <c r="BS56" s="1303">
        <v>291.5326</v>
      </c>
      <c r="BT56" s="1299">
        <v>6.4699999999999994E-2</v>
      </c>
      <c r="BU56" s="1299">
        <v>1.1000000000000001E-3</v>
      </c>
      <c r="BV56" s="1299">
        <v>2.8999999999999998E-3</v>
      </c>
      <c r="BW56" s="1300">
        <v>1.37E-2</v>
      </c>
      <c r="BX56" s="1304">
        <v>1E-3</v>
      </c>
      <c r="BY56" s="1240"/>
      <c r="CA56" s="1239"/>
      <c r="CB56" s="1295"/>
      <c r="CC56" s="1295">
        <v>48</v>
      </c>
      <c r="CD56" s="1302">
        <v>0.50209999999999999</v>
      </c>
      <c r="CE56" s="1303">
        <v>233.93119999999999</v>
      </c>
      <c r="CF56" s="1299">
        <v>2.0500000000000001E-2</v>
      </c>
      <c r="CG56" s="1299">
        <v>4.0000000000000002E-4</v>
      </c>
      <c r="CH56" s="1299">
        <v>2.3E-3</v>
      </c>
      <c r="CI56" s="1300">
        <v>4.7999999999999996E-3</v>
      </c>
      <c r="CJ56" s="1304">
        <v>4.0000000000000002E-4</v>
      </c>
      <c r="CK56" s="1240"/>
      <c r="CO56" s="714" t="s">
        <v>751</v>
      </c>
      <c r="DA56" s="1239"/>
      <c r="DB56" s="1295">
        <v>350</v>
      </c>
      <c r="DC56" s="1341">
        <v>1.05</v>
      </c>
      <c r="DD56" s="1342">
        <v>1.07</v>
      </c>
      <c r="DE56" s="1240"/>
      <c r="DF56" s="1239"/>
      <c r="DH56" s="1239"/>
      <c r="DI56" s="1295">
        <v>350</v>
      </c>
      <c r="DJ56" s="1341">
        <v>1.159</v>
      </c>
      <c r="DK56" s="1342">
        <v>1.1759999999999999</v>
      </c>
      <c r="DL56" s="1240"/>
      <c r="DO56" s="1371" t="s">
        <v>757</v>
      </c>
    </row>
    <row r="57" spans="2:123" ht="14.25" x14ac:dyDescent="0.2">
      <c r="B57" s="1225"/>
      <c r="C57" s="1241" t="s">
        <v>758</v>
      </c>
      <c r="D57" s="1226"/>
      <c r="E57" s="561">
        <v>5</v>
      </c>
      <c r="F57" s="1245" t="s">
        <v>586</v>
      </c>
      <c r="G57" s="1229"/>
      <c r="H57" s="1212"/>
      <c r="R57" s="657"/>
      <c r="S57" s="1241"/>
      <c r="T57" s="1395" t="s">
        <v>759</v>
      </c>
      <c r="U57" s="589">
        <v>3.5</v>
      </c>
      <c r="V57" s="1228" t="s">
        <v>578</v>
      </c>
      <c r="W57" s="1389"/>
      <c r="X57" s="1212">
        <v>23</v>
      </c>
      <c r="AF57" s="1239"/>
      <c r="AM57" s="1240"/>
      <c r="AQ57" s="1246"/>
      <c r="AR57" s="1290">
        <v>50</v>
      </c>
      <c r="AS57" s="551">
        <v>3.1199999999999999E-2</v>
      </c>
      <c r="AT57" s="552">
        <v>6.8000000000000005E-2</v>
      </c>
      <c r="AU57" s="1237"/>
      <c r="AV57" s="1238"/>
      <c r="AW57" s="1238"/>
      <c r="AX57" s="1238"/>
      <c r="AY57" s="1238"/>
      <c r="AZ57" s="1238"/>
      <c r="BA57" s="1238"/>
      <c r="BB57" s="1238"/>
      <c r="BC57" s="1238"/>
      <c r="BD57" s="1238"/>
      <c r="BO57" s="1239"/>
      <c r="BP57" s="1295"/>
      <c r="BQ57" s="1295">
        <v>49</v>
      </c>
      <c r="BR57" s="1302">
        <v>0.87460000000000004</v>
      </c>
      <c r="BS57" s="1303">
        <v>294.26330000000002</v>
      </c>
      <c r="BT57" s="1299">
        <v>6.4899999999999999E-2</v>
      </c>
      <c r="BU57" s="1299">
        <v>1.1000000000000001E-3</v>
      </c>
      <c r="BV57" s="1299">
        <v>2.8999999999999998E-3</v>
      </c>
      <c r="BW57" s="1300">
        <v>1.37E-2</v>
      </c>
      <c r="BX57" s="1304">
        <v>1E-3</v>
      </c>
      <c r="BY57" s="1240"/>
      <c r="CA57" s="1239"/>
      <c r="CB57" s="1295"/>
      <c r="CC57" s="1295">
        <v>49</v>
      </c>
      <c r="CD57" s="1302">
        <v>0.49909999999999999</v>
      </c>
      <c r="CE57" s="1303">
        <v>236.92570000000001</v>
      </c>
      <c r="CF57" s="1299">
        <v>2.06E-2</v>
      </c>
      <c r="CG57" s="1299">
        <v>4.0000000000000002E-4</v>
      </c>
      <c r="CH57" s="1299">
        <v>2.3E-3</v>
      </c>
      <c r="CI57" s="1300">
        <v>4.7999999999999996E-3</v>
      </c>
      <c r="CJ57" s="1304">
        <v>4.0000000000000002E-4</v>
      </c>
      <c r="CK57" s="1240"/>
      <c r="DA57" s="1239"/>
      <c r="DB57" s="1295">
        <v>375</v>
      </c>
      <c r="DC57" s="1341">
        <v>1.0609999999999999</v>
      </c>
      <c r="DD57" s="1342">
        <v>1.085</v>
      </c>
      <c r="DE57" s="1240"/>
      <c r="DF57" s="1239"/>
      <c r="DH57" s="1239"/>
      <c r="DI57" s="1295">
        <v>375</v>
      </c>
      <c r="DJ57" s="1341">
        <v>1.1759999999999999</v>
      </c>
      <c r="DK57" s="1342">
        <v>1.196</v>
      </c>
      <c r="DL57" s="1240"/>
    </row>
    <row r="58" spans="2:123" ht="15" thickBot="1" x14ac:dyDescent="0.25">
      <c r="B58" s="1225"/>
      <c r="C58" s="1241"/>
      <c r="D58" s="1226"/>
      <c r="E58" s="1227"/>
      <c r="F58" s="1245"/>
      <c r="G58" s="1229"/>
      <c r="H58" s="1212"/>
      <c r="R58" s="1498"/>
      <c r="S58" s="1241"/>
      <c r="T58" s="1456" t="s">
        <v>760</v>
      </c>
      <c r="U58" s="612">
        <v>0.66</v>
      </c>
      <c r="V58" s="1228" t="s">
        <v>559</v>
      </c>
      <c r="W58" s="1499"/>
      <c r="X58" s="1212">
        <v>23</v>
      </c>
      <c r="AF58" s="1239"/>
      <c r="AG58" s="1470"/>
      <c r="AH58" s="652"/>
      <c r="AI58" s="656"/>
      <c r="AJ58" s="1471" t="s">
        <v>461</v>
      </c>
      <c r="AK58" s="1472"/>
      <c r="AL58" s="1473"/>
      <c r="AM58" s="1240"/>
      <c r="AQ58" s="1246"/>
      <c r="AR58" s="1290">
        <v>51</v>
      </c>
      <c r="AS58" s="551">
        <v>3.1600000000000003E-2</v>
      </c>
      <c r="AT58" s="552">
        <v>7.0699999999999999E-2</v>
      </c>
      <c r="AU58" s="1237"/>
      <c r="AV58" s="1238"/>
      <c r="AW58" s="1238"/>
      <c r="AX58" s="1238"/>
      <c r="AY58" s="1238"/>
      <c r="AZ58" s="1238"/>
      <c r="BA58" s="1238"/>
      <c r="BB58" s="1238"/>
      <c r="BC58" s="1238"/>
      <c r="BD58" s="1238"/>
      <c r="BO58" s="1239"/>
      <c r="BP58" s="1295"/>
      <c r="BQ58" s="1295">
        <v>50</v>
      </c>
      <c r="BR58" s="1302">
        <v>0.8679</v>
      </c>
      <c r="BS58" s="1303">
        <v>297.01949999999999</v>
      </c>
      <c r="BT58" s="1299">
        <v>6.5199999999999994E-2</v>
      </c>
      <c r="BU58" s="1299">
        <v>1.1000000000000001E-3</v>
      </c>
      <c r="BV58" s="1299">
        <v>2.8999999999999998E-3</v>
      </c>
      <c r="BW58" s="1300">
        <v>1.37E-2</v>
      </c>
      <c r="BX58" s="1304">
        <v>1E-3</v>
      </c>
      <c r="BY58" s="1240"/>
      <c r="CA58" s="1239"/>
      <c r="CB58" s="1295"/>
      <c r="CC58" s="1295">
        <v>50</v>
      </c>
      <c r="CD58" s="1302">
        <v>0.49609999999999999</v>
      </c>
      <c r="CE58" s="1303">
        <v>239.95859999999999</v>
      </c>
      <c r="CF58" s="1299">
        <v>2.07E-2</v>
      </c>
      <c r="CG58" s="1299">
        <v>4.0000000000000002E-4</v>
      </c>
      <c r="CH58" s="1299">
        <v>2.3999999999999998E-3</v>
      </c>
      <c r="CI58" s="1300">
        <v>4.7999999999999996E-3</v>
      </c>
      <c r="CJ58" s="1304">
        <v>4.0000000000000002E-4</v>
      </c>
      <c r="CK58" s="1240"/>
      <c r="DA58" s="1239"/>
      <c r="DB58" s="1295">
        <v>400</v>
      </c>
      <c r="DC58" s="1341">
        <v>1.0720000000000001</v>
      </c>
      <c r="DD58" s="1342">
        <v>1.1000000000000001</v>
      </c>
      <c r="DE58" s="1240"/>
      <c r="DF58" s="1239"/>
      <c r="DH58" s="1239"/>
      <c r="DI58" s="1295">
        <v>400</v>
      </c>
      <c r="DJ58" s="1341">
        <v>1.194</v>
      </c>
      <c r="DK58" s="1342">
        <v>1.216</v>
      </c>
      <c r="DL58" s="1240"/>
    </row>
    <row r="59" spans="2:123" ht="15.75" thickTop="1" x14ac:dyDescent="0.2">
      <c r="B59" s="1386" t="s">
        <v>761</v>
      </c>
      <c r="C59" s="1241"/>
      <c r="D59" s="1226"/>
      <c r="E59" s="1245"/>
      <c r="F59" s="1245"/>
      <c r="G59" s="1229"/>
      <c r="H59" s="1212"/>
      <c r="R59" s="1498"/>
      <c r="S59" s="1241"/>
      <c r="T59" s="1404" t="s">
        <v>762</v>
      </c>
      <c r="U59" s="612">
        <v>0.06</v>
      </c>
      <c r="V59" s="1228" t="s">
        <v>559</v>
      </c>
      <c r="W59" s="1499"/>
      <c r="X59" s="1212">
        <v>24</v>
      </c>
      <c r="AF59" s="1239"/>
      <c r="AG59" s="1474" t="s">
        <v>242</v>
      </c>
      <c r="AH59" s="1475" t="s">
        <v>735</v>
      </c>
      <c r="AI59" s="1476"/>
      <c r="AJ59" s="1477" t="s">
        <v>736</v>
      </c>
      <c r="AK59" s="1478" t="s">
        <v>737</v>
      </c>
      <c r="AL59" s="1479" t="s">
        <v>466</v>
      </c>
      <c r="AM59" s="1240"/>
      <c r="AQ59" s="1246"/>
      <c r="AR59" s="1290">
        <v>52</v>
      </c>
      <c r="AS59" s="551">
        <v>3.2099999999999997E-2</v>
      </c>
      <c r="AT59" s="552">
        <v>7.3499999999999996E-2</v>
      </c>
      <c r="AU59" s="1237"/>
      <c r="AV59" s="1238"/>
      <c r="AW59" s="1238"/>
      <c r="AX59" s="1222"/>
      <c r="AY59" s="1223"/>
      <c r="AZ59" s="1223"/>
      <c r="BA59" s="1223"/>
      <c r="BB59" s="1223"/>
      <c r="BC59" s="1223"/>
      <c r="BD59" s="1224"/>
      <c r="BF59" s="1222"/>
      <c r="BG59" s="1223"/>
      <c r="BH59" s="1223"/>
      <c r="BI59" s="1223"/>
      <c r="BJ59" s="1223"/>
      <c r="BK59" s="1224"/>
      <c r="BO59" s="1239"/>
      <c r="BP59" s="1295"/>
      <c r="BQ59" s="1295">
        <v>51</v>
      </c>
      <c r="BR59" s="1302">
        <v>0.86080000000000001</v>
      </c>
      <c r="BS59" s="1303">
        <v>300.5677</v>
      </c>
      <c r="BT59" s="1299">
        <v>6.5500000000000003E-2</v>
      </c>
      <c r="BU59" s="1299">
        <v>1.1000000000000001E-3</v>
      </c>
      <c r="BV59" s="1299">
        <v>3.0000000000000001E-3</v>
      </c>
      <c r="BW59" s="1300">
        <v>1.38E-2</v>
      </c>
      <c r="BX59" s="1304">
        <v>1E-3</v>
      </c>
      <c r="BY59" s="1240"/>
      <c r="CA59" s="1239"/>
      <c r="CB59" s="1295"/>
      <c r="CC59" s="1295">
        <v>51</v>
      </c>
      <c r="CD59" s="1302">
        <v>0.49370000000000003</v>
      </c>
      <c r="CE59" s="1303">
        <v>243.83770000000001</v>
      </c>
      <c r="CF59" s="1299">
        <v>2.0899999999999998E-2</v>
      </c>
      <c r="CG59" s="1299">
        <v>4.0000000000000002E-4</v>
      </c>
      <c r="CH59" s="1299">
        <v>2.3999999999999998E-3</v>
      </c>
      <c r="CI59" s="1300">
        <v>4.8999999999999998E-3</v>
      </c>
      <c r="CJ59" s="1304">
        <v>4.0000000000000002E-4</v>
      </c>
      <c r="CK59" s="1240"/>
      <c r="DA59" s="1239"/>
      <c r="DB59" s="1295">
        <v>425</v>
      </c>
      <c r="DC59" s="1341">
        <v>1.0820000000000001</v>
      </c>
      <c r="DD59" s="1342">
        <v>1.1140000000000001</v>
      </c>
      <c r="DE59" s="1240"/>
      <c r="DF59" s="1239"/>
      <c r="DH59" s="1239"/>
      <c r="DI59" s="1295">
        <v>425</v>
      </c>
      <c r="DJ59" s="1341">
        <v>1.212</v>
      </c>
      <c r="DK59" s="1342">
        <v>1.2350000000000001</v>
      </c>
      <c r="DL59" s="1240"/>
    </row>
    <row r="60" spans="2:123" ht="15" x14ac:dyDescent="0.2">
      <c r="B60" s="1386"/>
      <c r="C60" s="1241"/>
      <c r="D60" s="1226"/>
      <c r="E60" s="1245"/>
      <c r="F60" s="1245"/>
      <c r="G60" s="1229"/>
      <c r="H60" s="1212"/>
      <c r="R60" s="1441"/>
      <c r="S60" s="1500"/>
      <c r="T60" s="1460"/>
      <c r="U60" s="1501"/>
      <c r="V60" s="1502"/>
      <c r="W60" s="1442"/>
      <c r="X60" s="572"/>
      <c r="AF60" s="1239"/>
      <c r="AG60" s="613" t="s">
        <v>740</v>
      </c>
      <c r="AH60" s="1483" t="s">
        <v>666</v>
      </c>
      <c r="AI60" s="1503"/>
      <c r="AJ60" s="614">
        <v>2.29</v>
      </c>
      <c r="AK60" s="615">
        <v>2.29</v>
      </c>
      <c r="AL60" s="616">
        <v>7.89</v>
      </c>
      <c r="AM60" s="1240"/>
      <c r="AQ60" s="1246"/>
      <c r="AR60" s="1290">
        <v>53</v>
      </c>
      <c r="AS60" s="551">
        <v>3.2500000000000001E-2</v>
      </c>
      <c r="AT60" s="552">
        <v>7.6399999999999996E-2</v>
      </c>
      <c r="AU60" s="1237"/>
      <c r="AV60" s="1238"/>
      <c r="AW60" s="1238"/>
      <c r="AX60" s="1239"/>
      <c r="AY60" s="1235" t="s">
        <v>904</v>
      </c>
      <c r="AZ60" s="1236"/>
      <c r="BA60" s="1236"/>
      <c r="BB60" s="1236"/>
      <c r="BC60" s="1236"/>
      <c r="BD60" s="1240"/>
      <c r="BF60" s="1239"/>
      <c r="BG60" s="1235" t="s">
        <v>905</v>
      </c>
      <c r="BH60" s="1236"/>
      <c r="BI60" s="1236"/>
      <c r="BJ60" s="1236"/>
      <c r="BK60" s="1463"/>
      <c r="BO60" s="1239"/>
      <c r="BP60" s="1295"/>
      <c r="BQ60" s="1295">
        <v>52</v>
      </c>
      <c r="BR60" s="1302">
        <v>0.85370000000000001</v>
      </c>
      <c r="BS60" s="1303">
        <v>304.1583</v>
      </c>
      <c r="BT60" s="1299">
        <v>6.59E-2</v>
      </c>
      <c r="BU60" s="1299">
        <v>1.1000000000000001E-3</v>
      </c>
      <c r="BV60" s="1299">
        <v>3.0000000000000001E-3</v>
      </c>
      <c r="BW60" s="1300">
        <v>1.3899999999999999E-2</v>
      </c>
      <c r="BX60" s="1304">
        <v>1E-3</v>
      </c>
      <c r="BY60" s="1240"/>
      <c r="CA60" s="1239"/>
      <c r="CB60" s="1295"/>
      <c r="CC60" s="1295">
        <v>52</v>
      </c>
      <c r="CD60" s="1302">
        <v>0.49130000000000001</v>
      </c>
      <c r="CE60" s="1303">
        <v>247.77940000000001</v>
      </c>
      <c r="CF60" s="1299">
        <v>2.1100000000000001E-2</v>
      </c>
      <c r="CG60" s="1299">
        <v>4.0000000000000002E-4</v>
      </c>
      <c r="CH60" s="1299">
        <v>2.3999999999999998E-3</v>
      </c>
      <c r="CI60" s="1300">
        <v>4.8999999999999998E-3</v>
      </c>
      <c r="CJ60" s="1304">
        <v>4.0000000000000002E-4</v>
      </c>
      <c r="CK60" s="1240"/>
      <c r="DA60" s="1239"/>
      <c r="DB60" s="1427">
        <v>450</v>
      </c>
      <c r="DC60" s="1435">
        <v>1.093</v>
      </c>
      <c r="DD60" s="1436">
        <v>1.129</v>
      </c>
      <c r="DE60" s="1240"/>
      <c r="DF60" s="1239"/>
      <c r="DH60" s="1239"/>
      <c r="DI60" s="1427">
        <v>450</v>
      </c>
      <c r="DJ60" s="1435">
        <v>1.23</v>
      </c>
      <c r="DK60" s="1436">
        <v>1.2549999999999999</v>
      </c>
      <c r="DL60" s="1240"/>
    </row>
    <row r="61" spans="2:123" ht="15.75" thickBot="1" x14ac:dyDescent="0.25">
      <c r="B61" s="1386"/>
      <c r="C61" s="1241" t="s">
        <v>763</v>
      </c>
      <c r="D61" s="1226"/>
      <c r="E61" s="617">
        <f>ROUND(11600000*(1.1578/1.1385)*ValueUpdate,-5)</f>
        <v>11800000</v>
      </c>
      <c r="F61" s="1245" t="s">
        <v>764</v>
      </c>
      <c r="G61" s="1229"/>
      <c r="H61" s="1212">
        <v>13</v>
      </c>
      <c r="R61" s="1441"/>
      <c r="S61" s="1241" t="s">
        <v>765</v>
      </c>
      <c r="T61" s="1226"/>
      <c r="U61" s="658"/>
      <c r="V61" s="1228"/>
      <c r="W61" s="1442"/>
      <c r="X61" s="572"/>
      <c r="AF61" s="1239"/>
      <c r="AG61" s="618"/>
      <c r="AH61" s="1489" t="s">
        <v>766</v>
      </c>
      <c r="AI61" s="1504"/>
      <c r="AJ61" s="619">
        <v>0.99</v>
      </c>
      <c r="AK61" s="620">
        <v>0.99</v>
      </c>
      <c r="AL61" s="621">
        <v>0.78</v>
      </c>
      <c r="AM61" s="1240"/>
      <c r="AQ61" s="1246"/>
      <c r="AR61" s="1290">
        <v>54</v>
      </c>
      <c r="AS61" s="551">
        <v>3.3000000000000002E-2</v>
      </c>
      <c r="AT61" s="552">
        <v>7.9399999999999998E-2</v>
      </c>
      <c r="AU61" s="1237"/>
      <c r="AV61" s="1238"/>
      <c r="AW61" s="1238"/>
      <c r="AX61" s="1239"/>
      <c r="AY61" s="1247" t="s">
        <v>906</v>
      </c>
      <c r="AZ61" s="1236"/>
      <c r="BA61" s="1236"/>
      <c r="BB61" s="1236"/>
      <c r="BC61" s="1236"/>
      <c r="BD61" s="1240"/>
      <c r="BF61" s="1239"/>
      <c r="BG61" s="1247" t="s">
        <v>767</v>
      </c>
      <c r="BH61" s="1236"/>
      <c r="BI61" s="1236"/>
      <c r="BJ61" s="1236"/>
      <c r="BK61" s="1463"/>
      <c r="BO61" s="1239"/>
      <c r="BP61" s="1295"/>
      <c r="BQ61" s="1295">
        <v>53</v>
      </c>
      <c r="BR61" s="1302">
        <v>0.84670000000000001</v>
      </c>
      <c r="BS61" s="1303">
        <v>307.79180000000002</v>
      </c>
      <c r="BT61" s="1299">
        <v>6.6299999999999998E-2</v>
      </c>
      <c r="BU61" s="1299">
        <v>1.1000000000000001E-3</v>
      </c>
      <c r="BV61" s="1299">
        <v>3.0000000000000001E-3</v>
      </c>
      <c r="BW61" s="1300">
        <v>1.4E-2</v>
      </c>
      <c r="BX61" s="1304">
        <v>1E-3</v>
      </c>
      <c r="BY61" s="1240"/>
      <c r="CA61" s="1239"/>
      <c r="CB61" s="1295"/>
      <c r="CC61" s="1295">
        <v>53</v>
      </c>
      <c r="CD61" s="1302">
        <v>0.4889</v>
      </c>
      <c r="CE61" s="1303">
        <v>251.78489999999999</v>
      </c>
      <c r="CF61" s="1299">
        <v>2.1299999999999999E-2</v>
      </c>
      <c r="CG61" s="1299">
        <v>4.0000000000000002E-4</v>
      </c>
      <c r="CH61" s="1299">
        <v>2.5000000000000001E-3</v>
      </c>
      <c r="CI61" s="1300">
        <v>5.0000000000000001E-3</v>
      </c>
      <c r="CJ61" s="1304">
        <v>4.0000000000000002E-4</v>
      </c>
      <c r="CK61" s="1240"/>
      <c r="DA61" s="1351"/>
      <c r="DB61" s="1352"/>
      <c r="DC61" s="1352"/>
      <c r="DD61" s="1352"/>
      <c r="DE61" s="1353"/>
      <c r="DF61" s="1239"/>
      <c r="DH61" s="1351"/>
      <c r="DI61" s="1352"/>
      <c r="DJ61" s="1352"/>
      <c r="DK61" s="1352"/>
      <c r="DL61" s="1353"/>
    </row>
    <row r="62" spans="2:123" ht="15" thickTop="1" x14ac:dyDescent="0.2">
      <c r="B62" s="1225"/>
      <c r="C62" s="1241"/>
      <c r="D62" s="1226"/>
      <c r="E62" s="1245"/>
      <c r="F62" s="1245"/>
      <c r="G62" s="1229"/>
      <c r="H62" s="1212"/>
      <c r="R62" s="1441"/>
      <c r="S62" s="1241"/>
      <c r="T62" s="1395" t="s">
        <v>768</v>
      </c>
      <c r="U62" s="622">
        <f>IF(ProjLoc=1,AJ51,IF(ProjLoc=2,AK51,AL51))</f>
        <v>0.44600000000000001</v>
      </c>
      <c r="V62" s="1228" t="s">
        <v>559</v>
      </c>
      <c r="W62" s="1442"/>
      <c r="X62" s="588"/>
      <c r="AF62" s="1239"/>
      <c r="AG62" s="623" t="s">
        <v>744</v>
      </c>
      <c r="AH62" s="1483" t="s">
        <v>666</v>
      </c>
      <c r="AI62" s="1503"/>
      <c r="AJ62" s="614">
        <v>0.68</v>
      </c>
      <c r="AK62" s="615">
        <v>0.68</v>
      </c>
      <c r="AL62" s="616">
        <v>0.6</v>
      </c>
      <c r="AM62" s="1240"/>
      <c r="AQ62" s="1246"/>
      <c r="AR62" s="1290">
        <v>55</v>
      </c>
      <c r="AS62" s="551">
        <v>3.3399999999999999E-2</v>
      </c>
      <c r="AT62" s="552">
        <v>8.2600000000000007E-2</v>
      </c>
      <c r="AU62" s="1237"/>
      <c r="AV62" s="1238"/>
      <c r="AW62" s="1238"/>
      <c r="AX62" s="1239"/>
      <c r="BA62" s="1202"/>
      <c r="BD62" s="1240"/>
      <c r="BF62" s="1239"/>
      <c r="BI62" s="1202"/>
      <c r="BK62" s="1240"/>
      <c r="BO62" s="1239"/>
      <c r="BP62" s="1295"/>
      <c r="BQ62" s="1295">
        <v>54</v>
      </c>
      <c r="BR62" s="1302">
        <v>0.83979999999999999</v>
      </c>
      <c r="BS62" s="1303">
        <v>311.46870000000001</v>
      </c>
      <c r="BT62" s="1299">
        <v>6.6699999999999995E-2</v>
      </c>
      <c r="BU62" s="1299">
        <v>1.1000000000000001E-3</v>
      </c>
      <c r="BV62" s="1299">
        <v>3.0999999999999999E-3</v>
      </c>
      <c r="BW62" s="1300">
        <v>1.41E-2</v>
      </c>
      <c r="BX62" s="1304">
        <v>1E-3</v>
      </c>
      <c r="BY62" s="1240"/>
      <c r="CA62" s="1239"/>
      <c r="CB62" s="1295"/>
      <c r="CC62" s="1295">
        <v>54</v>
      </c>
      <c r="CD62" s="1302">
        <v>0.48659999999999998</v>
      </c>
      <c r="CE62" s="1303">
        <v>255.8552</v>
      </c>
      <c r="CF62" s="1299">
        <v>2.1499999999999998E-2</v>
      </c>
      <c r="CG62" s="1299">
        <v>4.0000000000000002E-4</v>
      </c>
      <c r="CH62" s="1299">
        <v>2.5000000000000001E-3</v>
      </c>
      <c r="CI62" s="1300">
        <v>5.1000000000000004E-3</v>
      </c>
      <c r="CJ62" s="1304">
        <v>4.0000000000000002E-4</v>
      </c>
      <c r="CK62" s="1240"/>
    </row>
    <row r="63" spans="2:123" ht="14.25" x14ac:dyDescent="0.2">
      <c r="B63" s="1225"/>
      <c r="C63" s="1241" t="s">
        <v>769</v>
      </c>
      <c r="D63" s="1226"/>
      <c r="E63" s="1245"/>
      <c r="F63" s="1245"/>
      <c r="G63" s="1229"/>
      <c r="H63" s="1212"/>
      <c r="R63" s="1441"/>
      <c r="S63" s="1241"/>
      <c r="T63" s="1395" t="s">
        <v>770</v>
      </c>
      <c r="U63" s="622">
        <f>IF(ProjLoc=1,AJ52,IF(ProjLoc=2,AK52,AL52))</f>
        <v>0.79900000000000004</v>
      </c>
      <c r="V63" s="1228" t="s">
        <v>559</v>
      </c>
      <c r="W63" s="1442"/>
      <c r="X63" s="588"/>
      <c r="AF63" s="1239"/>
      <c r="AG63" s="624"/>
      <c r="AH63" s="1489" t="s">
        <v>766</v>
      </c>
      <c r="AI63" s="1504"/>
      <c r="AJ63" s="619">
        <v>0.63</v>
      </c>
      <c r="AK63" s="620">
        <v>0.63</v>
      </c>
      <c r="AL63" s="621">
        <v>1.08</v>
      </c>
      <c r="AM63" s="1240"/>
      <c r="AQ63" s="1246"/>
      <c r="AR63" s="1290">
        <v>56</v>
      </c>
      <c r="AS63" s="551">
        <v>3.3700000000000001E-2</v>
      </c>
      <c r="AT63" s="552">
        <v>8.6499999999999994E-2</v>
      </c>
      <c r="AU63" s="1237"/>
      <c r="AV63" s="1238"/>
      <c r="AW63" s="1238"/>
      <c r="AX63" s="1239"/>
      <c r="AY63" s="1267" t="s">
        <v>887</v>
      </c>
      <c r="AZ63" s="1268" t="s">
        <v>461</v>
      </c>
      <c r="BA63" s="1269" t="s">
        <v>465</v>
      </c>
      <c r="BB63" s="1269" t="s">
        <v>466</v>
      </c>
      <c r="BC63" s="1270" t="s">
        <v>94</v>
      </c>
      <c r="BD63" s="1240"/>
      <c r="BF63" s="1239"/>
      <c r="BG63" s="1505" t="s">
        <v>771</v>
      </c>
      <c r="BH63" s="1272" t="s">
        <v>493</v>
      </c>
      <c r="BI63" s="1269" t="s">
        <v>96</v>
      </c>
      <c r="BJ63" s="1270" t="s">
        <v>97</v>
      </c>
      <c r="BK63" s="1240"/>
      <c r="BO63" s="1239"/>
      <c r="BP63" s="1295"/>
      <c r="BQ63" s="1295">
        <v>55</v>
      </c>
      <c r="BR63" s="1302">
        <v>0.83289999999999997</v>
      </c>
      <c r="BS63" s="1303">
        <v>315.18950000000001</v>
      </c>
      <c r="BT63" s="1299">
        <v>6.7100000000000007E-2</v>
      </c>
      <c r="BU63" s="1299">
        <v>1.1000000000000001E-3</v>
      </c>
      <c r="BV63" s="1299">
        <v>3.0999999999999999E-3</v>
      </c>
      <c r="BW63" s="1300">
        <v>1.4200000000000001E-2</v>
      </c>
      <c r="BX63" s="1304">
        <v>1E-3</v>
      </c>
      <c r="BY63" s="1240"/>
      <c r="CA63" s="1239"/>
      <c r="CB63" s="1295"/>
      <c r="CC63" s="1295">
        <v>55</v>
      </c>
      <c r="CD63" s="1302">
        <v>0.48420000000000002</v>
      </c>
      <c r="CE63" s="1303">
        <v>259.99119999999999</v>
      </c>
      <c r="CF63" s="1299">
        <v>2.1700000000000001E-2</v>
      </c>
      <c r="CG63" s="1299">
        <v>4.0000000000000002E-4</v>
      </c>
      <c r="CH63" s="1299">
        <v>2.5999999999999999E-3</v>
      </c>
      <c r="CI63" s="1300">
        <v>5.1000000000000004E-3</v>
      </c>
      <c r="CJ63" s="1304">
        <v>4.0000000000000002E-4</v>
      </c>
      <c r="CK63" s="1240"/>
      <c r="DA63" s="1371" t="s">
        <v>772</v>
      </c>
      <c r="DH63" s="1371" t="s">
        <v>773</v>
      </c>
    </row>
    <row r="64" spans="2:123" ht="15" x14ac:dyDescent="0.25">
      <c r="B64" s="1225"/>
      <c r="C64" s="1241"/>
      <c r="D64" s="1414" t="s">
        <v>774</v>
      </c>
      <c r="E64" s="625">
        <f>ROUND(521300*(1.1578/1.1244)*ValueUpdate,-2)</f>
        <v>536800</v>
      </c>
      <c r="F64" s="1245" t="s">
        <v>764</v>
      </c>
      <c r="G64" s="1229"/>
      <c r="H64" s="1212">
        <v>13</v>
      </c>
      <c r="R64" s="1441"/>
      <c r="S64" s="1500"/>
      <c r="T64" s="1226"/>
      <c r="U64" s="658"/>
      <c r="V64" s="1228"/>
      <c r="W64" s="1442"/>
      <c r="X64" s="1212"/>
      <c r="AF64" s="1239"/>
      <c r="AI64" s="610"/>
      <c r="AJ64" s="611"/>
      <c r="AK64" s="611"/>
      <c r="AL64" s="611"/>
      <c r="AM64" s="1240"/>
      <c r="AQ64" s="1246"/>
      <c r="AR64" s="1290">
        <v>57</v>
      </c>
      <c r="AS64" s="551">
        <v>3.4000000000000002E-2</v>
      </c>
      <c r="AT64" s="552">
        <v>9.0700000000000003E-2</v>
      </c>
      <c r="AU64" s="1237"/>
      <c r="AV64" s="1238"/>
      <c r="AW64" s="1238"/>
      <c r="AX64" s="1239"/>
      <c r="AY64" s="1291" t="s">
        <v>888</v>
      </c>
      <c r="AZ64" s="626">
        <f>ROUND(FatValue*AZ26+(InjAValue*AZ$12+InjBValue*AZ$13+InjCValue*AZ$14)*AZ33+NoInjValue*AZ41,-5)</f>
        <v>13000000</v>
      </c>
      <c r="BA64" s="568">
        <f>ROUND(FatValue*BA26+(InjAValue*BA$12+InjBValue*BA$13+InjCValue*BA$14)*BA33+NoInjValue*BA41,-5)</f>
        <v>12800000</v>
      </c>
      <c r="BB64" s="568">
        <f>ROUND(FatValue*BB26+(InjAValue*BB$12+InjBValue*BB$13+InjCValue*BB$14)*BB33+NoInjValue*BB41,-5)</f>
        <v>13600000</v>
      </c>
      <c r="BC64" s="569">
        <f>ROUND(FatValue*BC26+(InjAValue*BC$12+InjBValue*BC$13+InjCValue*BC$14)*BC33+NoInjValue*BC41,-5)</f>
        <v>13200000</v>
      </c>
      <c r="BD64" s="1240"/>
      <c r="BF64" s="1239"/>
      <c r="BG64" s="1506">
        <v>0</v>
      </c>
      <c r="BH64" s="1507">
        <v>0.25</v>
      </c>
      <c r="BI64" s="1507">
        <v>0.69399999999999995</v>
      </c>
      <c r="BJ64" s="1508">
        <v>0.92600000000000005</v>
      </c>
      <c r="BK64" s="1240"/>
      <c r="BO64" s="1239"/>
      <c r="BP64" s="1295"/>
      <c r="BQ64" s="1295">
        <v>56</v>
      </c>
      <c r="BR64" s="1302">
        <v>0.81669999999999998</v>
      </c>
      <c r="BS64" s="1303">
        <v>317.38749999999999</v>
      </c>
      <c r="BT64" s="1299">
        <v>6.6799999999999998E-2</v>
      </c>
      <c r="BU64" s="1299">
        <v>1.1000000000000001E-3</v>
      </c>
      <c r="BV64" s="1299">
        <v>3.0999999999999999E-3</v>
      </c>
      <c r="BW64" s="1300">
        <v>1.43E-2</v>
      </c>
      <c r="BX64" s="1304">
        <v>1E-3</v>
      </c>
      <c r="BY64" s="1240"/>
      <c r="CA64" s="1239"/>
      <c r="CB64" s="1295"/>
      <c r="CC64" s="1295">
        <v>56</v>
      </c>
      <c r="CD64" s="1302">
        <v>0.47720000000000001</v>
      </c>
      <c r="CE64" s="1303">
        <v>262.64600000000002</v>
      </c>
      <c r="CF64" s="1299">
        <v>2.18E-2</v>
      </c>
      <c r="CG64" s="1299">
        <v>4.0000000000000002E-4</v>
      </c>
      <c r="CH64" s="1299">
        <v>2.5999999999999999E-3</v>
      </c>
      <c r="CI64" s="1300">
        <v>5.1999999999999998E-3</v>
      </c>
      <c r="CJ64" s="1304">
        <v>4.0000000000000002E-4</v>
      </c>
      <c r="CK64" s="1240"/>
    </row>
    <row r="65" spans="2:89" ht="15" x14ac:dyDescent="0.25">
      <c r="B65" s="1225"/>
      <c r="C65" s="1241"/>
      <c r="D65" s="1416" t="s">
        <v>775</v>
      </c>
      <c r="E65" s="625">
        <f>ROUND(142000*(1.1578/1.1244)*ValueUpdate,-2)</f>
        <v>146200</v>
      </c>
      <c r="F65" s="1245" t="s">
        <v>764</v>
      </c>
      <c r="G65" s="1229"/>
      <c r="H65" s="1212">
        <v>13</v>
      </c>
      <c r="R65" s="1441"/>
      <c r="S65" s="1500"/>
      <c r="T65" s="1395" t="s">
        <v>776</v>
      </c>
      <c r="U65" s="571">
        <v>4.4999999999999998E-2</v>
      </c>
      <c r="V65" s="1228" t="s">
        <v>559</v>
      </c>
      <c r="W65" s="1442"/>
      <c r="X65" s="1212">
        <v>20</v>
      </c>
      <c r="AF65" s="1239"/>
      <c r="AM65" s="1240"/>
      <c r="AQ65" s="1246"/>
      <c r="AR65" s="1290">
        <v>58</v>
      </c>
      <c r="AS65" s="551">
        <v>3.4299999999999997E-2</v>
      </c>
      <c r="AT65" s="552">
        <v>9.5000000000000001E-2</v>
      </c>
      <c r="AU65" s="1237"/>
      <c r="AV65" s="1238"/>
      <c r="AW65" s="1238"/>
      <c r="AX65" s="1239"/>
      <c r="AY65" s="1329" t="s">
        <v>893</v>
      </c>
      <c r="AZ65" s="627">
        <f>ROUND((InjAValue*AZ$12+InjBValue*AZ$13+InjCValue*AZ$14)*AZ34+NoInjValue*AZ42,-2)</f>
        <v>173300</v>
      </c>
      <c r="BA65" s="628">
        <f>ROUND((InjAValue*BA$12+InjBValue*BA$13+InjCValue*BA$14)*BA34+NoInjValue*BA42,-2)</f>
        <v>173000</v>
      </c>
      <c r="BB65" s="628">
        <f>ROUND((InjAValue*BB$12+InjBValue*BB$13+InjCValue*BB$14)*BB34+NoInjValue*BB42,-2)</f>
        <v>179600</v>
      </c>
      <c r="BC65" s="629">
        <f>ROUND((InjAValue*BC$12+InjBValue*BC$13+InjCValue*BC$14)*BC34+NoInjValue*BC42,-2)</f>
        <v>173800</v>
      </c>
      <c r="BD65" s="1240"/>
      <c r="BF65" s="1239"/>
      <c r="BG65" s="1509">
        <v>5000</v>
      </c>
      <c r="BH65" s="1510">
        <v>0.192</v>
      </c>
      <c r="BI65" s="1510">
        <v>0.80300000000000005</v>
      </c>
      <c r="BJ65" s="1511">
        <v>0.96499999999999997</v>
      </c>
      <c r="BK65" s="1240"/>
      <c r="BO65" s="1239"/>
      <c r="BP65" s="1295"/>
      <c r="BQ65" s="1295">
        <v>57</v>
      </c>
      <c r="BR65" s="1302">
        <v>0.80079999999999996</v>
      </c>
      <c r="BS65" s="1303">
        <v>319.60090000000002</v>
      </c>
      <c r="BT65" s="1299">
        <v>6.6600000000000006E-2</v>
      </c>
      <c r="BU65" s="1299">
        <v>1.1000000000000001E-3</v>
      </c>
      <c r="BV65" s="1299">
        <v>3.2000000000000002E-3</v>
      </c>
      <c r="BW65" s="1300">
        <v>1.44E-2</v>
      </c>
      <c r="BX65" s="1304">
        <v>1E-3</v>
      </c>
      <c r="BY65" s="1240"/>
      <c r="CA65" s="1239"/>
      <c r="CB65" s="1295"/>
      <c r="CC65" s="1295">
        <v>57</v>
      </c>
      <c r="CD65" s="1302">
        <v>0.4703</v>
      </c>
      <c r="CE65" s="1303">
        <v>265.3279</v>
      </c>
      <c r="CF65" s="1299">
        <v>2.1999999999999999E-2</v>
      </c>
      <c r="CG65" s="1299">
        <v>4.0000000000000002E-4</v>
      </c>
      <c r="CH65" s="1299">
        <v>2.5999999999999999E-3</v>
      </c>
      <c r="CI65" s="1300">
        <v>5.3E-3</v>
      </c>
      <c r="CJ65" s="1304">
        <v>4.0000000000000002E-4</v>
      </c>
      <c r="CK65" s="1240"/>
    </row>
    <row r="66" spans="2:89" ht="15" x14ac:dyDescent="0.25">
      <c r="B66" s="1225"/>
      <c r="C66" s="1241"/>
      <c r="D66" s="1416" t="s">
        <v>777</v>
      </c>
      <c r="E66" s="625">
        <f>ROUND(72500*(1.1578/1.1244)*ValueUpdate,-2)</f>
        <v>74700</v>
      </c>
      <c r="F66" s="1245" t="s">
        <v>764</v>
      </c>
      <c r="G66" s="1229"/>
      <c r="H66" s="1212">
        <v>13</v>
      </c>
      <c r="R66" s="1441"/>
      <c r="S66" s="1500"/>
      <c r="T66" s="1395" t="s">
        <v>778</v>
      </c>
      <c r="U66" s="571">
        <v>0.09</v>
      </c>
      <c r="V66" s="1228" t="s">
        <v>559</v>
      </c>
      <c r="W66" s="1442"/>
      <c r="X66" s="588">
        <v>20</v>
      </c>
      <c r="AF66" s="1239"/>
      <c r="AG66" s="1235" t="s">
        <v>779</v>
      </c>
      <c r="AH66" s="1236"/>
      <c r="AI66" s="1236"/>
      <c r="AJ66" s="1236"/>
      <c r="AK66" s="1236"/>
      <c r="AL66" s="1236"/>
      <c r="AM66" s="1240"/>
      <c r="AQ66" s="1246"/>
      <c r="AR66" s="1290">
        <v>59</v>
      </c>
      <c r="AS66" s="551">
        <v>3.4500000000000003E-2</v>
      </c>
      <c r="AT66" s="552">
        <v>9.9500000000000005E-2</v>
      </c>
      <c r="AU66" s="1237"/>
      <c r="AV66" s="1238"/>
      <c r="AW66" s="1238"/>
      <c r="AX66" s="1239"/>
      <c r="AY66" s="1358" t="s">
        <v>894</v>
      </c>
      <c r="AZ66" s="630">
        <f>ROUND(NoInjValue*AZ43*2,-2)</f>
        <v>11200</v>
      </c>
      <c r="BA66" s="631">
        <f>ROUND(NoInjValue*BA43*2,-2)</f>
        <v>12600</v>
      </c>
      <c r="BB66" s="631">
        <f>ROUND(NoInjValue*BB43*2,-2)</f>
        <v>9900</v>
      </c>
      <c r="BC66" s="632">
        <f>ROUND(NoInjValue*BC43*2,-2)</f>
        <v>12200</v>
      </c>
      <c r="BD66" s="1240"/>
      <c r="BF66" s="1239"/>
      <c r="BG66" s="1512">
        <v>10000</v>
      </c>
      <c r="BH66" s="1513">
        <v>0.84</v>
      </c>
      <c r="BI66" s="1513">
        <v>0.57699999999999996</v>
      </c>
      <c r="BJ66" s="1514">
        <v>0.97799999999999998</v>
      </c>
      <c r="BK66" s="1240"/>
      <c r="BO66" s="1239"/>
      <c r="BP66" s="1295"/>
      <c r="BQ66" s="1295">
        <v>58</v>
      </c>
      <c r="BR66" s="1302">
        <v>0.78520000000000001</v>
      </c>
      <c r="BS66" s="1303">
        <v>321.8297</v>
      </c>
      <c r="BT66" s="1299">
        <v>6.6400000000000001E-2</v>
      </c>
      <c r="BU66" s="1299">
        <v>1.1000000000000001E-3</v>
      </c>
      <c r="BV66" s="1299">
        <v>3.2000000000000002E-3</v>
      </c>
      <c r="BW66" s="1300">
        <v>1.44E-2</v>
      </c>
      <c r="BX66" s="1304">
        <v>1.1000000000000001E-3</v>
      </c>
      <c r="BY66" s="1240"/>
      <c r="CA66" s="1239"/>
      <c r="CB66" s="1295"/>
      <c r="CC66" s="1295">
        <v>58</v>
      </c>
      <c r="CD66" s="1302">
        <v>0.46350000000000002</v>
      </c>
      <c r="CE66" s="1303">
        <v>268.03719999999998</v>
      </c>
      <c r="CF66" s="1299">
        <v>2.2200000000000001E-2</v>
      </c>
      <c r="CG66" s="1299">
        <v>4.0000000000000002E-4</v>
      </c>
      <c r="CH66" s="1299">
        <v>2.5999999999999999E-3</v>
      </c>
      <c r="CI66" s="1300">
        <v>5.4000000000000003E-3</v>
      </c>
      <c r="CJ66" s="1304">
        <v>4.0000000000000002E-4</v>
      </c>
      <c r="CK66" s="1240"/>
    </row>
    <row r="67" spans="2:89" ht="15" thickBot="1" x14ac:dyDescent="0.25">
      <c r="B67" s="1225"/>
      <c r="C67" s="1241"/>
      <c r="D67" s="1226"/>
      <c r="E67" s="1245"/>
      <c r="F67" s="1245"/>
      <c r="G67" s="1229"/>
      <c r="H67" s="1212"/>
      <c r="R67" s="1441"/>
      <c r="S67" s="1500"/>
      <c r="T67" s="1226"/>
      <c r="U67" s="1245"/>
      <c r="V67" s="1228"/>
      <c r="W67" s="1442"/>
      <c r="X67" s="572"/>
      <c r="AF67" s="1239"/>
      <c r="AG67" s="1464" t="s">
        <v>780</v>
      </c>
      <c r="AH67" s="1236"/>
      <c r="AI67" s="1464"/>
      <c r="AJ67" s="1464"/>
      <c r="AK67" s="1464"/>
      <c r="AL67" s="1464"/>
      <c r="AM67" s="1240"/>
      <c r="AQ67" s="1246"/>
      <c r="AR67" s="1290">
        <v>60</v>
      </c>
      <c r="AS67" s="551">
        <v>3.4799999999999998E-2</v>
      </c>
      <c r="AT67" s="552">
        <v>0.1043</v>
      </c>
      <c r="AU67" s="1237"/>
      <c r="AV67" s="1238"/>
      <c r="AW67" s="1238"/>
      <c r="AX67" s="1239"/>
      <c r="AY67" s="1415" t="s">
        <v>781</v>
      </c>
      <c r="AZ67" s="633">
        <f>ROUND(AZ50*AZ64+AZ51*AZ65+AZ52*AZ66,-2)</f>
        <v>121400</v>
      </c>
      <c r="BA67" s="634">
        <f>ROUND(BA50*BA64+BA51*BA65+BA52*BA66,-2)</f>
        <v>159100</v>
      </c>
      <c r="BB67" s="634">
        <f>ROUND(BB50*BB64+BB51*BB65+BB52*BB66,-2)</f>
        <v>348200</v>
      </c>
      <c r="BC67" s="635">
        <f>ROUND(BC50*BC64+BC51*BC65+BC52*BC66,-2)</f>
        <v>161400</v>
      </c>
      <c r="BD67" s="1240"/>
      <c r="BE67" s="1212"/>
      <c r="BF67" s="1351"/>
      <c r="BG67" s="1352"/>
      <c r="BH67" s="1352"/>
      <c r="BI67" s="1352"/>
      <c r="BJ67" s="1352"/>
      <c r="BK67" s="1353"/>
      <c r="BO67" s="1239"/>
      <c r="BP67" s="1295"/>
      <c r="BQ67" s="1295">
        <v>59</v>
      </c>
      <c r="BR67" s="1302">
        <v>0.76990000000000003</v>
      </c>
      <c r="BS67" s="1303">
        <v>324.07400000000001</v>
      </c>
      <c r="BT67" s="1299">
        <v>6.6199999999999995E-2</v>
      </c>
      <c r="BU67" s="1299">
        <v>1.1999999999999999E-3</v>
      </c>
      <c r="BV67" s="1299">
        <v>3.2000000000000002E-3</v>
      </c>
      <c r="BW67" s="1300">
        <v>1.4500000000000001E-2</v>
      </c>
      <c r="BX67" s="1304">
        <v>1.1000000000000001E-3</v>
      </c>
      <c r="BY67" s="1240"/>
      <c r="CA67" s="1239"/>
      <c r="CB67" s="1295"/>
      <c r="CC67" s="1295">
        <v>59</v>
      </c>
      <c r="CD67" s="1302">
        <v>0.45679999999999998</v>
      </c>
      <c r="CE67" s="1303">
        <v>270.77409999999998</v>
      </c>
      <c r="CF67" s="1299">
        <v>2.23E-2</v>
      </c>
      <c r="CG67" s="1299">
        <v>4.0000000000000002E-4</v>
      </c>
      <c r="CH67" s="1299">
        <v>2.7000000000000001E-3</v>
      </c>
      <c r="CI67" s="1300">
        <v>5.4999999999999997E-3</v>
      </c>
      <c r="CJ67" s="1304">
        <v>4.0000000000000002E-4</v>
      </c>
      <c r="CK67" s="1240"/>
    </row>
    <row r="68" spans="2:89" ht="16.5" thickTop="1" thickBot="1" x14ac:dyDescent="0.3">
      <c r="B68" s="1225"/>
      <c r="C68" s="1241" t="s">
        <v>782</v>
      </c>
      <c r="D68" s="1226"/>
      <c r="E68" s="625">
        <f>ROUND(2840*(1.1578/1.0496)*ValueUpdate,-2)</f>
        <v>3100</v>
      </c>
      <c r="F68" s="1245" t="s">
        <v>764</v>
      </c>
      <c r="G68" s="1229"/>
      <c r="H68" s="1212">
        <v>14</v>
      </c>
      <c r="R68" s="1441"/>
      <c r="S68" s="1500"/>
      <c r="T68" s="1404" t="s">
        <v>783</v>
      </c>
      <c r="U68" s="636">
        <v>252</v>
      </c>
      <c r="V68" s="1228" t="s">
        <v>784</v>
      </c>
      <c r="W68" s="1442"/>
      <c r="X68" s="588">
        <v>25</v>
      </c>
      <c r="AF68" s="1239"/>
      <c r="AM68" s="1240"/>
      <c r="AQ68" s="1246"/>
      <c r="AR68" s="1290">
        <v>61</v>
      </c>
      <c r="AS68" s="551">
        <v>3.5099999999999999E-2</v>
      </c>
      <c r="AT68" s="552">
        <v>0.1062</v>
      </c>
      <c r="AU68" s="1237"/>
      <c r="AV68" s="1238"/>
      <c r="AW68" s="1238"/>
      <c r="AX68" s="1351"/>
      <c r="AY68" s="1352"/>
      <c r="AZ68" s="1352"/>
      <c r="BA68" s="1352"/>
      <c r="BB68" s="1352"/>
      <c r="BC68" s="1352"/>
      <c r="BD68" s="1353"/>
      <c r="BO68" s="1239"/>
      <c r="BP68" s="1295"/>
      <c r="BQ68" s="1295">
        <v>60</v>
      </c>
      <c r="BR68" s="1302">
        <v>0.75490000000000002</v>
      </c>
      <c r="BS68" s="1303">
        <v>326.334</v>
      </c>
      <c r="BT68" s="1299">
        <v>6.6000000000000003E-2</v>
      </c>
      <c r="BU68" s="1299">
        <v>1.1999999999999999E-3</v>
      </c>
      <c r="BV68" s="1299">
        <v>3.2000000000000002E-3</v>
      </c>
      <c r="BW68" s="1300">
        <v>1.46E-2</v>
      </c>
      <c r="BX68" s="1304">
        <v>1.1000000000000001E-3</v>
      </c>
      <c r="BY68" s="1240"/>
      <c r="CA68" s="1239"/>
      <c r="CB68" s="1295"/>
      <c r="CC68" s="1295">
        <v>60</v>
      </c>
      <c r="CD68" s="1302">
        <v>0.45019999999999999</v>
      </c>
      <c r="CE68" s="1303">
        <v>273.53899999999999</v>
      </c>
      <c r="CF68" s="1299">
        <v>2.2499999999999999E-2</v>
      </c>
      <c r="CG68" s="1299">
        <v>4.0000000000000002E-4</v>
      </c>
      <c r="CH68" s="1299">
        <v>2.7000000000000001E-3</v>
      </c>
      <c r="CI68" s="1300">
        <v>5.7000000000000002E-3</v>
      </c>
      <c r="CJ68" s="1304">
        <v>4.0000000000000002E-4</v>
      </c>
      <c r="CK68" s="1240"/>
    </row>
    <row r="69" spans="2:89" ht="15" thickTop="1" x14ac:dyDescent="0.2">
      <c r="B69" s="1225"/>
      <c r="C69" s="1241"/>
      <c r="D69" s="1226"/>
      <c r="E69" s="1227"/>
      <c r="F69" s="1245"/>
      <c r="G69" s="1229"/>
      <c r="H69" s="1212"/>
      <c r="R69" s="1441"/>
      <c r="S69" s="1500"/>
      <c r="T69" s="1404" t="s">
        <v>785</v>
      </c>
      <c r="U69" s="636">
        <v>392</v>
      </c>
      <c r="V69" s="1228" t="s">
        <v>784</v>
      </c>
      <c r="W69" s="1442"/>
      <c r="X69" s="588">
        <v>25</v>
      </c>
      <c r="AF69" s="1239"/>
      <c r="AG69" s="1470"/>
      <c r="AH69" s="652"/>
      <c r="AI69" s="656"/>
      <c r="AJ69" s="1471" t="s">
        <v>461</v>
      </c>
      <c r="AK69" s="1472"/>
      <c r="AL69" s="1473"/>
      <c r="AM69" s="1240"/>
      <c r="AP69" s="1237"/>
      <c r="AQ69" s="1246"/>
      <c r="AR69" s="1290">
        <v>62</v>
      </c>
      <c r="AS69" s="551">
        <v>3.5299999999999998E-2</v>
      </c>
      <c r="AT69" s="552">
        <v>0.10829999999999999</v>
      </c>
      <c r="AU69" s="1237"/>
      <c r="AW69" s="1238"/>
      <c r="AX69" s="1238"/>
      <c r="AY69" s="1238"/>
      <c r="AZ69" s="1238"/>
      <c r="BA69" s="1238"/>
      <c r="BB69" s="1238"/>
      <c r="BC69" s="1238"/>
      <c r="BN69" s="1240"/>
      <c r="BO69" s="1239"/>
      <c r="BP69" s="1295"/>
      <c r="BQ69" s="1295">
        <v>61</v>
      </c>
      <c r="BR69" s="1302">
        <v>0.75190000000000001</v>
      </c>
      <c r="BS69" s="1303">
        <v>328.7321</v>
      </c>
      <c r="BT69" s="1299">
        <v>6.7199999999999996E-2</v>
      </c>
      <c r="BU69" s="1299">
        <v>1.1999999999999999E-3</v>
      </c>
      <c r="BV69" s="1299">
        <v>3.2000000000000002E-3</v>
      </c>
      <c r="BW69" s="1300">
        <v>1.5100000000000001E-2</v>
      </c>
      <c r="BX69" s="1304">
        <v>1.1000000000000001E-3</v>
      </c>
      <c r="BY69" s="1240"/>
      <c r="CA69" s="1239"/>
      <c r="CB69" s="1295"/>
      <c r="CC69" s="1295">
        <v>61</v>
      </c>
      <c r="CD69" s="1302">
        <v>0.44550000000000001</v>
      </c>
      <c r="CE69" s="1303">
        <v>275.30180000000001</v>
      </c>
      <c r="CF69" s="1299">
        <v>2.2700000000000001E-2</v>
      </c>
      <c r="CG69" s="1299">
        <v>5.0000000000000001E-4</v>
      </c>
      <c r="CH69" s="1299">
        <v>2.7000000000000001E-3</v>
      </c>
      <c r="CI69" s="1300">
        <v>5.7999999999999996E-3</v>
      </c>
      <c r="CJ69" s="1304">
        <v>4.0000000000000002E-4</v>
      </c>
      <c r="CK69" s="1240"/>
    </row>
    <row r="70" spans="2:89" ht="14.25" x14ac:dyDescent="0.2">
      <c r="B70" s="1225"/>
      <c r="C70" s="1241" t="s">
        <v>907</v>
      </c>
      <c r="D70" s="1226"/>
      <c r="E70" s="1227"/>
      <c r="F70" s="1245"/>
      <c r="G70" s="1229"/>
      <c r="H70" s="1212"/>
      <c r="R70" s="637"/>
      <c r="S70" s="638"/>
      <c r="T70" s="638"/>
      <c r="U70" s="638"/>
      <c r="V70" s="1515"/>
      <c r="W70" s="639"/>
      <c r="X70" s="588"/>
      <c r="AF70" s="1239"/>
      <c r="AG70" s="1474" t="s">
        <v>242</v>
      </c>
      <c r="AH70" s="1475" t="s">
        <v>786</v>
      </c>
      <c r="AI70" s="1476"/>
      <c r="AJ70" s="1477" t="s">
        <v>736</v>
      </c>
      <c r="AK70" s="1478" t="s">
        <v>737</v>
      </c>
      <c r="AL70" s="1479" t="s">
        <v>466</v>
      </c>
      <c r="AM70" s="1240"/>
      <c r="AP70" s="1237"/>
      <c r="AQ70" s="1246"/>
      <c r="AR70" s="1290">
        <v>63</v>
      </c>
      <c r="AS70" s="551">
        <v>3.56E-2</v>
      </c>
      <c r="AT70" s="552">
        <v>0.1104</v>
      </c>
      <c r="AU70" s="1237"/>
      <c r="AX70" s="1371" t="s">
        <v>787</v>
      </c>
      <c r="BF70" s="1371" t="s">
        <v>788</v>
      </c>
      <c r="BN70" s="1240"/>
      <c r="BO70" s="1239"/>
      <c r="BP70" s="1295"/>
      <c r="BQ70" s="1295">
        <v>62</v>
      </c>
      <c r="BR70" s="1302">
        <v>0.749</v>
      </c>
      <c r="BS70" s="1303">
        <v>331.14769999999999</v>
      </c>
      <c r="BT70" s="1299">
        <v>6.8400000000000002E-2</v>
      </c>
      <c r="BU70" s="1299">
        <v>1.1999999999999999E-3</v>
      </c>
      <c r="BV70" s="1299">
        <v>3.3E-3</v>
      </c>
      <c r="BW70" s="1300">
        <v>1.5599999999999999E-2</v>
      </c>
      <c r="BX70" s="1304">
        <v>1.1000000000000001E-3</v>
      </c>
      <c r="BY70" s="1240"/>
      <c r="CA70" s="1239"/>
      <c r="CB70" s="1295"/>
      <c r="CC70" s="1295">
        <v>62</v>
      </c>
      <c r="CD70" s="1302">
        <v>0.44080000000000003</v>
      </c>
      <c r="CE70" s="1303">
        <v>277.07600000000002</v>
      </c>
      <c r="CF70" s="1299">
        <v>2.29E-2</v>
      </c>
      <c r="CG70" s="1299">
        <v>5.0000000000000001E-4</v>
      </c>
      <c r="CH70" s="1299">
        <v>2.7000000000000001E-3</v>
      </c>
      <c r="CI70" s="1300">
        <v>5.8999999999999999E-3</v>
      </c>
      <c r="CJ70" s="1304">
        <v>4.0000000000000002E-4</v>
      </c>
      <c r="CK70" s="1240"/>
    </row>
    <row r="71" spans="2:89" ht="14.25" x14ac:dyDescent="0.2">
      <c r="B71" s="1225"/>
      <c r="C71" s="1241"/>
      <c r="D71" s="1414" t="s">
        <v>888</v>
      </c>
      <c r="E71" s="640">
        <f>IF(ProjLoc=3,HwyFatCostR,HwyFatCostU)</f>
        <v>13600000</v>
      </c>
      <c r="F71" s="1245" t="s">
        <v>908</v>
      </c>
      <c r="G71" s="1229"/>
      <c r="H71" s="1212"/>
      <c r="V71" s="1201"/>
      <c r="X71" s="588"/>
      <c r="AF71" s="1239"/>
      <c r="AG71" s="613" t="s">
        <v>740</v>
      </c>
      <c r="AH71" s="1483" t="s">
        <v>789</v>
      </c>
      <c r="AI71" s="1484"/>
      <c r="AJ71" s="599">
        <v>0.186</v>
      </c>
      <c r="AK71" s="600">
        <v>0.186</v>
      </c>
      <c r="AL71" s="601">
        <v>9.9000000000000005E-2</v>
      </c>
      <c r="AM71" s="1240"/>
      <c r="AP71" s="1237"/>
      <c r="AQ71" s="1246"/>
      <c r="AR71" s="1290">
        <v>64</v>
      </c>
      <c r="AS71" s="551">
        <v>3.5799999999999998E-2</v>
      </c>
      <c r="AT71" s="552">
        <v>0.1125</v>
      </c>
      <c r="AU71" s="1237"/>
      <c r="BN71" s="1240"/>
      <c r="BO71" s="1239"/>
      <c r="BP71" s="1295"/>
      <c r="BQ71" s="1295">
        <v>63</v>
      </c>
      <c r="BR71" s="1302">
        <v>0.746</v>
      </c>
      <c r="BS71" s="1303">
        <v>333.58120000000002</v>
      </c>
      <c r="BT71" s="1299">
        <v>6.9699999999999998E-2</v>
      </c>
      <c r="BU71" s="1299">
        <v>1.2999999999999999E-3</v>
      </c>
      <c r="BV71" s="1299">
        <v>3.3E-3</v>
      </c>
      <c r="BW71" s="1300">
        <v>1.6E-2</v>
      </c>
      <c r="BX71" s="1304">
        <v>1.1999999999999999E-3</v>
      </c>
      <c r="BY71" s="1240"/>
      <c r="CA71" s="1239"/>
      <c r="CB71" s="1295"/>
      <c r="CC71" s="1295">
        <v>63</v>
      </c>
      <c r="CD71" s="1302">
        <v>0.43619999999999998</v>
      </c>
      <c r="CE71" s="1303">
        <v>278.86160000000001</v>
      </c>
      <c r="CF71" s="1299">
        <v>2.3099999999999999E-2</v>
      </c>
      <c r="CG71" s="1299">
        <v>5.0000000000000001E-4</v>
      </c>
      <c r="CH71" s="1299">
        <v>2.8E-3</v>
      </c>
      <c r="CI71" s="1300">
        <v>6.1000000000000004E-3</v>
      </c>
      <c r="CJ71" s="1304">
        <v>4.0000000000000002E-4</v>
      </c>
      <c r="CK71" s="1240"/>
    </row>
    <row r="72" spans="2:89" ht="14.25" x14ac:dyDescent="0.2">
      <c r="B72" s="1225"/>
      <c r="C72" s="1241"/>
      <c r="D72" s="1414" t="s">
        <v>893</v>
      </c>
      <c r="E72" s="640">
        <f>IF(ProjLoc=3,HwyInjCostR,HwyInjCostU)</f>
        <v>179600</v>
      </c>
      <c r="F72" s="1245" t="s">
        <v>908</v>
      </c>
      <c r="G72" s="1229"/>
      <c r="H72" s="1212"/>
      <c r="R72" s="1371" t="s">
        <v>909</v>
      </c>
      <c r="V72" s="1201"/>
      <c r="X72" s="588"/>
      <c r="AF72" s="1239"/>
      <c r="AG72" s="641"/>
      <c r="AH72" s="1516" t="s">
        <v>790</v>
      </c>
      <c r="AI72" s="1517"/>
      <c r="AJ72" s="1518">
        <v>0.46100000000000002</v>
      </c>
      <c r="AK72" s="1519">
        <v>0.46100000000000002</v>
      </c>
      <c r="AL72" s="1520">
        <v>0.622</v>
      </c>
      <c r="AM72" s="1240"/>
      <c r="AQ72" s="1246"/>
      <c r="AR72" s="1290">
        <v>65</v>
      </c>
      <c r="AS72" s="551">
        <v>3.61E-2</v>
      </c>
      <c r="AT72" s="552">
        <v>0.11459999999999999</v>
      </c>
      <c r="AU72" s="1237"/>
      <c r="AV72" s="1238"/>
      <c r="BO72" s="1239"/>
      <c r="BP72" s="1295"/>
      <c r="BQ72" s="1295">
        <v>64</v>
      </c>
      <c r="BR72" s="1302">
        <v>0.74299999999999999</v>
      </c>
      <c r="BS72" s="1303">
        <v>336.03250000000003</v>
      </c>
      <c r="BT72" s="1299">
        <v>7.0999999999999994E-2</v>
      </c>
      <c r="BU72" s="1299">
        <v>1.2999999999999999E-3</v>
      </c>
      <c r="BV72" s="1299">
        <v>3.3E-3</v>
      </c>
      <c r="BW72" s="1300">
        <v>1.6500000000000001E-2</v>
      </c>
      <c r="BX72" s="1304">
        <v>1.1999999999999999E-3</v>
      </c>
      <c r="BY72" s="1240"/>
      <c r="CA72" s="1239"/>
      <c r="CB72" s="1295"/>
      <c r="CC72" s="1295">
        <v>64</v>
      </c>
      <c r="CD72" s="1302">
        <v>0.43159999999999998</v>
      </c>
      <c r="CE72" s="1303">
        <v>280.65870000000001</v>
      </c>
      <c r="CF72" s="1299">
        <v>2.3300000000000001E-2</v>
      </c>
      <c r="CG72" s="1299">
        <v>5.0000000000000001E-4</v>
      </c>
      <c r="CH72" s="1299">
        <v>2.8E-3</v>
      </c>
      <c r="CI72" s="1300">
        <v>6.1999999999999998E-3</v>
      </c>
      <c r="CJ72" s="1304">
        <v>5.0000000000000001E-4</v>
      </c>
      <c r="CK72" s="1240"/>
    </row>
    <row r="73" spans="2:89" ht="14.25" x14ac:dyDescent="0.2">
      <c r="B73" s="1225"/>
      <c r="C73" s="1241"/>
      <c r="D73" s="1416" t="s">
        <v>894</v>
      </c>
      <c r="E73" s="640">
        <f>IF(ProjLoc=3,HwyPDOCostR,HwyPDOCostU)</f>
        <v>9900</v>
      </c>
      <c r="F73" s="1245" t="s">
        <v>908</v>
      </c>
      <c r="G73" s="1229"/>
      <c r="H73" s="1212"/>
      <c r="R73" s="1371" t="s">
        <v>910</v>
      </c>
      <c r="X73" s="588"/>
      <c r="AF73" s="1239"/>
      <c r="AG73" s="618"/>
      <c r="AH73" s="1489" t="s">
        <v>791</v>
      </c>
      <c r="AI73" s="1490"/>
      <c r="AJ73" s="1521">
        <v>0.35299999999999998</v>
      </c>
      <c r="AK73" s="1522">
        <v>0.35299999999999998</v>
      </c>
      <c r="AL73" s="1523">
        <v>0.27900000000000003</v>
      </c>
      <c r="AM73" s="1240"/>
      <c r="AQ73" s="1246"/>
      <c r="AR73" s="1290">
        <v>66</v>
      </c>
      <c r="AS73" s="642">
        <v>3.61E-2</v>
      </c>
      <c r="AT73" s="643">
        <v>0.1138</v>
      </c>
      <c r="AU73" s="1237"/>
      <c r="AV73" s="1238"/>
      <c r="BO73" s="1239"/>
      <c r="BP73" s="1295"/>
      <c r="BQ73" s="1295">
        <v>65</v>
      </c>
      <c r="BR73" s="1302">
        <v>0.74009999999999998</v>
      </c>
      <c r="BS73" s="1303">
        <v>338.5018</v>
      </c>
      <c r="BT73" s="1299">
        <v>7.2300000000000003E-2</v>
      </c>
      <c r="BU73" s="1299">
        <v>1.2999999999999999E-3</v>
      </c>
      <c r="BV73" s="1299">
        <v>3.3E-3</v>
      </c>
      <c r="BW73" s="1300">
        <v>1.7100000000000001E-2</v>
      </c>
      <c r="BX73" s="1304">
        <v>1.1999999999999999E-3</v>
      </c>
      <c r="BY73" s="1240"/>
      <c r="CA73" s="1239"/>
      <c r="CB73" s="1295"/>
      <c r="CC73" s="1295">
        <v>65</v>
      </c>
      <c r="CD73" s="1302">
        <v>0.42709999999999998</v>
      </c>
      <c r="CE73" s="1303">
        <v>282.46730000000002</v>
      </c>
      <c r="CF73" s="1299">
        <v>2.35E-2</v>
      </c>
      <c r="CG73" s="1299">
        <v>5.0000000000000001E-4</v>
      </c>
      <c r="CH73" s="1299">
        <v>2.8E-3</v>
      </c>
      <c r="CI73" s="1300">
        <v>6.4000000000000003E-3</v>
      </c>
      <c r="CJ73" s="1304">
        <v>5.0000000000000001E-4</v>
      </c>
      <c r="CK73" s="1240"/>
    </row>
    <row r="74" spans="2:89" ht="14.25" x14ac:dyDescent="0.2">
      <c r="B74" s="1225"/>
      <c r="C74" s="1241"/>
      <c r="D74" s="1416" t="s">
        <v>792</v>
      </c>
      <c r="E74" s="640">
        <f>IF(ProjLoc=3,AvgAccCostR,AvgAccCostU)</f>
        <v>348200</v>
      </c>
      <c r="F74" s="1245" t="s">
        <v>908</v>
      </c>
      <c r="G74" s="1229"/>
      <c r="H74" s="1212"/>
      <c r="R74" s="1371"/>
      <c r="X74" s="588"/>
      <c r="AF74" s="1239"/>
      <c r="AG74" s="623" t="s">
        <v>744</v>
      </c>
      <c r="AH74" s="1524" t="s">
        <v>789</v>
      </c>
      <c r="AI74" s="1525"/>
      <c r="AJ74" s="599">
        <v>5.1999999999999998E-2</v>
      </c>
      <c r="AK74" s="600">
        <v>5.1999999999999998E-2</v>
      </c>
      <c r="AL74" s="601">
        <v>6.2E-2</v>
      </c>
      <c r="AM74" s="1240"/>
      <c r="AQ74" s="1246"/>
      <c r="AR74" s="1290">
        <v>67</v>
      </c>
      <c r="AS74" s="642">
        <v>3.6200000000000003E-2</v>
      </c>
      <c r="AT74" s="643">
        <v>0.113</v>
      </c>
      <c r="AU74" s="1237"/>
      <c r="AV74" s="1238"/>
      <c r="BO74" s="1239"/>
      <c r="BP74" s="1295"/>
      <c r="BQ74" s="1295">
        <v>66</v>
      </c>
      <c r="BR74" s="1302">
        <v>0.73799999999999999</v>
      </c>
      <c r="BS74" s="1303">
        <v>339.07780000000002</v>
      </c>
      <c r="BT74" s="1299">
        <v>7.2800000000000004E-2</v>
      </c>
      <c r="BU74" s="1299">
        <v>1.4E-3</v>
      </c>
      <c r="BV74" s="1299">
        <v>3.3999999999999998E-3</v>
      </c>
      <c r="BW74" s="1300">
        <v>1.72E-2</v>
      </c>
      <c r="BX74" s="1304">
        <v>1.1999999999999999E-3</v>
      </c>
      <c r="BY74" s="1240"/>
      <c r="CA74" s="1239"/>
      <c r="CB74" s="1295"/>
      <c r="CC74" s="1295">
        <v>66</v>
      </c>
      <c r="CD74" s="1302">
        <v>0.42499999999999999</v>
      </c>
      <c r="CE74" s="1303">
        <v>283.24509999999998</v>
      </c>
      <c r="CF74" s="1299">
        <v>2.3599999999999999E-2</v>
      </c>
      <c r="CG74" s="1299">
        <v>5.0000000000000001E-4</v>
      </c>
      <c r="CH74" s="1299">
        <v>2.8E-3</v>
      </c>
      <c r="CI74" s="1300">
        <v>6.4999999999999997E-3</v>
      </c>
      <c r="CJ74" s="1304">
        <v>5.0000000000000001E-4</v>
      </c>
      <c r="CK74" s="1240"/>
    </row>
    <row r="75" spans="2:89" ht="14.25" x14ac:dyDescent="0.2">
      <c r="B75" s="1225"/>
      <c r="C75" s="1241"/>
      <c r="D75" s="1226"/>
      <c r="E75" s="1227"/>
      <c r="F75" s="1245"/>
      <c r="G75" s="1229"/>
      <c r="H75" s="1212"/>
      <c r="X75" s="572"/>
      <c r="AF75" s="1239"/>
      <c r="AG75" s="644"/>
      <c r="AH75" s="1516" t="s">
        <v>790</v>
      </c>
      <c r="AI75" s="1517"/>
      <c r="AJ75" s="1518">
        <v>0.55000000000000004</v>
      </c>
      <c r="AK75" s="1519">
        <v>0.55000000000000004</v>
      </c>
      <c r="AL75" s="1520">
        <v>0.63500000000000001</v>
      </c>
      <c r="AM75" s="1240"/>
      <c r="AQ75" s="1246"/>
      <c r="AR75" s="1290">
        <v>68</v>
      </c>
      <c r="AS75" s="642">
        <v>3.6299999999999999E-2</v>
      </c>
      <c r="AT75" s="643">
        <v>0.1123</v>
      </c>
      <c r="AU75" s="1237"/>
      <c r="AV75" s="1238"/>
      <c r="BO75" s="1239"/>
      <c r="BP75" s="1295"/>
      <c r="BQ75" s="1295">
        <v>67</v>
      </c>
      <c r="BR75" s="1302">
        <v>0.7359</v>
      </c>
      <c r="BS75" s="1303">
        <v>339.65469999999999</v>
      </c>
      <c r="BT75" s="1299">
        <v>7.3200000000000001E-2</v>
      </c>
      <c r="BU75" s="1299">
        <v>1.4E-3</v>
      </c>
      <c r="BV75" s="1299">
        <v>3.3999999999999998E-3</v>
      </c>
      <c r="BW75" s="1300">
        <v>1.7299999999999999E-2</v>
      </c>
      <c r="BX75" s="1304">
        <v>1.2999999999999999E-3</v>
      </c>
      <c r="BY75" s="1240"/>
      <c r="CA75" s="1239"/>
      <c r="CB75" s="1295"/>
      <c r="CC75" s="1295">
        <v>67</v>
      </c>
      <c r="CD75" s="1302">
        <v>0.4229</v>
      </c>
      <c r="CE75" s="1303">
        <v>284.02499999999998</v>
      </c>
      <c r="CF75" s="1299">
        <v>2.3699999999999999E-2</v>
      </c>
      <c r="CG75" s="1299">
        <v>5.0000000000000001E-4</v>
      </c>
      <c r="CH75" s="1299">
        <v>2.8E-3</v>
      </c>
      <c r="CI75" s="1300">
        <v>6.6E-3</v>
      </c>
      <c r="CJ75" s="1304">
        <v>5.0000000000000001E-4</v>
      </c>
      <c r="CK75" s="1240"/>
    </row>
    <row r="76" spans="2:89" ht="14.25" x14ac:dyDescent="0.2">
      <c r="B76" s="1225"/>
      <c r="C76" s="1241" t="s">
        <v>911</v>
      </c>
      <c r="D76" s="1226"/>
      <c r="E76" s="1227"/>
      <c r="F76" s="1245"/>
      <c r="G76" s="1229"/>
      <c r="H76" s="651"/>
      <c r="X76" s="572"/>
      <c r="AF76" s="1239"/>
      <c r="AG76" s="624"/>
      <c r="AH76" s="1489" t="s">
        <v>791</v>
      </c>
      <c r="AI76" s="1490"/>
      <c r="AJ76" s="605">
        <v>0.39800000000000002</v>
      </c>
      <c r="AK76" s="606">
        <v>0.39800000000000002</v>
      </c>
      <c r="AL76" s="607">
        <v>0.30299999999999999</v>
      </c>
      <c r="AM76" s="1240"/>
      <c r="AQ76" s="1246"/>
      <c r="AR76" s="1290">
        <v>69</v>
      </c>
      <c r="AS76" s="642">
        <v>3.6400000000000002E-2</v>
      </c>
      <c r="AT76" s="643">
        <v>0.1115</v>
      </c>
      <c r="AU76" s="1237"/>
      <c r="AV76" s="1238"/>
      <c r="BO76" s="1239"/>
      <c r="BP76" s="1295"/>
      <c r="BQ76" s="1295">
        <v>68</v>
      </c>
      <c r="BR76" s="1302">
        <v>0.73380000000000001</v>
      </c>
      <c r="BS76" s="1303">
        <v>340.23259999999999</v>
      </c>
      <c r="BT76" s="1299">
        <v>7.3700000000000002E-2</v>
      </c>
      <c r="BU76" s="1299">
        <v>1.4E-3</v>
      </c>
      <c r="BV76" s="1299">
        <v>3.3999999999999998E-3</v>
      </c>
      <c r="BW76" s="1300">
        <v>1.7500000000000002E-2</v>
      </c>
      <c r="BX76" s="1304">
        <v>1.2999999999999999E-3</v>
      </c>
      <c r="BY76" s="1240"/>
      <c r="CA76" s="1239"/>
      <c r="CB76" s="1295"/>
      <c r="CC76" s="1295">
        <v>68</v>
      </c>
      <c r="CD76" s="1302">
        <v>0.42080000000000001</v>
      </c>
      <c r="CE76" s="1303">
        <v>284.80700000000002</v>
      </c>
      <c r="CF76" s="1299">
        <v>2.3800000000000002E-2</v>
      </c>
      <c r="CG76" s="1299">
        <v>5.0000000000000001E-4</v>
      </c>
      <c r="CH76" s="1299">
        <v>2.8E-3</v>
      </c>
      <c r="CI76" s="1300">
        <v>6.7000000000000002E-3</v>
      </c>
      <c r="CJ76" s="1304">
        <v>5.0000000000000001E-4</v>
      </c>
      <c r="CK76" s="1240"/>
    </row>
    <row r="77" spans="2:89" ht="15" thickBot="1" x14ac:dyDescent="0.25">
      <c r="B77" s="1225"/>
      <c r="C77" s="1241"/>
      <c r="D77" s="1414" t="s">
        <v>888</v>
      </c>
      <c r="E77" s="645">
        <f>ROUND(3628/773922,3)</f>
        <v>5.0000000000000001E-3</v>
      </c>
      <c r="F77" s="1228" t="s">
        <v>793</v>
      </c>
      <c r="G77" s="1385"/>
      <c r="H77" s="1212">
        <v>15</v>
      </c>
      <c r="X77" s="1212"/>
      <c r="AF77" s="1351"/>
      <c r="AG77" s="1352"/>
      <c r="AH77" s="1352"/>
      <c r="AI77" s="1352"/>
      <c r="AJ77" s="646"/>
      <c r="AK77" s="646"/>
      <c r="AL77" s="646"/>
      <c r="AM77" s="1353"/>
      <c r="AQ77" s="1246"/>
      <c r="AR77" s="1526">
        <v>70</v>
      </c>
      <c r="AS77" s="647">
        <v>3.6499999999999998E-2</v>
      </c>
      <c r="AT77" s="648">
        <v>0.11070000000000001</v>
      </c>
      <c r="AU77" s="1237"/>
      <c r="AV77" s="1238"/>
      <c r="BO77" s="1239"/>
      <c r="BP77" s="1295"/>
      <c r="BQ77" s="1295">
        <v>69</v>
      </c>
      <c r="BR77" s="1302">
        <v>0.73180000000000001</v>
      </c>
      <c r="BS77" s="1303">
        <v>340.81150000000002</v>
      </c>
      <c r="BT77" s="1299">
        <v>7.4200000000000002E-2</v>
      </c>
      <c r="BU77" s="1299">
        <v>1.4E-3</v>
      </c>
      <c r="BV77" s="1299">
        <v>3.3999999999999998E-3</v>
      </c>
      <c r="BW77" s="1300">
        <v>1.7600000000000001E-2</v>
      </c>
      <c r="BX77" s="1304">
        <v>1.2999999999999999E-3</v>
      </c>
      <c r="BY77" s="1240"/>
      <c r="CA77" s="1239"/>
      <c r="CB77" s="1295"/>
      <c r="CC77" s="1295">
        <v>69</v>
      </c>
      <c r="CD77" s="1302">
        <v>0.41870000000000002</v>
      </c>
      <c r="CE77" s="1303">
        <v>285.59120000000001</v>
      </c>
      <c r="CF77" s="1299">
        <v>2.3900000000000001E-2</v>
      </c>
      <c r="CG77" s="1299">
        <v>5.0000000000000001E-4</v>
      </c>
      <c r="CH77" s="1299">
        <v>2.8E-3</v>
      </c>
      <c r="CI77" s="1300">
        <v>6.7999999999999996E-3</v>
      </c>
      <c r="CJ77" s="1304">
        <v>5.0000000000000001E-4</v>
      </c>
      <c r="CK77" s="1240"/>
    </row>
    <row r="78" spans="2:89" ht="15.75" thickTop="1" thickBot="1" x14ac:dyDescent="0.25">
      <c r="B78" s="1225"/>
      <c r="C78" s="1241"/>
      <c r="D78" s="1414" t="s">
        <v>893</v>
      </c>
      <c r="E78" s="649">
        <f>ROUND(218217/773922,2)</f>
        <v>0.28000000000000003</v>
      </c>
      <c r="F78" s="1228" t="s">
        <v>793</v>
      </c>
      <c r="G78" s="1385"/>
      <c r="H78" s="1212">
        <v>15</v>
      </c>
      <c r="X78" s="1212"/>
      <c r="AQ78" s="1527"/>
      <c r="AR78" s="1528"/>
      <c r="AS78" s="1528"/>
      <c r="AT78" s="1528"/>
      <c r="AU78" s="1529"/>
      <c r="AV78" s="1238"/>
      <c r="BO78" s="1239"/>
      <c r="BP78" s="1295"/>
      <c r="BQ78" s="1295">
        <v>70</v>
      </c>
      <c r="BR78" s="1302">
        <v>0.72970000000000002</v>
      </c>
      <c r="BS78" s="1303">
        <v>341.39139999999998</v>
      </c>
      <c r="BT78" s="1299">
        <v>7.46E-2</v>
      </c>
      <c r="BU78" s="1299">
        <v>1.4E-3</v>
      </c>
      <c r="BV78" s="1299">
        <v>3.3999999999999998E-3</v>
      </c>
      <c r="BW78" s="1300">
        <v>1.78E-2</v>
      </c>
      <c r="BX78" s="1304">
        <v>1.2999999999999999E-3</v>
      </c>
      <c r="BY78" s="1240"/>
      <c r="CA78" s="1239"/>
      <c r="CB78" s="1295"/>
      <c r="CC78" s="1295">
        <v>70</v>
      </c>
      <c r="CD78" s="1302">
        <v>0.41660000000000003</v>
      </c>
      <c r="CE78" s="1303">
        <v>286.3775</v>
      </c>
      <c r="CF78" s="1299">
        <v>2.41E-2</v>
      </c>
      <c r="CG78" s="1299">
        <v>5.0000000000000001E-4</v>
      </c>
      <c r="CH78" s="1299">
        <v>2.8E-3</v>
      </c>
      <c r="CI78" s="1300">
        <v>6.8999999999999999E-3</v>
      </c>
      <c r="CJ78" s="1304">
        <v>5.0000000000000001E-4</v>
      </c>
      <c r="CK78" s="1240"/>
    </row>
    <row r="79" spans="2:89" ht="15" thickTop="1" x14ac:dyDescent="0.2">
      <c r="B79" s="1225"/>
      <c r="C79" s="1241"/>
      <c r="D79" s="1416" t="s">
        <v>894</v>
      </c>
      <c r="E79" s="649">
        <f>ROUND(474304/773922,2)</f>
        <v>0.61</v>
      </c>
      <c r="F79" s="1228" t="s">
        <v>793</v>
      </c>
      <c r="G79" s="1385"/>
      <c r="H79" s="1212">
        <v>15</v>
      </c>
      <c r="X79" s="1212"/>
      <c r="AF79" s="586" t="s">
        <v>912</v>
      </c>
      <c r="AQ79" s="1371" t="s">
        <v>913</v>
      </c>
      <c r="BO79" s="1239"/>
      <c r="BP79" s="1295"/>
      <c r="BQ79" s="1421"/>
      <c r="BR79" s="1302"/>
      <c r="BS79" s="1303"/>
      <c r="BT79" s="1299"/>
      <c r="BU79" s="1299"/>
      <c r="BV79" s="1299"/>
      <c r="BW79" s="1300"/>
      <c r="BX79" s="1304"/>
      <c r="BY79" s="1240"/>
      <c r="CA79" s="1239"/>
      <c r="CB79" s="1295"/>
      <c r="CC79" s="1421"/>
      <c r="CD79" s="1302"/>
      <c r="CE79" s="1303"/>
      <c r="CF79" s="1299"/>
      <c r="CG79" s="1299"/>
      <c r="CH79" s="1299"/>
      <c r="CI79" s="1300"/>
      <c r="CJ79" s="1304"/>
      <c r="CK79" s="1240"/>
    </row>
    <row r="80" spans="2:89" ht="14.25" customHeight="1" x14ac:dyDescent="0.2">
      <c r="B80" s="1225"/>
      <c r="C80" s="1241"/>
      <c r="D80" s="1416" t="s">
        <v>794</v>
      </c>
      <c r="E80" s="649">
        <v>1.04</v>
      </c>
      <c r="F80" s="1228" t="s">
        <v>793</v>
      </c>
      <c r="G80" s="1385"/>
      <c r="H80" s="1212">
        <v>15</v>
      </c>
      <c r="X80" s="1212"/>
      <c r="AF80" s="1371"/>
      <c r="AQ80" s="1371" t="s">
        <v>795</v>
      </c>
      <c r="BO80" s="1239"/>
      <c r="BP80" s="1295" t="s">
        <v>463</v>
      </c>
      <c r="BQ80" s="1295">
        <v>0</v>
      </c>
      <c r="BR80" s="1302">
        <v>1.3149999999999999</v>
      </c>
      <c r="BS80" s="1303">
        <v>11.029400000000001</v>
      </c>
      <c r="BT80" s="1299">
        <v>1.0065</v>
      </c>
      <c r="BU80" s="1299">
        <v>1E-4</v>
      </c>
      <c r="BV80" s="1299">
        <v>1E-4</v>
      </c>
      <c r="BW80" s="1300">
        <v>7.0300000000000001E-2</v>
      </c>
      <c r="BX80" s="1304">
        <v>1E-4</v>
      </c>
      <c r="BY80" s="1240"/>
      <c r="CA80" s="1239"/>
      <c r="CB80" s="1295" t="s">
        <v>463</v>
      </c>
      <c r="CC80" s="1295">
        <v>0</v>
      </c>
      <c r="CD80" s="1302">
        <v>0.66590000000000005</v>
      </c>
      <c r="CE80" s="1303">
        <v>5.1022999999999996</v>
      </c>
      <c r="CF80" s="1299">
        <v>0.76559999999999995</v>
      </c>
      <c r="CG80" s="1299">
        <v>0</v>
      </c>
      <c r="CH80" s="1299">
        <v>1E-4</v>
      </c>
      <c r="CI80" s="1300">
        <v>2.0299999999999999E-2</v>
      </c>
      <c r="CJ80" s="1304">
        <v>0</v>
      </c>
      <c r="CK80" s="1240"/>
    </row>
    <row r="81" spans="2:89" ht="14.25" customHeight="1" x14ac:dyDescent="0.2">
      <c r="B81" s="1318"/>
      <c r="C81" s="1320"/>
      <c r="D81" s="1320"/>
      <c r="E81" s="1320"/>
      <c r="F81" s="1530"/>
      <c r="G81" s="1322"/>
      <c r="H81" s="651"/>
      <c r="X81" s="1212"/>
      <c r="AQ81" s="1371"/>
      <c r="BO81" s="1239"/>
      <c r="BP81" s="1295"/>
      <c r="BQ81" s="1295">
        <v>5</v>
      </c>
      <c r="BR81" s="1302">
        <v>2.3136000000000001</v>
      </c>
      <c r="BS81" s="1303">
        <v>1696.8925999999999</v>
      </c>
      <c r="BT81" s="1299">
        <v>2.1959</v>
      </c>
      <c r="BU81" s="1299">
        <v>4.82E-2</v>
      </c>
      <c r="BV81" s="1299">
        <v>1.6400000000000001E-2</v>
      </c>
      <c r="BW81" s="1300">
        <v>0.30649999999999999</v>
      </c>
      <c r="BX81" s="1304">
        <v>4.5999999999999999E-2</v>
      </c>
      <c r="BY81" s="1240"/>
      <c r="CA81" s="1239"/>
      <c r="CB81" s="1295"/>
      <c r="CC81" s="1295">
        <v>5</v>
      </c>
      <c r="CD81" s="1302">
        <v>0.65159999999999996</v>
      </c>
      <c r="CE81" s="1303">
        <v>865.16229999999996</v>
      </c>
      <c r="CF81" s="1299">
        <v>0.42770000000000002</v>
      </c>
      <c r="CG81" s="1299">
        <v>0.01</v>
      </c>
      <c r="CH81" s="1299">
        <v>8.3000000000000001E-3</v>
      </c>
      <c r="CI81" s="1300">
        <v>4.7800000000000002E-2</v>
      </c>
      <c r="CJ81" s="1304">
        <v>9.4999999999999998E-3</v>
      </c>
      <c r="CK81" s="1240"/>
    </row>
    <row r="82" spans="2:89" ht="14.25" customHeight="1" x14ac:dyDescent="0.2">
      <c r="E82" s="1274"/>
      <c r="F82" s="1202"/>
      <c r="G82" s="1202"/>
      <c r="X82" s="1212"/>
      <c r="AQ82" s="1371" t="s">
        <v>796</v>
      </c>
      <c r="BO82" s="1239"/>
      <c r="BP82" s="1295"/>
      <c r="BQ82" s="1295">
        <v>6</v>
      </c>
      <c r="BR82" s="1302">
        <v>2.2435999999999998</v>
      </c>
      <c r="BS82" s="1303">
        <v>1668.3322000000001</v>
      </c>
      <c r="BT82" s="1299">
        <v>2.2233000000000001</v>
      </c>
      <c r="BU82" s="1299">
        <v>4.6399999999999997E-2</v>
      </c>
      <c r="BV82" s="1299">
        <v>1.61E-2</v>
      </c>
      <c r="BW82" s="1300">
        <v>0.28810000000000002</v>
      </c>
      <c r="BX82" s="1304">
        <v>4.4299999999999999E-2</v>
      </c>
      <c r="BY82" s="1240"/>
      <c r="CA82" s="1239"/>
      <c r="CB82" s="1295"/>
      <c r="CC82" s="1295">
        <v>6</v>
      </c>
      <c r="CD82" s="1302">
        <v>0.66249999999999998</v>
      </c>
      <c r="CE82" s="1303">
        <v>866.04849999999999</v>
      </c>
      <c r="CF82" s="1299">
        <v>0.50160000000000005</v>
      </c>
      <c r="CG82" s="1299">
        <v>9.7000000000000003E-3</v>
      </c>
      <c r="CH82" s="1299">
        <v>8.3000000000000001E-3</v>
      </c>
      <c r="CI82" s="1300">
        <v>4.65E-2</v>
      </c>
      <c r="CJ82" s="1304">
        <v>9.1999999999999998E-3</v>
      </c>
      <c r="CK82" s="1240"/>
    </row>
    <row r="83" spans="2:89" x14ac:dyDescent="0.2">
      <c r="B83" s="1371" t="s">
        <v>797</v>
      </c>
      <c r="E83" s="1202"/>
      <c r="F83" s="1202"/>
      <c r="G83" s="1202"/>
      <c r="X83" s="1212"/>
      <c r="AQ83" s="1371" t="s">
        <v>914</v>
      </c>
      <c r="BO83" s="1239"/>
      <c r="BP83" s="1295"/>
      <c r="BQ83" s="1295">
        <v>7</v>
      </c>
      <c r="BR83" s="1302">
        <v>2.1757</v>
      </c>
      <c r="BS83" s="1303">
        <v>1640.2524000000001</v>
      </c>
      <c r="BT83" s="1299">
        <v>2.2511000000000001</v>
      </c>
      <c r="BU83" s="1299">
        <v>4.4699999999999997E-2</v>
      </c>
      <c r="BV83" s="1299">
        <v>1.5699999999999999E-2</v>
      </c>
      <c r="BW83" s="1300">
        <v>0.27079999999999999</v>
      </c>
      <c r="BX83" s="1304">
        <v>4.2599999999999999E-2</v>
      </c>
      <c r="BY83" s="1240"/>
      <c r="CA83" s="1239"/>
      <c r="CB83" s="1295"/>
      <c r="CC83" s="1295">
        <v>7</v>
      </c>
      <c r="CD83" s="1302">
        <v>0.67369999999999997</v>
      </c>
      <c r="CE83" s="1303">
        <v>866.9357</v>
      </c>
      <c r="CF83" s="1299">
        <v>0.58819999999999995</v>
      </c>
      <c r="CG83" s="1299">
        <v>9.4000000000000004E-3</v>
      </c>
      <c r="CH83" s="1299">
        <v>8.2000000000000007E-3</v>
      </c>
      <c r="CI83" s="1300">
        <v>4.53E-2</v>
      </c>
      <c r="CJ83" s="1304">
        <v>8.9999999999999993E-3</v>
      </c>
      <c r="CK83" s="1240"/>
    </row>
    <row r="84" spans="2:89" ht="14.25" customHeight="1" x14ac:dyDescent="0.2">
      <c r="B84" s="1371" t="s">
        <v>915</v>
      </c>
      <c r="E84" s="1202"/>
      <c r="F84" s="1202"/>
      <c r="G84" s="1202"/>
      <c r="X84" s="1212"/>
      <c r="BO84" s="1239"/>
      <c r="BP84" s="1295"/>
      <c r="BQ84" s="1295">
        <v>8</v>
      </c>
      <c r="BR84" s="1302">
        <v>2.1097999999999999</v>
      </c>
      <c r="BS84" s="1303">
        <v>1612.6452999999999</v>
      </c>
      <c r="BT84" s="1299">
        <v>2.2791999999999999</v>
      </c>
      <c r="BU84" s="1299">
        <v>4.2999999999999997E-2</v>
      </c>
      <c r="BV84" s="1299">
        <v>1.54E-2</v>
      </c>
      <c r="BW84" s="1300">
        <v>0.25459999999999999</v>
      </c>
      <c r="BX84" s="1304">
        <v>4.1000000000000002E-2</v>
      </c>
      <c r="BY84" s="1240"/>
      <c r="CA84" s="1239"/>
      <c r="CB84" s="1295"/>
      <c r="CC84" s="1295">
        <v>8</v>
      </c>
      <c r="CD84" s="1302">
        <v>0.68500000000000005</v>
      </c>
      <c r="CE84" s="1303">
        <v>867.82380000000001</v>
      </c>
      <c r="CF84" s="1299">
        <v>0.68969999999999998</v>
      </c>
      <c r="CG84" s="1299">
        <v>9.1000000000000004E-3</v>
      </c>
      <c r="CH84" s="1299">
        <v>8.2000000000000007E-3</v>
      </c>
      <c r="CI84" s="1300">
        <v>4.41E-2</v>
      </c>
      <c r="CJ84" s="1304">
        <v>8.6999999999999994E-3</v>
      </c>
      <c r="CK84" s="1240"/>
    </row>
    <row r="85" spans="2:89" ht="14.25" customHeight="1" x14ac:dyDescent="0.2">
      <c r="B85" s="1371" t="s">
        <v>916</v>
      </c>
      <c r="E85" s="1202"/>
      <c r="F85" s="1202"/>
      <c r="G85" s="1202"/>
      <c r="X85" s="1212"/>
      <c r="BO85" s="1239"/>
      <c r="BP85" s="1295"/>
      <c r="BQ85" s="1295">
        <v>9</v>
      </c>
      <c r="BR85" s="1302">
        <v>2.0459999999999998</v>
      </c>
      <c r="BS85" s="1303">
        <v>1585.5029</v>
      </c>
      <c r="BT85" s="1299">
        <v>2.3075999999999999</v>
      </c>
      <c r="BU85" s="1299">
        <v>4.1399999999999999E-2</v>
      </c>
      <c r="BV85" s="1299">
        <v>1.5100000000000001E-2</v>
      </c>
      <c r="BW85" s="1300">
        <v>0.23930000000000001</v>
      </c>
      <c r="BX85" s="1304">
        <v>3.95E-2</v>
      </c>
      <c r="BY85" s="1240"/>
      <c r="CA85" s="1239"/>
      <c r="CB85" s="1295"/>
      <c r="CC85" s="1295">
        <v>9</v>
      </c>
      <c r="CD85" s="1302">
        <v>0.6966</v>
      </c>
      <c r="CE85" s="1303">
        <v>868.71280000000002</v>
      </c>
      <c r="CF85" s="1299">
        <v>0.80879999999999996</v>
      </c>
      <c r="CG85" s="1299">
        <v>8.8000000000000005E-3</v>
      </c>
      <c r="CH85" s="1299">
        <v>8.2000000000000007E-3</v>
      </c>
      <c r="CI85" s="1300">
        <v>4.2999999999999997E-2</v>
      </c>
      <c r="CJ85" s="1304">
        <v>8.3999999999999995E-3</v>
      </c>
      <c r="CK85" s="1240"/>
    </row>
    <row r="86" spans="2:89" ht="14.25" customHeight="1" x14ac:dyDescent="0.2">
      <c r="B86" s="1371" t="s">
        <v>917</v>
      </c>
      <c r="E86" s="1202"/>
      <c r="F86" s="1202"/>
      <c r="G86" s="1202"/>
      <c r="X86" s="1212"/>
      <c r="BO86" s="1239"/>
      <c r="BP86" s="1295"/>
      <c r="BQ86" s="1295">
        <v>10</v>
      </c>
      <c r="BR86" s="1302">
        <v>1.9841</v>
      </c>
      <c r="BS86" s="1303">
        <v>1558.8172</v>
      </c>
      <c r="BT86" s="1299">
        <v>2.3365</v>
      </c>
      <c r="BU86" s="1299">
        <v>3.9800000000000002E-2</v>
      </c>
      <c r="BV86" s="1299">
        <v>1.4800000000000001E-2</v>
      </c>
      <c r="BW86" s="1300">
        <v>0.22489999999999999</v>
      </c>
      <c r="BX86" s="1304">
        <v>3.7999999999999999E-2</v>
      </c>
      <c r="BY86" s="1240"/>
      <c r="CA86" s="1239"/>
      <c r="CB86" s="1295"/>
      <c r="CC86" s="1295">
        <v>10</v>
      </c>
      <c r="CD86" s="1302">
        <v>0.70830000000000004</v>
      </c>
      <c r="CE86" s="1303">
        <v>869.60270000000003</v>
      </c>
      <c r="CF86" s="1299">
        <v>0.94840000000000002</v>
      </c>
      <c r="CG86" s="1299">
        <v>8.6E-3</v>
      </c>
      <c r="CH86" s="1299">
        <v>8.0999999999999996E-3</v>
      </c>
      <c r="CI86" s="1300">
        <v>4.19E-2</v>
      </c>
      <c r="CJ86" s="1304">
        <v>8.2000000000000007E-3</v>
      </c>
      <c r="CK86" s="1240"/>
    </row>
    <row r="87" spans="2:89" x14ac:dyDescent="0.2">
      <c r="B87" s="1371" t="s">
        <v>918</v>
      </c>
      <c r="E87" s="1202"/>
      <c r="F87" s="1202"/>
      <c r="G87" s="1202"/>
      <c r="X87" s="1212"/>
      <c r="BO87" s="1239"/>
      <c r="BP87" s="1295"/>
      <c r="BQ87" s="1295">
        <v>11</v>
      </c>
      <c r="BR87" s="1302">
        <v>1.8688</v>
      </c>
      <c r="BS87" s="1303">
        <v>1490.2475999999999</v>
      </c>
      <c r="BT87" s="1299">
        <v>2.1839</v>
      </c>
      <c r="BU87" s="1299">
        <v>3.7699999999999997E-2</v>
      </c>
      <c r="BV87" s="1299">
        <v>1.41E-2</v>
      </c>
      <c r="BW87" s="1300">
        <v>0.21110000000000001</v>
      </c>
      <c r="BX87" s="1304">
        <v>3.5999999999999997E-2</v>
      </c>
      <c r="BY87" s="1240"/>
      <c r="CA87" s="1239"/>
      <c r="CB87" s="1295"/>
      <c r="CC87" s="1295">
        <v>11</v>
      </c>
      <c r="CD87" s="1302">
        <v>0.66</v>
      </c>
      <c r="CE87" s="1303">
        <v>836.53880000000004</v>
      </c>
      <c r="CF87" s="1299">
        <v>0.88519999999999999</v>
      </c>
      <c r="CG87" s="1299">
        <v>8.3000000000000001E-3</v>
      </c>
      <c r="CH87" s="1299">
        <v>7.7999999999999996E-3</v>
      </c>
      <c r="CI87" s="1300">
        <v>3.9800000000000002E-2</v>
      </c>
      <c r="CJ87" s="1304">
        <v>7.9000000000000008E-3</v>
      </c>
      <c r="CK87" s="1240"/>
    </row>
    <row r="88" spans="2:89" x14ac:dyDescent="0.2">
      <c r="B88" s="1371" t="s">
        <v>919</v>
      </c>
      <c r="E88" s="1202"/>
      <c r="F88" s="1202"/>
      <c r="G88" s="1202"/>
      <c r="X88" s="1212"/>
      <c r="BO88" s="1239"/>
      <c r="BP88" s="1295"/>
      <c r="BQ88" s="1295">
        <v>12</v>
      </c>
      <c r="BR88" s="1302">
        <v>1.7601</v>
      </c>
      <c r="BS88" s="1303">
        <v>1424.6943000000001</v>
      </c>
      <c r="BT88" s="1299">
        <v>2.0413000000000001</v>
      </c>
      <c r="BU88" s="1299">
        <v>3.5700000000000003E-2</v>
      </c>
      <c r="BV88" s="1299">
        <v>1.35E-2</v>
      </c>
      <c r="BW88" s="1300">
        <v>0.1981</v>
      </c>
      <c r="BX88" s="1304">
        <v>3.4099999999999998E-2</v>
      </c>
      <c r="BY88" s="1240"/>
      <c r="CA88" s="1239"/>
      <c r="CB88" s="1295"/>
      <c r="CC88" s="1295">
        <v>12</v>
      </c>
      <c r="CD88" s="1302">
        <v>0.61499999999999999</v>
      </c>
      <c r="CE88" s="1303">
        <v>804.73209999999995</v>
      </c>
      <c r="CF88" s="1299">
        <v>0.82609999999999995</v>
      </c>
      <c r="CG88" s="1299">
        <v>8.0000000000000002E-3</v>
      </c>
      <c r="CH88" s="1299">
        <v>7.4999999999999997E-3</v>
      </c>
      <c r="CI88" s="1300">
        <v>3.78E-2</v>
      </c>
      <c r="CJ88" s="1304">
        <v>7.7000000000000002E-3</v>
      </c>
      <c r="CK88" s="1240"/>
    </row>
    <row r="89" spans="2:89" ht="14.25" customHeight="1" x14ac:dyDescent="0.2">
      <c r="B89" s="1371" t="s">
        <v>920</v>
      </c>
      <c r="E89" s="1201"/>
      <c r="G89" s="1202"/>
      <c r="X89" s="1212"/>
      <c r="BO89" s="1239"/>
      <c r="BP89" s="1295"/>
      <c r="BQ89" s="1295">
        <v>13</v>
      </c>
      <c r="BR89" s="1302">
        <v>1.6577999999999999</v>
      </c>
      <c r="BS89" s="1303">
        <v>1362.0246</v>
      </c>
      <c r="BT89" s="1299">
        <v>1.9079999999999999</v>
      </c>
      <c r="BU89" s="1299">
        <v>3.3799999999999997E-2</v>
      </c>
      <c r="BV89" s="1299">
        <v>1.29E-2</v>
      </c>
      <c r="BW89" s="1300">
        <v>0.186</v>
      </c>
      <c r="BX89" s="1304">
        <v>3.2300000000000002E-2</v>
      </c>
      <c r="BY89" s="1240"/>
      <c r="CA89" s="1239"/>
      <c r="CB89" s="1295"/>
      <c r="CC89" s="1295">
        <v>13</v>
      </c>
      <c r="CD89" s="1302">
        <v>0.57310000000000005</v>
      </c>
      <c r="CE89" s="1303">
        <v>774.13480000000004</v>
      </c>
      <c r="CF89" s="1299">
        <v>0.77100000000000002</v>
      </c>
      <c r="CG89" s="1299">
        <v>7.7999999999999996E-3</v>
      </c>
      <c r="CH89" s="1299">
        <v>7.3000000000000001E-3</v>
      </c>
      <c r="CI89" s="1300">
        <v>3.5900000000000001E-2</v>
      </c>
      <c r="CJ89" s="1304">
        <v>7.4000000000000003E-3</v>
      </c>
      <c r="CK89" s="1240"/>
    </row>
    <row r="90" spans="2:89" ht="14.25" customHeight="1" x14ac:dyDescent="0.2">
      <c r="X90" s="1212"/>
      <c r="BO90" s="1239"/>
      <c r="BP90" s="1295"/>
      <c r="BQ90" s="1295">
        <v>14</v>
      </c>
      <c r="BR90" s="1302">
        <v>1.5615000000000001</v>
      </c>
      <c r="BS90" s="1303">
        <v>1302.1116</v>
      </c>
      <c r="BT90" s="1299">
        <v>1.7834000000000001</v>
      </c>
      <c r="BU90" s="1299">
        <v>3.2000000000000001E-2</v>
      </c>
      <c r="BV90" s="1299">
        <v>1.24E-2</v>
      </c>
      <c r="BW90" s="1300">
        <v>0.17460000000000001</v>
      </c>
      <c r="BX90" s="1304">
        <v>3.0599999999999999E-2</v>
      </c>
      <c r="BY90" s="1240"/>
      <c r="CA90" s="1239"/>
      <c r="CB90" s="1295"/>
      <c r="CC90" s="1295">
        <v>14</v>
      </c>
      <c r="CD90" s="1302">
        <v>0.53400000000000003</v>
      </c>
      <c r="CE90" s="1303">
        <v>744.70079999999996</v>
      </c>
      <c r="CF90" s="1299">
        <v>0.71960000000000002</v>
      </c>
      <c r="CG90" s="1299">
        <v>7.6E-3</v>
      </c>
      <c r="CH90" s="1299">
        <v>7.0000000000000001E-3</v>
      </c>
      <c r="CI90" s="1300">
        <v>3.4099999999999998E-2</v>
      </c>
      <c r="CJ90" s="1304">
        <v>7.1999999999999998E-3</v>
      </c>
      <c r="CK90" s="1240"/>
    </row>
    <row r="91" spans="2:89" x14ac:dyDescent="0.2">
      <c r="X91" s="1212"/>
      <c r="BO91" s="1239"/>
      <c r="BP91" s="1295"/>
      <c r="BQ91" s="1295">
        <v>15</v>
      </c>
      <c r="BR91" s="1302">
        <v>1.4706999999999999</v>
      </c>
      <c r="BS91" s="1303">
        <v>1244.8340000000001</v>
      </c>
      <c r="BT91" s="1299">
        <v>1.667</v>
      </c>
      <c r="BU91" s="1299">
        <v>3.0300000000000001E-2</v>
      </c>
      <c r="BV91" s="1299">
        <v>1.18E-2</v>
      </c>
      <c r="BW91" s="1300">
        <v>0.16389999999999999</v>
      </c>
      <c r="BX91" s="1304">
        <v>2.9000000000000001E-2</v>
      </c>
      <c r="BY91" s="1240"/>
      <c r="CA91" s="1239"/>
      <c r="CB91" s="1295"/>
      <c r="CC91" s="1295">
        <v>15</v>
      </c>
      <c r="CD91" s="1302">
        <v>0.49759999999999999</v>
      </c>
      <c r="CE91" s="1303">
        <v>716.38599999999997</v>
      </c>
      <c r="CF91" s="1299">
        <v>0.67159999999999997</v>
      </c>
      <c r="CG91" s="1299">
        <v>7.3000000000000001E-3</v>
      </c>
      <c r="CH91" s="1299">
        <v>6.7000000000000002E-3</v>
      </c>
      <c r="CI91" s="1300">
        <v>3.2399999999999998E-2</v>
      </c>
      <c r="CJ91" s="1304">
        <v>7.0000000000000001E-3</v>
      </c>
      <c r="CK91" s="1240"/>
    </row>
    <row r="92" spans="2:89" x14ac:dyDescent="0.2">
      <c r="X92" s="1212"/>
      <c r="BO92" s="1239"/>
      <c r="BP92" s="1295"/>
      <c r="BQ92" s="1295">
        <v>16</v>
      </c>
      <c r="BR92" s="1302">
        <v>1.3769</v>
      </c>
      <c r="BS92" s="1303">
        <v>1231.6228000000001</v>
      </c>
      <c r="BT92" s="1299">
        <v>1.6476999999999999</v>
      </c>
      <c r="BU92" s="1299">
        <v>2.8199999999999999E-2</v>
      </c>
      <c r="BV92" s="1299">
        <v>1.17E-2</v>
      </c>
      <c r="BW92" s="1300">
        <v>0.1517</v>
      </c>
      <c r="BX92" s="1304">
        <v>2.69E-2</v>
      </c>
      <c r="BY92" s="1240"/>
      <c r="CA92" s="1239"/>
      <c r="CB92" s="1295"/>
      <c r="CC92" s="1295">
        <v>16</v>
      </c>
      <c r="CD92" s="1302">
        <v>0.45839999999999997</v>
      </c>
      <c r="CE92" s="1303">
        <v>707.56700000000001</v>
      </c>
      <c r="CF92" s="1299">
        <v>0.67120000000000002</v>
      </c>
      <c r="CG92" s="1299">
        <v>6.8999999999999999E-3</v>
      </c>
      <c r="CH92" s="1299">
        <v>6.7000000000000002E-3</v>
      </c>
      <c r="CI92" s="1300">
        <v>3.0300000000000001E-2</v>
      </c>
      <c r="CJ92" s="1304">
        <v>6.6E-3</v>
      </c>
      <c r="CK92" s="1240"/>
    </row>
    <row r="93" spans="2:89" ht="14.25" customHeight="1" x14ac:dyDescent="0.2">
      <c r="X93" s="1212"/>
      <c r="BO93" s="1239"/>
      <c r="BP93" s="1295"/>
      <c r="BQ93" s="1295">
        <v>17</v>
      </c>
      <c r="BR93" s="1302">
        <v>1.2889999999999999</v>
      </c>
      <c r="BS93" s="1303">
        <v>1218.5517</v>
      </c>
      <c r="BT93" s="1299">
        <v>1.6286</v>
      </c>
      <c r="BU93" s="1299">
        <v>2.6200000000000001E-2</v>
      </c>
      <c r="BV93" s="1299">
        <v>1.1599999999999999E-2</v>
      </c>
      <c r="BW93" s="1300">
        <v>0.1404</v>
      </c>
      <c r="BX93" s="1304">
        <v>2.5100000000000001E-2</v>
      </c>
      <c r="BY93" s="1240"/>
      <c r="CA93" s="1239"/>
      <c r="CB93" s="1295"/>
      <c r="CC93" s="1295">
        <v>17</v>
      </c>
      <c r="CD93" s="1302">
        <v>0.42220000000000002</v>
      </c>
      <c r="CE93" s="1303">
        <v>698.85659999999996</v>
      </c>
      <c r="CF93" s="1299">
        <v>0.67090000000000005</v>
      </c>
      <c r="CG93" s="1299">
        <v>6.4999999999999997E-3</v>
      </c>
      <c r="CH93" s="1299">
        <v>6.6E-3</v>
      </c>
      <c r="CI93" s="1300">
        <v>2.8299999999999999E-2</v>
      </c>
      <c r="CJ93" s="1304">
        <v>6.1999999999999998E-3</v>
      </c>
      <c r="CK93" s="1240"/>
    </row>
    <row r="94" spans="2:89" ht="14.25" customHeight="1" x14ac:dyDescent="0.2">
      <c r="X94" s="1212"/>
      <c r="BO94" s="1239"/>
      <c r="BP94" s="1295"/>
      <c r="BQ94" s="1295">
        <v>18</v>
      </c>
      <c r="BR94" s="1302">
        <v>1.2067000000000001</v>
      </c>
      <c r="BS94" s="1303">
        <v>1205.6194</v>
      </c>
      <c r="BT94" s="1299">
        <v>1.6096999999999999</v>
      </c>
      <c r="BU94" s="1299">
        <v>2.4400000000000002E-2</v>
      </c>
      <c r="BV94" s="1299">
        <v>1.15E-2</v>
      </c>
      <c r="BW94" s="1300">
        <v>0.13</v>
      </c>
      <c r="BX94" s="1304">
        <v>2.3300000000000001E-2</v>
      </c>
      <c r="BY94" s="1240"/>
      <c r="CA94" s="1239"/>
      <c r="CB94" s="1295"/>
      <c r="CC94" s="1295">
        <v>18</v>
      </c>
      <c r="CD94" s="1302">
        <v>0.38900000000000001</v>
      </c>
      <c r="CE94" s="1303">
        <v>690.25340000000006</v>
      </c>
      <c r="CF94" s="1299">
        <v>0.67059999999999997</v>
      </c>
      <c r="CG94" s="1299">
        <v>6.1000000000000004E-3</v>
      </c>
      <c r="CH94" s="1299">
        <v>6.4999999999999997E-3</v>
      </c>
      <c r="CI94" s="1300">
        <v>2.6499999999999999E-2</v>
      </c>
      <c r="CJ94" s="1304">
        <v>5.7999999999999996E-3</v>
      </c>
      <c r="CK94" s="1240"/>
    </row>
    <row r="95" spans="2:89" ht="14.25" customHeight="1" x14ac:dyDescent="0.2">
      <c r="V95" s="1201"/>
      <c r="W95" s="1202"/>
      <c r="X95" s="1212"/>
      <c r="BO95" s="1239"/>
      <c r="BP95" s="1295"/>
      <c r="BQ95" s="1295">
        <v>19</v>
      </c>
      <c r="BR95" s="1302">
        <v>1.1296999999999999</v>
      </c>
      <c r="BS95" s="1303">
        <v>1192.8244</v>
      </c>
      <c r="BT95" s="1299">
        <v>1.591</v>
      </c>
      <c r="BU95" s="1299">
        <v>2.2700000000000001E-2</v>
      </c>
      <c r="BV95" s="1299">
        <v>1.1299999999999999E-2</v>
      </c>
      <c r="BW95" s="1300">
        <v>0.12039999999999999</v>
      </c>
      <c r="BX95" s="1304">
        <v>2.1700000000000001E-2</v>
      </c>
      <c r="BY95" s="1240"/>
      <c r="CA95" s="1239"/>
      <c r="CB95" s="1295"/>
      <c r="CC95" s="1295">
        <v>19</v>
      </c>
      <c r="CD95" s="1302">
        <v>0.35830000000000001</v>
      </c>
      <c r="CE95" s="1303">
        <v>681.75620000000004</v>
      </c>
      <c r="CF95" s="1299">
        <v>0.67030000000000001</v>
      </c>
      <c r="CG95" s="1299">
        <v>5.7000000000000002E-3</v>
      </c>
      <c r="CH95" s="1299">
        <v>6.4000000000000003E-3</v>
      </c>
      <c r="CI95" s="1300">
        <v>2.47E-2</v>
      </c>
      <c r="CJ95" s="1304">
        <v>5.4999999999999997E-3</v>
      </c>
      <c r="CK95" s="1240"/>
    </row>
    <row r="96" spans="2:89" x14ac:dyDescent="0.2">
      <c r="V96" s="1201"/>
      <c r="W96" s="1202"/>
      <c r="X96" s="1212"/>
      <c r="BO96" s="1239"/>
      <c r="BP96" s="1295"/>
      <c r="BQ96" s="1295">
        <v>20</v>
      </c>
      <c r="BR96" s="1302">
        <v>1.0576000000000001</v>
      </c>
      <c r="BS96" s="1303">
        <v>1180.1650999999999</v>
      </c>
      <c r="BT96" s="1299">
        <v>1.5726</v>
      </c>
      <c r="BU96" s="1299">
        <v>2.1100000000000001E-2</v>
      </c>
      <c r="BV96" s="1299">
        <v>1.12E-2</v>
      </c>
      <c r="BW96" s="1300">
        <v>0.1114</v>
      </c>
      <c r="BX96" s="1304">
        <v>2.01E-2</v>
      </c>
      <c r="BY96" s="1240"/>
      <c r="CA96" s="1239"/>
      <c r="CB96" s="1295"/>
      <c r="CC96" s="1295">
        <v>20</v>
      </c>
      <c r="CD96" s="1302">
        <v>0.33</v>
      </c>
      <c r="CE96" s="1303">
        <v>673.36350000000004</v>
      </c>
      <c r="CF96" s="1299">
        <v>0.66990000000000005</v>
      </c>
      <c r="CG96" s="1299">
        <v>5.4000000000000003E-3</v>
      </c>
      <c r="CH96" s="1299">
        <v>6.3E-3</v>
      </c>
      <c r="CI96" s="1300">
        <v>2.3099999999999999E-2</v>
      </c>
      <c r="CJ96" s="1304">
        <v>5.1999999999999998E-3</v>
      </c>
      <c r="CK96" s="1240"/>
    </row>
    <row r="97" spans="22:89" ht="14.25" customHeight="1" x14ac:dyDescent="0.2">
      <c r="V97" s="1201"/>
      <c r="W97" s="1202"/>
      <c r="X97" s="1212"/>
      <c r="BO97" s="1239"/>
      <c r="BP97" s="1295"/>
      <c r="BQ97" s="1295">
        <v>21</v>
      </c>
      <c r="BR97" s="1302">
        <v>1.0154000000000001</v>
      </c>
      <c r="BS97" s="1303">
        <v>1138.1322</v>
      </c>
      <c r="BT97" s="1299">
        <v>1.5314000000000001</v>
      </c>
      <c r="BU97" s="1299">
        <v>2.0799999999999999E-2</v>
      </c>
      <c r="BV97" s="1299">
        <v>1.0800000000000001E-2</v>
      </c>
      <c r="BW97" s="1300">
        <v>0.1089</v>
      </c>
      <c r="BX97" s="1304">
        <v>1.9900000000000001E-2</v>
      </c>
      <c r="BY97" s="1240"/>
      <c r="CA97" s="1239"/>
      <c r="CB97" s="1295"/>
      <c r="CC97" s="1295">
        <v>21</v>
      </c>
      <c r="CD97" s="1302">
        <v>0.31569999999999998</v>
      </c>
      <c r="CE97" s="1303">
        <v>654.89210000000003</v>
      </c>
      <c r="CF97" s="1299">
        <v>0.63229999999999997</v>
      </c>
      <c r="CG97" s="1299">
        <v>5.4000000000000003E-3</v>
      </c>
      <c r="CH97" s="1299">
        <v>6.1999999999999998E-3</v>
      </c>
      <c r="CI97" s="1300">
        <v>2.3E-2</v>
      </c>
      <c r="CJ97" s="1304">
        <v>5.1000000000000004E-3</v>
      </c>
      <c r="CK97" s="1240"/>
    </row>
    <row r="98" spans="22:89" x14ac:dyDescent="0.2">
      <c r="X98" s="1212"/>
      <c r="BO98" s="1239"/>
      <c r="BP98" s="1295"/>
      <c r="BQ98" s="1295">
        <v>22</v>
      </c>
      <c r="BR98" s="1302">
        <v>0.97489999999999999</v>
      </c>
      <c r="BS98" s="1303">
        <v>1097.5963999999999</v>
      </c>
      <c r="BT98" s="1299">
        <v>1.4913000000000001</v>
      </c>
      <c r="BU98" s="1299">
        <v>2.06E-2</v>
      </c>
      <c r="BV98" s="1299">
        <v>1.04E-2</v>
      </c>
      <c r="BW98" s="1300">
        <v>0.1065</v>
      </c>
      <c r="BX98" s="1304">
        <v>1.9699999999999999E-2</v>
      </c>
      <c r="BY98" s="1240"/>
      <c r="CA98" s="1239"/>
      <c r="CB98" s="1295"/>
      <c r="CC98" s="1295">
        <v>22</v>
      </c>
      <c r="CD98" s="1302">
        <v>0.30209999999999998</v>
      </c>
      <c r="CE98" s="1303">
        <v>636.92740000000003</v>
      </c>
      <c r="CF98" s="1299">
        <v>0.5968</v>
      </c>
      <c r="CG98" s="1299">
        <v>5.3E-3</v>
      </c>
      <c r="CH98" s="1299">
        <v>6.0000000000000001E-3</v>
      </c>
      <c r="CI98" s="1300">
        <v>2.29E-2</v>
      </c>
      <c r="CJ98" s="1304">
        <v>5.1000000000000004E-3</v>
      </c>
      <c r="CK98" s="1240"/>
    </row>
    <row r="99" spans="22:89" ht="14.25" customHeight="1" x14ac:dyDescent="0.2">
      <c r="X99" s="1212"/>
      <c r="BO99" s="1239"/>
      <c r="BP99" s="1295"/>
      <c r="BQ99" s="1295">
        <v>23</v>
      </c>
      <c r="BR99" s="1302">
        <v>0.93610000000000004</v>
      </c>
      <c r="BS99" s="1303">
        <v>1058.5043000000001</v>
      </c>
      <c r="BT99" s="1299">
        <v>1.4521999999999999</v>
      </c>
      <c r="BU99" s="1299">
        <v>2.0400000000000001E-2</v>
      </c>
      <c r="BV99" s="1299">
        <v>1.01E-2</v>
      </c>
      <c r="BW99" s="1300">
        <v>0.1041</v>
      </c>
      <c r="BX99" s="1304">
        <v>1.95E-2</v>
      </c>
      <c r="BY99" s="1240"/>
      <c r="CA99" s="1239"/>
      <c r="CB99" s="1295"/>
      <c r="CC99" s="1295">
        <v>23</v>
      </c>
      <c r="CD99" s="1302">
        <v>0.28899999999999998</v>
      </c>
      <c r="CE99" s="1303">
        <v>619.45550000000003</v>
      </c>
      <c r="CF99" s="1299">
        <v>0.56320000000000003</v>
      </c>
      <c r="CG99" s="1299">
        <v>5.3E-3</v>
      </c>
      <c r="CH99" s="1299">
        <v>5.7999999999999996E-3</v>
      </c>
      <c r="CI99" s="1300">
        <v>2.2700000000000001E-2</v>
      </c>
      <c r="CJ99" s="1304">
        <v>5.0000000000000001E-3</v>
      </c>
      <c r="CK99" s="1240"/>
    </row>
    <row r="100" spans="22:89" ht="14.25" customHeight="1" x14ac:dyDescent="0.2">
      <c r="X100" s="1212"/>
      <c r="BO100" s="1239"/>
      <c r="BP100" s="1295"/>
      <c r="BQ100" s="1295">
        <v>24</v>
      </c>
      <c r="BR100" s="1302">
        <v>0.89880000000000004</v>
      </c>
      <c r="BS100" s="1303">
        <v>1020.8046000000001</v>
      </c>
      <c r="BT100" s="1299">
        <v>1.4140999999999999</v>
      </c>
      <c r="BU100" s="1299">
        <v>2.01E-2</v>
      </c>
      <c r="BV100" s="1299">
        <v>9.7000000000000003E-3</v>
      </c>
      <c r="BW100" s="1300">
        <v>0.1017</v>
      </c>
      <c r="BX100" s="1304">
        <v>1.9199999999999998E-2</v>
      </c>
      <c r="BY100" s="1240"/>
      <c r="CA100" s="1239"/>
      <c r="CB100" s="1295"/>
      <c r="CC100" s="1295">
        <v>24</v>
      </c>
      <c r="CD100" s="1302">
        <v>0.27650000000000002</v>
      </c>
      <c r="CE100" s="1303">
        <v>602.46289999999999</v>
      </c>
      <c r="CF100" s="1299">
        <v>0.53159999999999996</v>
      </c>
      <c r="CG100" s="1299">
        <v>5.1999999999999998E-3</v>
      </c>
      <c r="CH100" s="1299">
        <v>5.7000000000000002E-3</v>
      </c>
      <c r="CI100" s="1300">
        <v>2.2599999999999999E-2</v>
      </c>
      <c r="CJ100" s="1304">
        <v>5.0000000000000001E-3</v>
      </c>
      <c r="CK100" s="1240"/>
    </row>
    <row r="101" spans="22:89" ht="14.25" customHeight="1" x14ac:dyDescent="0.2">
      <c r="X101" s="1212"/>
      <c r="BO101" s="1239"/>
      <c r="BP101" s="1295"/>
      <c r="BQ101" s="1295">
        <v>25</v>
      </c>
      <c r="BR101" s="1302">
        <v>0.8629</v>
      </c>
      <c r="BS101" s="1303">
        <v>984.44749999999999</v>
      </c>
      <c r="BT101" s="1299">
        <v>1.3771</v>
      </c>
      <c r="BU101" s="1299">
        <v>1.9900000000000001E-2</v>
      </c>
      <c r="BV101" s="1299">
        <v>9.2999999999999992E-3</v>
      </c>
      <c r="BW101" s="1300">
        <v>9.9500000000000005E-2</v>
      </c>
      <c r="BX101" s="1304">
        <v>1.9E-2</v>
      </c>
      <c r="BY101" s="1240"/>
      <c r="CA101" s="1239"/>
      <c r="CB101" s="1295"/>
      <c r="CC101" s="1295">
        <v>25</v>
      </c>
      <c r="CD101" s="1302">
        <v>0.26450000000000001</v>
      </c>
      <c r="CE101" s="1303">
        <v>585.93640000000005</v>
      </c>
      <c r="CF101" s="1299">
        <v>0.50170000000000003</v>
      </c>
      <c r="CG101" s="1299">
        <v>5.1999999999999998E-3</v>
      </c>
      <c r="CH101" s="1299">
        <v>5.4999999999999997E-3</v>
      </c>
      <c r="CI101" s="1300">
        <v>2.2499999999999999E-2</v>
      </c>
      <c r="CJ101" s="1304">
        <v>4.8999999999999998E-3</v>
      </c>
      <c r="CK101" s="1240"/>
    </row>
    <row r="102" spans="22:89" ht="14.25" customHeight="1" x14ac:dyDescent="0.2">
      <c r="X102" s="1212"/>
      <c r="BO102" s="1239"/>
      <c r="BP102" s="1295"/>
      <c r="BQ102" s="1295">
        <v>26</v>
      </c>
      <c r="BR102" s="1302">
        <v>0.82969999999999999</v>
      </c>
      <c r="BS102" s="1303">
        <v>974.59040000000005</v>
      </c>
      <c r="BT102" s="1299">
        <v>1.3491</v>
      </c>
      <c r="BU102" s="1299">
        <v>1.8800000000000001E-2</v>
      </c>
      <c r="BV102" s="1299">
        <v>9.1999999999999998E-3</v>
      </c>
      <c r="BW102" s="1300">
        <v>9.35E-2</v>
      </c>
      <c r="BX102" s="1304">
        <v>1.7999999999999999E-2</v>
      </c>
      <c r="BY102" s="1240"/>
      <c r="CA102" s="1239"/>
      <c r="CB102" s="1295"/>
      <c r="CC102" s="1295">
        <v>26</v>
      </c>
      <c r="CD102" s="1302">
        <v>0.2525</v>
      </c>
      <c r="CE102" s="1303">
        <v>579.66480000000001</v>
      </c>
      <c r="CF102" s="1299">
        <v>0.48359999999999997</v>
      </c>
      <c r="CG102" s="1299">
        <v>5.0000000000000001E-3</v>
      </c>
      <c r="CH102" s="1299">
        <v>5.4000000000000003E-3</v>
      </c>
      <c r="CI102" s="1300">
        <v>2.1299999999999999E-2</v>
      </c>
      <c r="CJ102" s="1304">
        <v>4.7000000000000002E-3</v>
      </c>
      <c r="CK102" s="1240"/>
    </row>
    <row r="103" spans="22:89" ht="14.25" customHeight="1" x14ac:dyDescent="0.2">
      <c r="BO103" s="1239"/>
      <c r="BP103" s="1295"/>
      <c r="BQ103" s="1295">
        <v>27</v>
      </c>
      <c r="BR103" s="1302">
        <v>0.79769999999999996</v>
      </c>
      <c r="BS103" s="1303">
        <v>964.83190000000002</v>
      </c>
      <c r="BT103" s="1299">
        <v>1.3216000000000001</v>
      </c>
      <c r="BU103" s="1299">
        <v>1.78E-2</v>
      </c>
      <c r="BV103" s="1299">
        <v>9.1000000000000004E-3</v>
      </c>
      <c r="BW103" s="1300">
        <v>8.7900000000000006E-2</v>
      </c>
      <c r="BX103" s="1304">
        <v>1.7000000000000001E-2</v>
      </c>
      <c r="BY103" s="1240"/>
      <c r="CA103" s="1239"/>
      <c r="CB103" s="1295"/>
      <c r="CC103" s="1295">
        <v>27</v>
      </c>
      <c r="CD103" s="1302">
        <v>0.24099999999999999</v>
      </c>
      <c r="CE103" s="1303">
        <v>573.46029999999996</v>
      </c>
      <c r="CF103" s="1299">
        <v>0.4662</v>
      </c>
      <c r="CG103" s="1299">
        <v>4.7000000000000002E-3</v>
      </c>
      <c r="CH103" s="1299">
        <v>5.4000000000000003E-3</v>
      </c>
      <c r="CI103" s="1300">
        <v>2.0199999999999999E-2</v>
      </c>
      <c r="CJ103" s="1304">
        <v>4.4999999999999997E-3</v>
      </c>
      <c r="CK103" s="1240"/>
    </row>
    <row r="104" spans="22:89" ht="15.6" customHeight="1" x14ac:dyDescent="0.2">
      <c r="BO104" s="1239"/>
      <c r="BP104" s="1295"/>
      <c r="BQ104" s="1295">
        <v>28</v>
      </c>
      <c r="BR104" s="1302">
        <v>0.76700000000000002</v>
      </c>
      <c r="BS104" s="1303">
        <v>955.1712</v>
      </c>
      <c r="BT104" s="1299">
        <v>1.2948</v>
      </c>
      <c r="BU104" s="1299">
        <v>1.6799999999999999E-2</v>
      </c>
      <c r="BV104" s="1299">
        <v>8.9999999999999993E-3</v>
      </c>
      <c r="BW104" s="1300">
        <v>8.2699999999999996E-2</v>
      </c>
      <c r="BX104" s="1304">
        <v>1.61E-2</v>
      </c>
      <c r="BY104" s="1240"/>
      <c r="CA104" s="1239"/>
      <c r="CB104" s="1295"/>
      <c r="CC104" s="1295">
        <v>28</v>
      </c>
      <c r="CD104" s="1302">
        <v>0.23</v>
      </c>
      <c r="CE104" s="1303">
        <v>567.32219999999995</v>
      </c>
      <c r="CF104" s="1299">
        <v>0.44929999999999998</v>
      </c>
      <c r="CG104" s="1299">
        <v>4.4999999999999997E-3</v>
      </c>
      <c r="CH104" s="1299">
        <v>5.3E-3</v>
      </c>
      <c r="CI104" s="1300">
        <v>1.9099999999999999E-2</v>
      </c>
      <c r="CJ104" s="1304">
        <v>4.3E-3</v>
      </c>
      <c r="CK104" s="1240"/>
    </row>
    <row r="105" spans="22:89" ht="14.25" customHeight="1" x14ac:dyDescent="0.2">
      <c r="BO105" s="1239"/>
      <c r="BP105" s="1295"/>
      <c r="BQ105" s="1295">
        <v>29</v>
      </c>
      <c r="BR105" s="1302">
        <v>0.73740000000000006</v>
      </c>
      <c r="BS105" s="1303">
        <v>945.60720000000003</v>
      </c>
      <c r="BT105" s="1299">
        <v>1.2684</v>
      </c>
      <c r="BU105" s="1299">
        <v>1.5900000000000001E-2</v>
      </c>
      <c r="BV105" s="1299">
        <v>8.8999999999999999E-3</v>
      </c>
      <c r="BW105" s="1300">
        <v>7.7700000000000005E-2</v>
      </c>
      <c r="BX105" s="1304">
        <v>1.52E-2</v>
      </c>
      <c r="BY105" s="1240"/>
      <c r="CA105" s="1239"/>
      <c r="CB105" s="1295"/>
      <c r="CC105" s="1295">
        <v>29</v>
      </c>
      <c r="CD105" s="1302">
        <v>0.21959999999999999</v>
      </c>
      <c r="CE105" s="1303">
        <v>561.24980000000005</v>
      </c>
      <c r="CF105" s="1299">
        <v>0.43309999999999998</v>
      </c>
      <c r="CG105" s="1299">
        <v>4.3E-3</v>
      </c>
      <c r="CH105" s="1299">
        <v>5.3E-3</v>
      </c>
      <c r="CI105" s="1300">
        <v>1.8100000000000002E-2</v>
      </c>
      <c r="CJ105" s="1304">
        <v>4.1000000000000003E-3</v>
      </c>
      <c r="CK105" s="1240"/>
    </row>
    <row r="106" spans="22:89" ht="14.25" customHeight="1" x14ac:dyDescent="0.2">
      <c r="BO106" s="1239"/>
      <c r="BP106" s="1295"/>
      <c r="BQ106" s="1295">
        <v>30</v>
      </c>
      <c r="BR106" s="1302">
        <v>0.70899999999999996</v>
      </c>
      <c r="BS106" s="1303">
        <v>936.13890000000004</v>
      </c>
      <c r="BT106" s="1299">
        <v>1.2425999999999999</v>
      </c>
      <c r="BU106" s="1299">
        <v>1.5100000000000001E-2</v>
      </c>
      <c r="BV106" s="1299">
        <v>8.8000000000000005E-3</v>
      </c>
      <c r="BW106" s="1300">
        <v>7.3099999999999998E-2</v>
      </c>
      <c r="BX106" s="1304">
        <v>1.44E-2</v>
      </c>
      <c r="BY106" s="1240"/>
      <c r="CA106" s="1239"/>
      <c r="CB106" s="1295"/>
      <c r="CC106" s="1295">
        <v>30</v>
      </c>
      <c r="CD106" s="1302">
        <v>0.20960000000000001</v>
      </c>
      <c r="CE106" s="1303">
        <v>555.24239999999998</v>
      </c>
      <c r="CF106" s="1299">
        <v>0.41749999999999998</v>
      </c>
      <c r="CG106" s="1299">
        <v>4.1000000000000003E-3</v>
      </c>
      <c r="CH106" s="1299">
        <v>5.1999999999999998E-3</v>
      </c>
      <c r="CI106" s="1300">
        <v>1.72E-2</v>
      </c>
      <c r="CJ106" s="1304">
        <v>3.8999999999999998E-3</v>
      </c>
      <c r="CK106" s="1240"/>
    </row>
    <row r="107" spans="22:89" ht="14.25" customHeight="1" x14ac:dyDescent="0.2">
      <c r="BO107" s="1239"/>
      <c r="BP107" s="1295"/>
      <c r="BQ107" s="1295">
        <v>31</v>
      </c>
      <c r="BR107" s="1302">
        <v>0.67789999999999995</v>
      </c>
      <c r="BS107" s="1303">
        <v>941.27160000000003</v>
      </c>
      <c r="BT107" s="1299">
        <v>1.2298</v>
      </c>
      <c r="BU107" s="1299">
        <v>1.44E-2</v>
      </c>
      <c r="BV107" s="1299">
        <v>8.8999999999999999E-3</v>
      </c>
      <c r="BW107" s="1300">
        <v>6.8199999999999997E-2</v>
      </c>
      <c r="BX107" s="1304">
        <v>1.37E-2</v>
      </c>
      <c r="BY107" s="1240"/>
      <c r="CA107" s="1239"/>
      <c r="CB107" s="1295"/>
      <c r="CC107" s="1295">
        <v>31</v>
      </c>
      <c r="CD107" s="1302">
        <v>0.20180000000000001</v>
      </c>
      <c r="CE107" s="1303">
        <v>559.83029999999997</v>
      </c>
      <c r="CF107" s="1299">
        <v>0.41310000000000002</v>
      </c>
      <c r="CG107" s="1299">
        <v>4.0000000000000001E-3</v>
      </c>
      <c r="CH107" s="1299">
        <v>5.1999999999999998E-3</v>
      </c>
      <c r="CI107" s="1300">
        <v>1.6199999999999999E-2</v>
      </c>
      <c r="CJ107" s="1304">
        <v>3.8E-3</v>
      </c>
      <c r="CK107" s="1240"/>
    </row>
    <row r="108" spans="22:89" ht="14.25" customHeight="1" x14ac:dyDescent="0.2">
      <c r="BO108" s="1239"/>
      <c r="BP108" s="1295"/>
      <c r="BQ108" s="1295">
        <v>32</v>
      </c>
      <c r="BR108" s="1302">
        <v>0.6482</v>
      </c>
      <c r="BS108" s="1303">
        <v>946.43230000000005</v>
      </c>
      <c r="BT108" s="1299">
        <v>1.2171000000000001</v>
      </c>
      <c r="BU108" s="1299">
        <v>1.38E-2</v>
      </c>
      <c r="BV108" s="1299">
        <v>8.8999999999999999E-3</v>
      </c>
      <c r="BW108" s="1300">
        <v>6.3600000000000004E-2</v>
      </c>
      <c r="BX108" s="1304">
        <v>1.3100000000000001E-2</v>
      </c>
      <c r="BY108" s="1240"/>
      <c r="CA108" s="1239"/>
      <c r="CB108" s="1295"/>
      <c r="CC108" s="1295">
        <v>32</v>
      </c>
      <c r="CD108" s="1302">
        <v>0.19420000000000001</v>
      </c>
      <c r="CE108" s="1303">
        <v>564.45609999999999</v>
      </c>
      <c r="CF108" s="1299">
        <v>0.4088</v>
      </c>
      <c r="CG108" s="1299">
        <v>3.8999999999999998E-3</v>
      </c>
      <c r="CH108" s="1299">
        <v>5.3E-3</v>
      </c>
      <c r="CI108" s="1300">
        <v>1.5299999999999999E-2</v>
      </c>
      <c r="CJ108" s="1304">
        <v>3.8E-3</v>
      </c>
      <c r="CK108" s="1240"/>
    </row>
    <row r="109" spans="22:89" ht="14.25" customHeight="1" x14ac:dyDescent="0.2">
      <c r="BO109" s="1239"/>
      <c r="BP109" s="1295"/>
      <c r="BQ109" s="1295">
        <v>33</v>
      </c>
      <c r="BR109" s="1302">
        <v>0.61980000000000002</v>
      </c>
      <c r="BS109" s="1303">
        <v>951.62139999999999</v>
      </c>
      <c r="BT109" s="1299">
        <v>1.2045999999999999</v>
      </c>
      <c r="BU109" s="1299">
        <v>1.3100000000000001E-2</v>
      </c>
      <c r="BV109" s="1299">
        <v>8.8999999999999999E-3</v>
      </c>
      <c r="BW109" s="1300">
        <v>5.9299999999999999E-2</v>
      </c>
      <c r="BX109" s="1304">
        <v>1.26E-2</v>
      </c>
      <c r="BY109" s="1240"/>
      <c r="CA109" s="1239"/>
      <c r="CB109" s="1295"/>
      <c r="CC109" s="1295">
        <v>33</v>
      </c>
      <c r="CD109" s="1302">
        <v>0.187</v>
      </c>
      <c r="CE109" s="1303">
        <v>569.12009999999998</v>
      </c>
      <c r="CF109" s="1299">
        <v>0.40450000000000003</v>
      </c>
      <c r="CG109" s="1299">
        <v>3.8999999999999998E-3</v>
      </c>
      <c r="CH109" s="1299">
        <v>5.3E-3</v>
      </c>
      <c r="CI109" s="1300">
        <v>1.44E-2</v>
      </c>
      <c r="CJ109" s="1304">
        <v>3.7000000000000002E-3</v>
      </c>
      <c r="CK109" s="1240"/>
    </row>
    <row r="110" spans="22:89" ht="14.25" customHeight="1" x14ac:dyDescent="0.2">
      <c r="BO110" s="1239"/>
      <c r="BP110" s="1295"/>
      <c r="BQ110" s="1295">
        <v>34</v>
      </c>
      <c r="BR110" s="1302">
        <v>0.59260000000000002</v>
      </c>
      <c r="BS110" s="1303">
        <v>956.83889999999997</v>
      </c>
      <c r="BT110" s="1299">
        <v>1.1920999999999999</v>
      </c>
      <c r="BU110" s="1299">
        <v>1.26E-2</v>
      </c>
      <c r="BV110" s="1299">
        <v>8.9999999999999993E-3</v>
      </c>
      <c r="BW110" s="1300">
        <v>5.5300000000000002E-2</v>
      </c>
      <c r="BX110" s="1304">
        <v>1.2E-2</v>
      </c>
      <c r="BY110" s="1240"/>
      <c r="CA110" s="1239"/>
      <c r="CB110" s="1295"/>
      <c r="CC110" s="1295">
        <v>34</v>
      </c>
      <c r="CD110" s="1302">
        <v>0.18</v>
      </c>
      <c r="CE110" s="1303">
        <v>573.82259999999997</v>
      </c>
      <c r="CF110" s="1299">
        <v>0.40029999999999999</v>
      </c>
      <c r="CG110" s="1299">
        <v>3.8E-3</v>
      </c>
      <c r="CH110" s="1299">
        <v>5.3E-3</v>
      </c>
      <c r="CI110" s="1300">
        <v>1.3599999999999999E-2</v>
      </c>
      <c r="CJ110" s="1304">
        <v>3.5999999999999999E-3</v>
      </c>
      <c r="CK110" s="1240"/>
    </row>
    <row r="111" spans="22:89" ht="14.25" customHeight="1" x14ac:dyDescent="0.2">
      <c r="BO111" s="1239"/>
      <c r="BP111" s="1295"/>
      <c r="BQ111" s="1295">
        <v>35</v>
      </c>
      <c r="BR111" s="1302">
        <v>0.56659999999999999</v>
      </c>
      <c r="BS111" s="1303">
        <v>962.08500000000004</v>
      </c>
      <c r="BT111" s="1299">
        <v>1.1798</v>
      </c>
      <c r="BU111" s="1299">
        <v>1.2E-2</v>
      </c>
      <c r="BV111" s="1299">
        <v>8.9999999999999993E-3</v>
      </c>
      <c r="BW111" s="1300">
        <v>5.16E-2</v>
      </c>
      <c r="BX111" s="1304">
        <v>1.15E-2</v>
      </c>
      <c r="BY111" s="1240"/>
      <c r="CA111" s="1239"/>
      <c r="CB111" s="1295"/>
      <c r="CC111" s="1295">
        <v>35</v>
      </c>
      <c r="CD111" s="1302">
        <v>0.17330000000000001</v>
      </c>
      <c r="CE111" s="1303">
        <v>578.56399999999996</v>
      </c>
      <c r="CF111" s="1299">
        <v>0.39610000000000001</v>
      </c>
      <c r="CG111" s="1299">
        <v>3.7000000000000002E-3</v>
      </c>
      <c r="CH111" s="1299">
        <v>5.4000000000000003E-3</v>
      </c>
      <c r="CI111" s="1300">
        <v>1.2800000000000001E-2</v>
      </c>
      <c r="CJ111" s="1304">
        <v>3.5000000000000001E-3</v>
      </c>
      <c r="CK111" s="1240"/>
    </row>
    <row r="112" spans="22:89" ht="14.25" customHeight="1" x14ac:dyDescent="0.2">
      <c r="BO112" s="1239"/>
      <c r="BP112" s="1295"/>
      <c r="BQ112" s="1295">
        <v>36</v>
      </c>
      <c r="BR112" s="1302">
        <v>0.55049999999999999</v>
      </c>
      <c r="BS112" s="1303">
        <v>967.41949999999997</v>
      </c>
      <c r="BT112" s="1299">
        <v>1.1662999999999999</v>
      </c>
      <c r="BU112" s="1299">
        <v>1.18E-2</v>
      </c>
      <c r="BV112" s="1299">
        <v>9.1000000000000004E-3</v>
      </c>
      <c r="BW112" s="1300">
        <v>4.8800000000000003E-2</v>
      </c>
      <c r="BX112" s="1304">
        <v>1.1299999999999999E-2</v>
      </c>
      <c r="BY112" s="1240"/>
      <c r="CA112" s="1239"/>
      <c r="CB112" s="1295"/>
      <c r="CC112" s="1295">
        <v>36</v>
      </c>
      <c r="CD112" s="1302">
        <v>0.16880000000000001</v>
      </c>
      <c r="CE112" s="1303">
        <v>584.06709999999998</v>
      </c>
      <c r="CF112" s="1299">
        <v>0.38829999999999998</v>
      </c>
      <c r="CG112" s="1299">
        <v>3.8E-3</v>
      </c>
      <c r="CH112" s="1299">
        <v>5.4000000000000003E-3</v>
      </c>
      <c r="CI112" s="1300">
        <v>1.2200000000000001E-2</v>
      </c>
      <c r="CJ112" s="1304">
        <v>3.5999999999999999E-3</v>
      </c>
      <c r="CK112" s="1240"/>
    </row>
    <row r="113" spans="9:89" ht="14.25" customHeight="1" x14ac:dyDescent="0.2">
      <c r="BO113" s="1239"/>
      <c r="BP113" s="1295"/>
      <c r="BQ113" s="1295">
        <v>37</v>
      </c>
      <c r="BR113" s="1302">
        <v>0.53490000000000004</v>
      </c>
      <c r="BS113" s="1303">
        <v>972.78359999999998</v>
      </c>
      <c r="BT113" s="1299">
        <v>1.1529</v>
      </c>
      <c r="BU113" s="1299">
        <v>1.1599999999999999E-2</v>
      </c>
      <c r="BV113" s="1299">
        <v>9.1000000000000004E-3</v>
      </c>
      <c r="BW113" s="1300">
        <v>4.6199999999999998E-2</v>
      </c>
      <c r="BX113" s="1304">
        <v>1.0999999999999999E-2</v>
      </c>
      <c r="BY113" s="1240"/>
      <c r="CA113" s="1239"/>
      <c r="CB113" s="1295"/>
      <c r="CC113" s="1295">
        <v>37</v>
      </c>
      <c r="CD113" s="1302">
        <v>0.16450000000000001</v>
      </c>
      <c r="CE113" s="1303">
        <v>589.62249999999995</v>
      </c>
      <c r="CF113" s="1299">
        <v>0.38059999999999999</v>
      </c>
      <c r="CG113" s="1299">
        <v>3.8E-3</v>
      </c>
      <c r="CH113" s="1299">
        <v>5.4999999999999997E-3</v>
      </c>
      <c r="CI113" s="1300">
        <v>1.1599999999999999E-2</v>
      </c>
      <c r="CJ113" s="1304">
        <v>3.7000000000000002E-3</v>
      </c>
      <c r="CK113" s="1240"/>
    </row>
    <row r="114" spans="9:89" ht="14.25" customHeight="1" x14ac:dyDescent="0.2">
      <c r="BO114" s="1239"/>
      <c r="BP114" s="1295"/>
      <c r="BQ114" s="1295">
        <v>38</v>
      </c>
      <c r="BR114" s="1302">
        <v>0.51970000000000005</v>
      </c>
      <c r="BS114" s="1303">
        <v>978.17750000000001</v>
      </c>
      <c r="BT114" s="1299">
        <v>1.1395999999999999</v>
      </c>
      <c r="BU114" s="1299">
        <v>1.1299999999999999E-2</v>
      </c>
      <c r="BV114" s="1299">
        <v>9.1000000000000004E-3</v>
      </c>
      <c r="BW114" s="1300">
        <v>4.3700000000000003E-2</v>
      </c>
      <c r="BX114" s="1304">
        <v>1.0800000000000001E-2</v>
      </c>
      <c r="BY114" s="1240"/>
      <c r="CA114" s="1239"/>
      <c r="CB114" s="1295"/>
      <c r="CC114" s="1295">
        <v>38</v>
      </c>
      <c r="CD114" s="1302">
        <v>0.1603</v>
      </c>
      <c r="CE114" s="1303">
        <v>595.23080000000004</v>
      </c>
      <c r="CF114" s="1299">
        <v>0.37309999999999999</v>
      </c>
      <c r="CG114" s="1299">
        <v>3.8999999999999998E-3</v>
      </c>
      <c r="CH114" s="1299">
        <v>5.4999999999999997E-3</v>
      </c>
      <c r="CI114" s="1300">
        <v>1.11E-2</v>
      </c>
      <c r="CJ114" s="1304">
        <v>3.8E-3</v>
      </c>
      <c r="CK114" s="1240"/>
    </row>
    <row r="115" spans="9:89" ht="14.25" customHeight="1" x14ac:dyDescent="0.2">
      <c r="BO115" s="1239"/>
      <c r="BP115" s="1295"/>
      <c r="BQ115" s="1295">
        <v>39</v>
      </c>
      <c r="BR115" s="1302">
        <v>0.505</v>
      </c>
      <c r="BS115" s="1303">
        <v>983.60130000000004</v>
      </c>
      <c r="BT115" s="1299">
        <v>1.1266</v>
      </c>
      <c r="BU115" s="1299">
        <v>1.11E-2</v>
      </c>
      <c r="BV115" s="1299">
        <v>9.1999999999999998E-3</v>
      </c>
      <c r="BW115" s="1300">
        <v>4.1300000000000003E-2</v>
      </c>
      <c r="BX115" s="1304">
        <v>1.06E-2</v>
      </c>
      <c r="BY115" s="1240"/>
      <c r="CA115" s="1239"/>
      <c r="CB115" s="1295"/>
      <c r="CC115" s="1295">
        <v>39</v>
      </c>
      <c r="CD115" s="1302">
        <v>0.15609999999999999</v>
      </c>
      <c r="CE115" s="1303">
        <v>600.89239999999995</v>
      </c>
      <c r="CF115" s="1299">
        <v>0.36580000000000001</v>
      </c>
      <c r="CG115" s="1299">
        <v>4.0000000000000001E-3</v>
      </c>
      <c r="CH115" s="1299">
        <v>5.5999999999999999E-3</v>
      </c>
      <c r="CI115" s="1300">
        <v>1.0500000000000001E-2</v>
      </c>
      <c r="CJ115" s="1304">
        <v>3.8E-3</v>
      </c>
      <c r="CK115" s="1240"/>
    </row>
    <row r="116" spans="9:89" ht="14.25" customHeight="1" x14ac:dyDescent="0.2">
      <c r="L116" s="1202"/>
      <c r="M116" s="1202"/>
      <c r="N116" s="1202"/>
      <c r="O116" s="1202"/>
      <c r="P116" s="1202"/>
      <c r="BO116" s="1239"/>
      <c r="BP116" s="1295"/>
      <c r="BQ116" s="1295">
        <v>40</v>
      </c>
      <c r="BR116" s="1302">
        <v>0.49059999999999998</v>
      </c>
      <c r="BS116" s="1303">
        <v>989.05510000000004</v>
      </c>
      <c r="BT116" s="1299">
        <v>1.1135999999999999</v>
      </c>
      <c r="BU116" s="1299">
        <v>1.09E-2</v>
      </c>
      <c r="BV116" s="1299">
        <v>9.1999999999999998E-3</v>
      </c>
      <c r="BW116" s="1300">
        <v>3.9100000000000003E-2</v>
      </c>
      <c r="BX116" s="1304">
        <v>1.04E-2</v>
      </c>
      <c r="BY116" s="1240"/>
      <c r="CA116" s="1239"/>
      <c r="CB116" s="1295"/>
      <c r="CC116" s="1295">
        <v>40</v>
      </c>
      <c r="CD116" s="1302">
        <v>0.15210000000000001</v>
      </c>
      <c r="CE116" s="1303">
        <v>606.60789999999997</v>
      </c>
      <c r="CF116" s="1299">
        <v>0.35859999999999997</v>
      </c>
      <c r="CG116" s="1299">
        <v>4.1000000000000003E-3</v>
      </c>
      <c r="CH116" s="1299">
        <v>5.5999999999999999E-3</v>
      </c>
      <c r="CI116" s="1300">
        <v>0.01</v>
      </c>
      <c r="CJ116" s="1304">
        <v>3.8999999999999998E-3</v>
      </c>
      <c r="CK116" s="1240"/>
    </row>
    <row r="117" spans="9:89" ht="14.25" customHeight="1" x14ac:dyDescent="0.2">
      <c r="BO117" s="1239"/>
      <c r="BP117" s="1295"/>
      <c r="BQ117" s="1295">
        <v>41</v>
      </c>
      <c r="BR117" s="1302">
        <v>0.48680000000000001</v>
      </c>
      <c r="BS117" s="1303">
        <v>984.5077</v>
      </c>
      <c r="BT117" s="1299">
        <v>1.0993999999999999</v>
      </c>
      <c r="BU117" s="1299">
        <v>1.0999999999999999E-2</v>
      </c>
      <c r="BV117" s="1299">
        <v>9.1999999999999998E-3</v>
      </c>
      <c r="BW117" s="1300">
        <v>3.8199999999999998E-2</v>
      </c>
      <c r="BX117" s="1304">
        <v>1.0500000000000001E-2</v>
      </c>
      <c r="BY117" s="1240"/>
      <c r="CA117" s="1239"/>
      <c r="CB117" s="1295"/>
      <c r="CC117" s="1295">
        <v>41</v>
      </c>
      <c r="CD117" s="1302">
        <v>0.1479</v>
      </c>
      <c r="CE117" s="1303">
        <v>611.86289999999997</v>
      </c>
      <c r="CF117" s="1299">
        <v>0.35299999999999998</v>
      </c>
      <c r="CG117" s="1299">
        <v>4.4000000000000003E-3</v>
      </c>
      <c r="CH117" s="1299">
        <v>5.7000000000000002E-3</v>
      </c>
      <c r="CI117" s="1300">
        <v>9.7999999999999997E-3</v>
      </c>
      <c r="CJ117" s="1304">
        <v>4.1999999999999997E-3</v>
      </c>
      <c r="CK117" s="1240"/>
    </row>
    <row r="118" spans="9:89" ht="14.25" customHeight="1" x14ac:dyDescent="0.2">
      <c r="BO118" s="1239"/>
      <c r="BP118" s="1295"/>
      <c r="BQ118" s="1295">
        <v>42</v>
      </c>
      <c r="BR118" s="1302">
        <v>0.4829</v>
      </c>
      <c r="BS118" s="1303">
        <v>979.98119999999994</v>
      </c>
      <c r="BT118" s="1299">
        <v>1.0853999999999999</v>
      </c>
      <c r="BU118" s="1299">
        <v>1.11E-2</v>
      </c>
      <c r="BV118" s="1299">
        <v>9.1000000000000004E-3</v>
      </c>
      <c r="BW118" s="1300">
        <v>3.7400000000000003E-2</v>
      </c>
      <c r="BX118" s="1304">
        <v>1.06E-2</v>
      </c>
      <c r="BY118" s="1240"/>
      <c r="CA118" s="1239"/>
      <c r="CB118" s="1295"/>
      <c r="CC118" s="1295">
        <v>42</v>
      </c>
      <c r="CD118" s="1302">
        <v>0.14380000000000001</v>
      </c>
      <c r="CE118" s="1303">
        <v>617.16330000000005</v>
      </c>
      <c r="CF118" s="1299">
        <v>0.34739999999999999</v>
      </c>
      <c r="CG118" s="1299">
        <v>4.5999999999999999E-3</v>
      </c>
      <c r="CH118" s="1299">
        <v>5.7000000000000002E-3</v>
      </c>
      <c r="CI118" s="1300">
        <v>9.5999999999999992E-3</v>
      </c>
      <c r="CJ118" s="1304">
        <v>4.4000000000000003E-3</v>
      </c>
      <c r="CK118" s="1240"/>
    </row>
    <row r="119" spans="9:89" ht="14.25" customHeight="1" x14ac:dyDescent="0.2">
      <c r="BO119" s="1239"/>
      <c r="BP119" s="1295"/>
      <c r="BQ119" s="1295">
        <v>43</v>
      </c>
      <c r="BR119" s="1302">
        <v>0.47910000000000003</v>
      </c>
      <c r="BS119" s="1303">
        <v>975.47540000000004</v>
      </c>
      <c r="BT119" s="1299">
        <v>1.0714999999999999</v>
      </c>
      <c r="BU119" s="1299">
        <v>1.11E-2</v>
      </c>
      <c r="BV119" s="1299">
        <v>9.1000000000000004E-3</v>
      </c>
      <c r="BW119" s="1300">
        <v>3.6600000000000001E-2</v>
      </c>
      <c r="BX119" s="1304">
        <v>1.06E-2</v>
      </c>
      <c r="BY119" s="1240"/>
      <c r="CA119" s="1239"/>
      <c r="CB119" s="1295"/>
      <c r="CC119" s="1295">
        <v>43</v>
      </c>
      <c r="CD119" s="1302">
        <v>0.1399</v>
      </c>
      <c r="CE119" s="1303">
        <v>622.50959999999998</v>
      </c>
      <c r="CF119" s="1299">
        <v>0.34200000000000003</v>
      </c>
      <c r="CG119" s="1299">
        <v>4.8999999999999998E-3</v>
      </c>
      <c r="CH119" s="1299">
        <v>5.7999999999999996E-3</v>
      </c>
      <c r="CI119" s="1300">
        <v>9.4000000000000004E-3</v>
      </c>
      <c r="CJ119" s="1304">
        <v>4.7000000000000002E-3</v>
      </c>
      <c r="CK119" s="1240"/>
    </row>
    <row r="120" spans="9:89" ht="14.25" customHeight="1" x14ac:dyDescent="0.2">
      <c r="I120" s="1531"/>
      <c r="BO120" s="1239"/>
      <c r="BP120" s="1295"/>
      <c r="BQ120" s="1295">
        <v>44</v>
      </c>
      <c r="BR120" s="1302">
        <v>0.4753</v>
      </c>
      <c r="BS120" s="1303">
        <v>970.99040000000002</v>
      </c>
      <c r="BT120" s="1299">
        <v>1.0579000000000001</v>
      </c>
      <c r="BU120" s="1299">
        <v>1.12E-2</v>
      </c>
      <c r="BV120" s="1299">
        <v>9.1000000000000004E-3</v>
      </c>
      <c r="BW120" s="1300">
        <v>3.5900000000000001E-2</v>
      </c>
      <c r="BX120" s="1304">
        <v>1.0699999999999999E-2</v>
      </c>
      <c r="BY120" s="1240"/>
      <c r="CA120" s="1239"/>
      <c r="CB120" s="1295"/>
      <c r="CC120" s="1295">
        <v>44</v>
      </c>
      <c r="CD120" s="1302">
        <v>0.13600000000000001</v>
      </c>
      <c r="CE120" s="1303">
        <v>627.90229999999997</v>
      </c>
      <c r="CF120" s="1299">
        <v>0.33660000000000001</v>
      </c>
      <c r="CG120" s="1299">
        <v>5.1999999999999998E-3</v>
      </c>
      <c r="CH120" s="1299">
        <v>5.7999999999999996E-3</v>
      </c>
      <c r="CI120" s="1300">
        <v>9.2999999999999992E-3</v>
      </c>
      <c r="CJ120" s="1304">
        <v>5.0000000000000001E-3</v>
      </c>
      <c r="CK120" s="1240"/>
    </row>
    <row r="121" spans="9:89" ht="14.25" customHeight="1" x14ac:dyDescent="0.2">
      <c r="BO121" s="1239"/>
      <c r="BP121" s="1295"/>
      <c r="BQ121" s="1295">
        <v>45</v>
      </c>
      <c r="BR121" s="1302">
        <v>0.47160000000000002</v>
      </c>
      <c r="BS121" s="1303">
        <v>966.52610000000004</v>
      </c>
      <c r="BT121" s="1299">
        <v>1.0444</v>
      </c>
      <c r="BU121" s="1299">
        <v>1.1299999999999999E-2</v>
      </c>
      <c r="BV121" s="1299">
        <v>8.9999999999999993E-3</v>
      </c>
      <c r="BW121" s="1300">
        <v>3.5099999999999999E-2</v>
      </c>
      <c r="BX121" s="1304">
        <v>1.0800000000000001E-2</v>
      </c>
      <c r="BY121" s="1240"/>
      <c r="CA121" s="1239"/>
      <c r="CB121" s="1295"/>
      <c r="CC121" s="1295">
        <v>45</v>
      </c>
      <c r="CD121" s="1302">
        <v>0.1323</v>
      </c>
      <c r="CE121" s="1303">
        <v>633.34169999999995</v>
      </c>
      <c r="CF121" s="1299">
        <v>0.33139999999999997</v>
      </c>
      <c r="CG121" s="1299">
        <v>5.5999999999999999E-3</v>
      </c>
      <c r="CH121" s="1299">
        <v>5.8999999999999999E-3</v>
      </c>
      <c r="CI121" s="1300">
        <v>9.1000000000000004E-3</v>
      </c>
      <c r="CJ121" s="1304">
        <v>5.3E-3</v>
      </c>
      <c r="CK121" s="1240"/>
    </row>
    <row r="122" spans="9:89" ht="14.25" customHeight="1" x14ac:dyDescent="0.2">
      <c r="BO122" s="1239"/>
      <c r="BP122" s="1295"/>
      <c r="BQ122" s="1295">
        <v>46</v>
      </c>
      <c r="BR122" s="1302">
        <v>0.47620000000000001</v>
      </c>
      <c r="BS122" s="1303">
        <v>930.22239999999999</v>
      </c>
      <c r="BT122" s="1299">
        <v>1.0417000000000001</v>
      </c>
      <c r="BU122" s="1299">
        <v>1.15E-2</v>
      </c>
      <c r="BV122" s="1299">
        <v>8.6999999999999994E-3</v>
      </c>
      <c r="BW122" s="1300">
        <v>3.6799999999999999E-2</v>
      </c>
      <c r="BX122" s="1304">
        <v>1.0999999999999999E-2</v>
      </c>
      <c r="BY122" s="1240"/>
      <c r="CA122" s="1239"/>
      <c r="CB122" s="1295"/>
      <c r="CC122" s="1295">
        <v>46</v>
      </c>
      <c r="CD122" s="1302">
        <v>0.13</v>
      </c>
      <c r="CE122" s="1303">
        <v>609.35320000000002</v>
      </c>
      <c r="CF122" s="1299">
        <v>0.31030000000000002</v>
      </c>
      <c r="CG122" s="1299">
        <v>5.7000000000000002E-3</v>
      </c>
      <c r="CH122" s="1299">
        <v>5.7000000000000002E-3</v>
      </c>
      <c r="CI122" s="1300">
        <v>9.2999999999999992E-3</v>
      </c>
      <c r="CJ122" s="1304">
        <v>5.4000000000000003E-3</v>
      </c>
      <c r="CK122" s="1240"/>
    </row>
    <row r="123" spans="9:89" ht="14.25" customHeight="1" x14ac:dyDescent="0.2">
      <c r="BO123" s="1239"/>
      <c r="BP123" s="1295"/>
      <c r="BQ123" s="1295">
        <v>47</v>
      </c>
      <c r="BR123" s="1302">
        <v>0.48089999999999999</v>
      </c>
      <c r="BS123" s="1303">
        <v>895.28229999999996</v>
      </c>
      <c r="BT123" s="1299">
        <v>1.0390999999999999</v>
      </c>
      <c r="BU123" s="1299">
        <v>1.18E-2</v>
      </c>
      <c r="BV123" s="1299">
        <v>8.3999999999999995E-3</v>
      </c>
      <c r="BW123" s="1300">
        <v>3.8600000000000002E-2</v>
      </c>
      <c r="BX123" s="1304">
        <v>1.12E-2</v>
      </c>
      <c r="BY123" s="1240"/>
      <c r="CA123" s="1239"/>
      <c r="CB123" s="1295"/>
      <c r="CC123" s="1295">
        <v>47</v>
      </c>
      <c r="CD123" s="1302">
        <v>0.1278</v>
      </c>
      <c r="CE123" s="1303">
        <v>586.27319999999997</v>
      </c>
      <c r="CF123" s="1299">
        <v>0.29060000000000002</v>
      </c>
      <c r="CG123" s="1299">
        <v>5.7999999999999996E-3</v>
      </c>
      <c r="CH123" s="1299">
        <v>5.4999999999999997E-3</v>
      </c>
      <c r="CI123" s="1300">
        <v>9.5999999999999992E-3</v>
      </c>
      <c r="CJ123" s="1304">
        <v>5.4999999999999997E-3</v>
      </c>
      <c r="CK123" s="1240"/>
    </row>
    <row r="124" spans="9:89" ht="14.25" customHeight="1" x14ac:dyDescent="0.2">
      <c r="BO124" s="1239"/>
      <c r="BP124" s="1295"/>
      <c r="BQ124" s="1295">
        <v>48</v>
      </c>
      <c r="BR124" s="1302">
        <v>0.48570000000000002</v>
      </c>
      <c r="BS124" s="1303">
        <v>861.65459999999996</v>
      </c>
      <c r="BT124" s="1299">
        <v>1.0364</v>
      </c>
      <c r="BU124" s="1299">
        <v>1.2E-2</v>
      </c>
      <c r="BV124" s="1299">
        <v>8.0999999999999996E-3</v>
      </c>
      <c r="BW124" s="1300">
        <v>4.0500000000000001E-2</v>
      </c>
      <c r="BX124" s="1304">
        <v>1.15E-2</v>
      </c>
      <c r="BY124" s="1240"/>
      <c r="CA124" s="1239"/>
      <c r="CB124" s="1295"/>
      <c r="CC124" s="1295">
        <v>48</v>
      </c>
      <c r="CD124" s="1302">
        <v>0.12559999999999999</v>
      </c>
      <c r="CE124" s="1303">
        <v>564.06740000000002</v>
      </c>
      <c r="CF124" s="1299">
        <v>0.2722</v>
      </c>
      <c r="CG124" s="1299">
        <v>5.8999999999999999E-3</v>
      </c>
      <c r="CH124" s="1299">
        <v>5.3E-3</v>
      </c>
      <c r="CI124" s="1300">
        <v>9.9000000000000008E-3</v>
      </c>
      <c r="CJ124" s="1304">
        <v>5.5999999999999999E-3</v>
      </c>
      <c r="CK124" s="1240"/>
    </row>
    <row r="125" spans="9:89" ht="14.25" customHeight="1" x14ac:dyDescent="0.2">
      <c r="BO125" s="1239"/>
      <c r="BP125" s="1295"/>
      <c r="BQ125" s="1295">
        <v>49</v>
      </c>
      <c r="BR125" s="1302">
        <v>0.49049999999999999</v>
      </c>
      <c r="BS125" s="1303">
        <v>829.28989999999999</v>
      </c>
      <c r="BT125" s="1299">
        <v>1.0338000000000001</v>
      </c>
      <c r="BU125" s="1299">
        <v>1.23E-2</v>
      </c>
      <c r="BV125" s="1299">
        <v>7.7999999999999996E-3</v>
      </c>
      <c r="BW125" s="1300">
        <v>4.2500000000000003E-2</v>
      </c>
      <c r="BX125" s="1304">
        <v>1.17E-2</v>
      </c>
      <c r="BY125" s="1240"/>
      <c r="CA125" s="1239"/>
      <c r="CB125" s="1295"/>
      <c r="CC125" s="1295">
        <v>49</v>
      </c>
      <c r="CD125" s="1302">
        <v>0.1234</v>
      </c>
      <c r="CE125" s="1303">
        <v>542.70270000000005</v>
      </c>
      <c r="CF125" s="1299">
        <v>0.25490000000000002</v>
      </c>
      <c r="CG125" s="1299">
        <v>6.0000000000000001E-3</v>
      </c>
      <c r="CH125" s="1299">
        <v>5.1000000000000004E-3</v>
      </c>
      <c r="CI125" s="1300">
        <v>1.0200000000000001E-2</v>
      </c>
      <c r="CJ125" s="1304">
        <v>5.7000000000000002E-3</v>
      </c>
      <c r="CK125" s="1240"/>
    </row>
    <row r="126" spans="9:89" ht="14.25" customHeight="1" x14ac:dyDescent="0.2">
      <c r="BO126" s="1239"/>
      <c r="BP126" s="1295"/>
      <c r="BQ126" s="1295">
        <v>50</v>
      </c>
      <c r="BR126" s="1302">
        <v>0.49530000000000002</v>
      </c>
      <c r="BS126" s="1303">
        <v>798.14099999999996</v>
      </c>
      <c r="BT126" s="1299">
        <v>1.0310999999999999</v>
      </c>
      <c r="BU126" s="1299">
        <v>1.2500000000000001E-2</v>
      </c>
      <c r="BV126" s="1299">
        <v>7.4999999999999997E-3</v>
      </c>
      <c r="BW126" s="1300">
        <v>4.4499999999999998E-2</v>
      </c>
      <c r="BX126" s="1304">
        <v>1.2E-2</v>
      </c>
      <c r="BY126" s="1240"/>
      <c r="CA126" s="1239"/>
      <c r="CB126" s="1295"/>
      <c r="CC126" s="1295">
        <v>50</v>
      </c>
      <c r="CD126" s="1302">
        <v>0.12130000000000001</v>
      </c>
      <c r="CE126" s="1303">
        <v>522.1472</v>
      </c>
      <c r="CF126" s="1299">
        <v>0.2387</v>
      </c>
      <c r="CG126" s="1299">
        <v>6.1000000000000004E-3</v>
      </c>
      <c r="CH126" s="1299">
        <v>4.8999999999999998E-3</v>
      </c>
      <c r="CI126" s="1300">
        <v>1.0500000000000001E-2</v>
      </c>
      <c r="CJ126" s="1304">
        <v>5.7999999999999996E-3</v>
      </c>
      <c r="CK126" s="1240"/>
    </row>
    <row r="127" spans="9:89" ht="14.25" customHeight="1" x14ac:dyDescent="0.2">
      <c r="BO127" s="1239"/>
      <c r="BP127" s="1295"/>
      <c r="BQ127" s="1295">
        <v>51</v>
      </c>
      <c r="BR127" s="1302">
        <v>0.48010000000000003</v>
      </c>
      <c r="BS127" s="1303">
        <v>830.70860000000005</v>
      </c>
      <c r="BT127" s="1299">
        <v>1.0417000000000001</v>
      </c>
      <c r="BU127" s="1299">
        <v>1.3100000000000001E-2</v>
      </c>
      <c r="BV127" s="1299">
        <v>7.7999999999999996E-3</v>
      </c>
      <c r="BW127" s="1300">
        <v>4.2500000000000003E-2</v>
      </c>
      <c r="BX127" s="1304">
        <v>1.2500000000000001E-2</v>
      </c>
      <c r="BY127" s="1240"/>
      <c r="CA127" s="1239"/>
      <c r="CB127" s="1295"/>
      <c r="CC127" s="1295">
        <v>51</v>
      </c>
      <c r="CD127" s="1302">
        <v>0.11840000000000001</v>
      </c>
      <c r="CE127" s="1303">
        <v>546.12260000000003</v>
      </c>
      <c r="CF127" s="1299">
        <v>0.25480000000000003</v>
      </c>
      <c r="CG127" s="1299">
        <v>6.7000000000000002E-3</v>
      </c>
      <c r="CH127" s="1299">
        <v>5.1000000000000004E-3</v>
      </c>
      <c r="CI127" s="1300">
        <v>1.01E-2</v>
      </c>
      <c r="CJ127" s="1304">
        <v>6.4000000000000003E-3</v>
      </c>
      <c r="CK127" s="1240"/>
    </row>
    <row r="128" spans="9:89" ht="14.25" customHeight="1" x14ac:dyDescent="0.2">
      <c r="BO128" s="1239"/>
      <c r="BP128" s="1295"/>
      <c r="BQ128" s="1295">
        <v>52</v>
      </c>
      <c r="BR128" s="1302">
        <v>0.46529999999999999</v>
      </c>
      <c r="BS128" s="1303">
        <v>864.60519999999997</v>
      </c>
      <c r="BT128" s="1299">
        <v>1.0523</v>
      </c>
      <c r="BU128" s="1299">
        <v>1.3599999999999999E-2</v>
      </c>
      <c r="BV128" s="1299">
        <v>8.0999999999999996E-3</v>
      </c>
      <c r="BW128" s="1300">
        <v>4.0500000000000001E-2</v>
      </c>
      <c r="BX128" s="1304">
        <v>1.2999999999999999E-2</v>
      </c>
      <c r="BY128" s="1240"/>
      <c r="CA128" s="1239"/>
      <c r="CB128" s="1295"/>
      <c r="CC128" s="1295">
        <v>52</v>
      </c>
      <c r="CD128" s="1302">
        <v>0.11559999999999999</v>
      </c>
      <c r="CE128" s="1303">
        <v>571.19889999999998</v>
      </c>
      <c r="CF128" s="1299">
        <v>0.27189999999999998</v>
      </c>
      <c r="CG128" s="1299">
        <v>7.3000000000000001E-3</v>
      </c>
      <c r="CH128" s="1299">
        <v>5.3E-3</v>
      </c>
      <c r="CI128" s="1300">
        <v>9.7999999999999997E-3</v>
      </c>
      <c r="CJ128" s="1304">
        <v>7.0000000000000001E-3</v>
      </c>
      <c r="CK128" s="1240"/>
    </row>
    <row r="129" spans="9:89" ht="14.25" customHeight="1" x14ac:dyDescent="0.2">
      <c r="BO129" s="1239"/>
      <c r="BP129" s="1295"/>
      <c r="BQ129" s="1295">
        <v>53</v>
      </c>
      <c r="BR129" s="1302">
        <v>0.45100000000000001</v>
      </c>
      <c r="BS129" s="1303">
        <v>899.88480000000004</v>
      </c>
      <c r="BT129" s="1299">
        <v>1.0630999999999999</v>
      </c>
      <c r="BU129" s="1299">
        <v>1.4200000000000001E-2</v>
      </c>
      <c r="BV129" s="1299">
        <v>8.5000000000000006E-3</v>
      </c>
      <c r="BW129" s="1300">
        <v>3.8600000000000002E-2</v>
      </c>
      <c r="BX129" s="1304">
        <v>1.3599999999999999E-2</v>
      </c>
      <c r="BY129" s="1240"/>
      <c r="CA129" s="1239"/>
      <c r="CB129" s="1295"/>
      <c r="CC129" s="1295">
        <v>53</v>
      </c>
      <c r="CD129" s="1302">
        <v>0.1129</v>
      </c>
      <c r="CE129" s="1303">
        <v>597.42660000000001</v>
      </c>
      <c r="CF129" s="1299">
        <v>0.29020000000000001</v>
      </c>
      <c r="CG129" s="1299">
        <v>7.9000000000000008E-3</v>
      </c>
      <c r="CH129" s="1299">
        <v>5.5999999999999999E-3</v>
      </c>
      <c r="CI129" s="1300">
        <v>9.4000000000000004E-3</v>
      </c>
      <c r="CJ129" s="1304">
        <v>7.6E-3</v>
      </c>
      <c r="CK129" s="1240"/>
    </row>
    <row r="130" spans="9:89" ht="14.25" customHeight="1" x14ac:dyDescent="0.2">
      <c r="BO130" s="1239"/>
      <c r="BP130" s="1295"/>
      <c r="BQ130" s="1295">
        <v>54</v>
      </c>
      <c r="BR130" s="1302">
        <v>0.43709999999999999</v>
      </c>
      <c r="BS130" s="1303">
        <v>936.60400000000004</v>
      </c>
      <c r="BT130" s="1299">
        <v>1.0739000000000001</v>
      </c>
      <c r="BU130" s="1299">
        <v>1.49E-2</v>
      </c>
      <c r="BV130" s="1299">
        <v>8.8000000000000005E-3</v>
      </c>
      <c r="BW130" s="1300">
        <v>3.6900000000000002E-2</v>
      </c>
      <c r="BX130" s="1304">
        <v>1.4200000000000001E-2</v>
      </c>
      <c r="BY130" s="1240"/>
      <c r="CA130" s="1239"/>
      <c r="CB130" s="1295"/>
      <c r="CC130" s="1295">
        <v>54</v>
      </c>
      <c r="CD130" s="1302">
        <v>0.11020000000000001</v>
      </c>
      <c r="CE130" s="1303">
        <v>624.85850000000005</v>
      </c>
      <c r="CF130" s="1299">
        <v>0.30969999999999998</v>
      </c>
      <c r="CG130" s="1299">
        <v>8.6999999999999994E-3</v>
      </c>
      <c r="CH130" s="1299">
        <v>5.7999999999999996E-3</v>
      </c>
      <c r="CI130" s="1300">
        <v>9.1000000000000004E-3</v>
      </c>
      <c r="CJ130" s="1304">
        <v>8.3000000000000001E-3</v>
      </c>
      <c r="CK130" s="1240"/>
    </row>
    <row r="131" spans="9:89" ht="14.25" customHeight="1" x14ac:dyDescent="0.2">
      <c r="BO131" s="1239"/>
      <c r="BP131" s="1295"/>
      <c r="BQ131" s="1295">
        <v>55</v>
      </c>
      <c r="BR131" s="1302">
        <v>0.42359999999999998</v>
      </c>
      <c r="BS131" s="1303">
        <v>974.82159999999999</v>
      </c>
      <c r="BT131" s="1299">
        <v>1.0849</v>
      </c>
      <c r="BU131" s="1299">
        <v>1.55E-2</v>
      </c>
      <c r="BV131" s="1299">
        <v>9.1000000000000004E-3</v>
      </c>
      <c r="BW131" s="1300">
        <v>3.5200000000000002E-2</v>
      </c>
      <c r="BX131" s="1304">
        <v>1.4800000000000001E-2</v>
      </c>
      <c r="BY131" s="1240"/>
      <c r="CA131" s="1239"/>
      <c r="CB131" s="1295"/>
      <c r="CC131" s="1295">
        <v>55</v>
      </c>
      <c r="CD131" s="1302">
        <v>0.1076</v>
      </c>
      <c r="CE131" s="1303">
        <v>653.55010000000004</v>
      </c>
      <c r="CF131" s="1299">
        <v>0.3306</v>
      </c>
      <c r="CG131" s="1299">
        <v>9.4999999999999998E-3</v>
      </c>
      <c r="CH131" s="1299">
        <v>6.1000000000000004E-3</v>
      </c>
      <c r="CI131" s="1300">
        <v>8.8000000000000005E-3</v>
      </c>
      <c r="CJ131" s="1304">
        <v>9.1000000000000004E-3</v>
      </c>
      <c r="CK131" s="1240"/>
    </row>
    <row r="132" spans="9:89" ht="14.25" customHeight="1" x14ac:dyDescent="0.2">
      <c r="BO132" s="1239"/>
      <c r="BP132" s="1295"/>
      <c r="BQ132" s="1295">
        <v>56</v>
      </c>
      <c r="BR132" s="1302">
        <v>0.41</v>
      </c>
      <c r="BS132" s="1303">
        <v>1022.8646</v>
      </c>
      <c r="BT132" s="1299">
        <v>1.0831999999999999</v>
      </c>
      <c r="BU132" s="1299">
        <v>1.6400000000000001E-2</v>
      </c>
      <c r="BV132" s="1299">
        <v>9.5999999999999992E-3</v>
      </c>
      <c r="BW132" s="1300">
        <v>3.15E-2</v>
      </c>
      <c r="BX132" s="1304">
        <v>1.5699999999999999E-2</v>
      </c>
      <c r="BY132" s="1240"/>
      <c r="CA132" s="1239"/>
      <c r="CB132" s="1295"/>
      <c r="CC132" s="1295">
        <v>56</v>
      </c>
      <c r="CD132" s="1302">
        <v>0.1045</v>
      </c>
      <c r="CE132" s="1303">
        <v>686.27470000000005</v>
      </c>
      <c r="CF132" s="1299">
        <v>0.36480000000000001</v>
      </c>
      <c r="CG132" s="1299">
        <v>1.0500000000000001E-2</v>
      </c>
      <c r="CH132" s="1299">
        <v>6.4000000000000003E-3</v>
      </c>
      <c r="CI132" s="1300">
        <v>8.5000000000000006E-3</v>
      </c>
      <c r="CJ132" s="1304">
        <v>0.01</v>
      </c>
      <c r="CK132" s="1240"/>
    </row>
    <row r="133" spans="9:89" ht="14.25" customHeight="1" x14ac:dyDescent="0.25">
      <c r="AF133" s="650"/>
      <c r="AG133" s="650"/>
      <c r="AH133" s="1532"/>
      <c r="AI133" s="1532"/>
      <c r="AJ133" s="650"/>
      <c r="AK133" s="650"/>
      <c r="AL133" s="650"/>
      <c r="AM133" s="650"/>
      <c r="AN133" s="650"/>
      <c r="AO133" s="650"/>
      <c r="BO133" s="1239"/>
      <c r="BP133" s="1295"/>
      <c r="BQ133" s="1295">
        <v>57</v>
      </c>
      <c r="BR133" s="1302">
        <v>0.39689999999999998</v>
      </c>
      <c r="BS133" s="1303">
        <v>1073.2754</v>
      </c>
      <c r="BT133" s="1299">
        <v>1.0814999999999999</v>
      </c>
      <c r="BU133" s="1299">
        <v>1.7299999999999999E-2</v>
      </c>
      <c r="BV133" s="1299">
        <v>1.01E-2</v>
      </c>
      <c r="BW133" s="1300">
        <v>2.8199999999999999E-2</v>
      </c>
      <c r="BX133" s="1304">
        <v>1.6500000000000001E-2</v>
      </c>
      <c r="BY133" s="1240"/>
      <c r="CA133" s="1239"/>
      <c r="CB133" s="1295"/>
      <c r="CC133" s="1295">
        <v>57</v>
      </c>
      <c r="CD133" s="1302">
        <v>0.10150000000000001</v>
      </c>
      <c r="CE133" s="1303">
        <v>720.63789999999995</v>
      </c>
      <c r="CF133" s="1299">
        <v>0.40250000000000002</v>
      </c>
      <c r="CG133" s="1299">
        <v>1.1599999999999999E-2</v>
      </c>
      <c r="CH133" s="1299">
        <v>6.7000000000000002E-3</v>
      </c>
      <c r="CI133" s="1300">
        <v>8.3000000000000001E-3</v>
      </c>
      <c r="CJ133" s="1304">
        <v>1.11E-2</v>
      </c>
      <c r="CK133" s="1240"/>
    </row>
    <row r="134" spans="9:89" ht="14.25" customHeight="1" x14ac:dyDescent="0.25">
      <c r="AE134" s="650"/>
      <c r="AF134" s="650"/>
      <c r="AG134" s="650"/>
      <c r="AH134" s="650"/>
      <c r="AI134" s="650"/>
      <c r="AJ134" s="650"/>
      <c r="AK134" s="650"/>
      <c r="AL134" s="650"/>
      <c r="AM134" s="650"/>
      <c r="AN134" s="650"/>
      <c r="AO134" s="650"/>
      <c r="BO134" s="1239"/>
      <c r="BP134" s="1295"/>
      <c r="BQ134" s="1295">
        <v>58</v>
      </c>
      <c r="BR134" s="1302">
        <v>0.3841</v>
      </c>
      <c r="BS134" s="1303">
        <v>1126.1706999999999</v>
      </c>
      <c r="BT134" s="1299">
        <v>1.0797000000000001</v>
      </c>
      <c r="BU134" s="1299">
        <v>1.83E-2</v>
      </c>
      <c r="BV134" s="1299">
        <v>1.0500000000000001E-2</v>
      </c>
      <c r="BW134" s="1300">
        <v>2.52E-2</v>
      </c>
      <c r="BX134" s="1304">
        <v>1.7500000000000002E-2</v>
      </c>
      <c r="BY134" s="1240"/>
      <c r="CA134" s="1239"/>
      <c r="CB134" s="1295"/>
      <c r="CC134" s="1295">
        <v>58</v>
      </c>
      <c r="CD134" s="1302">
        <v>9.8599999999999993E-2</v>
      </c>
      <c r="CE134" s="1303">
        <v>756.72170000000006</v>
      </c>
      <c r="CF134" s="1299">
        <v>0.44419999999999998</v>
      </c>
      <c r="CG134" s="1299">
        <v>1.29E-2</v>
      </c>
      <c r="CH134" s="1299">
        <v>7.1000000000000004E-3</v>
      </c>
      <c r="CI134" s="1300">
        <v>8.0000000000000002E-3</v>
      </c>
      <c r="CJ134" s="1304">
        <v>1.23E-2</v>
      </c>
      <c r="CK134" s="1240"/>
    </row>
    <row r="135" spans="9:89" ht="14.25" customHeight="1" x14ac:dyDescent="0.25">
      <c r="AE135" s="650"/>
      <c r="AF135" s="650"/>
      <c r="AG135" s="650"/>
      <c r="AH135" s="650"/>
      <c r="AI135" s="650"/>
      <c r="AJ135" s="650"/>
      <c r="AK135" s="650"/>
      <c r="AL135" s="650"/>
      <c r="AM135" s="650"/>
      <c r="AN135" s="650"/>
      <c r="AO135" s="650"/>
      <c r="BO135" s="1239"/>
      <c r="BP135" s="1295"/>
      <c r="BQ135" s="1295">
        <v>59</v>
      </c>
      <c r="BR135" s="1302">
        <v>0.37180000000000002</v>
      </c>
      <c r="BS135" s="1303">
        <v>1181.6728000000001</v>
      </c>
      <c r="BT135" s="1299">
        <v>1.0780000000000001</v>
      </c>
      <c r="BU135" s="1299">
        <v>1.9300000000000001E-2</v>
      </c>
      <c r="BV135" s="1299">
        <v>1.11E-2</v>
      </c>
      <c r="BW135" s="1300">
        <v>2.2599999999999999E-2</v>
      </c>
      <c r="BX135" s="1304">
        <v>1.84E-2</v>
      </c>
      <c r="BY135" s="1240"/>
      <c r="CA135" s="1239"/>
      <c r="CB135" s="1295"/>
      <c r="CC135" s="1295">
        <v>59</v>
      </c>
      <c r="CD135" s="1302">
        <v>9.5699999999999993E-2</v>
      </c>
      <c r="CE135" s="1303">
        <v>794.6123</v>
      </c>
      <c r="CF135" s="1299">
        <v>0.49020000000000002</v>
      </c>
      <c r="CG135" s="1299">
        <v>1.43E-2</v>
      </c>
      <c r="CH135" s="1299">
        <v>7.4000000000000003E-3</v>
      </c>
      <c r="CI135" s="1300">
        <v>7.7999999999999996E-3</v>
      </c>
      <c r="CJ135" s="1304">
        <v>1.37E-2</v>
      </c>
      <c r="CK135" s="1240"/>
    </row>
    <row r="136" spans="9:89" ht="14.25" customHeight="1" x14ac:dyDescent="0.25">
      <c r="AE136" s="650"/>
      <c r="AF136" s="650"/>
      <c r="AG136" s="650"/>
      <c r="AH136" s="650"/>
      <c r="AI136" s="650"/>
      <c r="AJ136" s="650"/>
      <c r="AK136" s="650"/>
      <c r="AL136" s="650"/>
      <c r="AM136" s="650"/>
      <c r="AN136" s="650"/>
      <c r="AO136" s="650"/>
      <c r="BO136" s="1239"/>
      <c r="BP136" s="1295"/>
      <c r="BQ136" s="1295">
        <v>60</v>
      </c>
      <c r="BR136" s="1302">
        <v>0.3599</v>
      </c>
      <c r="BS136" s="1303">
        <v>1239.9103</v>
      </c>
      <c r="BT136" s="1299">
        <v>1.0763</v>
      </c>
      <c r="BU136" s="1299">
        <v>2.0299999999999999E-2</v>
      </c>
      <c r="BV136" s="1299">
        <v>1.1599999999999999E-2</v>
      </c>
      <c r="BW136" s="1300">
        <v>2.0199999999999999E-2</v>
      </c>
      <c r="BX136" s="1304">
        <v>1.95E-2</v>
      </c>
      <c r="BY136" s="1240"/>
      <c r="CA136" s="1239"/>
      <c r="CB136" s="1295"/>
      <c r="CC136" s="1295">
        <v>60</v>
      </c>
      <c r="CD136" s="1302">
        <v>9.2999999999999999E-2</v>
      </c>
      <c r="CE136" s="1303">
        <v>834.40020000000004</v>
      </c>
      <c r="CF136" s="1299">
        <v>0.54090000000000005</v>
      </c>
      <c r="CG136" s="1299">
        <v>1.5800000000000002E-2</v>
      </c>
      <c r="CH136" s="1299">
        <v>7.7999999999999996E-3</v>
      </c>
      <c r="CI136" s="1300">
        <v>7.6E-3</v>
      </c>
      <c r="CJ136" s="1304">
        <v>1.5100000000000001E-2</v>
      </c>
      <c r="CK136" s="1240"/>
    </row>
    <row r="137" spans="9:89" ht="14.25" customHeight="1" x14ac:dyDescent="0.25">
      <c r="AE137" s="650"/>
      <c r="AF137" s="1533"/>
      <c r="AG137" s="650"/>
      <c r="AH137" s="650"/>
      <c r="AI137" s="650"/>
      <c r="AJ137" s="650"/>
      <c r="AK137" s="650"/>
      <c r="AL137" s="650"/>
      <c r="AM137" s="650"/>
      <c r="AN137" s="650"/>
      <c r="AO137" s="650"/>
      <c r="BO137" s="1239"/>
      <c r="BP137" s="1295"/>
      <c r="BQ137" s="1295">
        <v>61</v>
      </c>
      <c r="BR137" s="1302">
        <v>0.35010000000000002</v>
      </c>
      <c r="BS137" s="1303">
        <v>1264.0963999999999</v>
      </c>
      <c r="BT137" s="1299">
        <v>1.1266</v>
      </c>
      <c r="BU137" s="1299">
        <v>2.1600000000000001E-2</v>
      </c>
      <c r="BV137" s="1299">
        <v>1.18E-2</v>
      </c>
      <c r="BW137" s="1300">
        <v>2.0199999999999999E-2</v>
      </c>
      <c r="BX137" s="1304">
        <v>2.06E-2</v>
      </c>
      <c r="BY137" s="1240"/>
      <c r="CA137" s="1239"/>
      <c r="CB137" s="1295"/>
      <c r="CC137" s="1295">
        <v>61</v>
      </c>
      <c r="CD137" s="1302">
        <v>9.1800000000000007E-2</v>
      </c>
      <c r="CE137" s="1303">
        <v>852.48789999999997</v>
      </c>
      <c r="CF137" s="1299">
        <v>0.58609999999999995</v>
      </c>
      <c r="CG137" s="1299">
        <v>1.6899999999999998E-2</v>
      </c>
      <c r="CH137" s="1299">
        <v>8.0000000000000002E-3</v>
      </c>
      <c r="CI137" s="1300">
        <v>7.7999999999999996E-3</v>
      </c>
      <c r="CJ137" s="1304">
        <v>1.6199999999999999E-2</v>
      </c>
      <c r="CK137" s="1240"/>
    </row>
    <row r="138" spans="9:89" ht="14.25" customHeight="1" x14ac:dyDescent="0.25">
      <c r="AE138" s="1534"/>
      <c r="AF138" s="650"/>
      <c r="AG138" s="650"/>
      <c r="AH138" s="650"/>
      <c r="AI138" s="650"/>
      <c r="AJ138" s="650"/>
      <c r="AK138" s="650"/>
      <c r="AL138" s="650"/>
      <c r="AM138" s="650"/>
      <c r="AN138" s="650"/>
      <c r="AO138" s="650"/>
      <c r="BO138" s="1239"/>
      <c r="BP138" s="1295"/>
      <c r="BQ138" s="1295">
        <v>62</v>
      </c>
      <c r="BR138" s="1302">
        <v>0.34060000000000001</v>
      </c>
      <c r="BS138" s="1303">
        <v>1288.7544</v>
      </c>
      <c r="BT138" s="1299">
        <v>1.1792</v>
      </c>
      <c r="BU138" s="1299">
        <v>2.29E-2</v>
      </c>
      <c r="BV138" s="1299">
        <v>1.21E-2</v>
      </c>
      <c r="BW138" s="1300">
        <v>2.01E-2</v>
      </c>
      <c r="BX138" s="1304">
        <v>2.1899999999999999E-2</v>
      </c>
      <c r="BY138" s="1240"/>
      <c r="CA138" s="1239"/>
      <c r="CB138" s="1295"/>
      <c r="CC138" s="1295">
        <v>62</v>
      </c>
      <c r="CD138" s="1302">
        <v>9.0700000000000003E-2</v>
      </c>
      <c r="CE138" s="1303">
        <v>870.96770000000004</v>
      </c>
      <c r="CF138" s="1299">
        <v>0.6351</v>
      </c>
      <c r="CG138" s="1299">
        <v>1.8100000000000002E-2</v>
      </c>
      <c r="CH138" s="1299">
        <v>8.2000000000000007E-3</v>
      </c>
      <c r="CI138" s="1300">
        <v>8.0999999999999996E-3</v>
      </c>
      <c r="CJ138" s="1304">
        <v>1.7299999999999999E-2</v>
      </c>
      <c r="CK138" s="1240"/>
    </row>
    <row r="139" spans="9:89" ht="14.25" customHeight="1" x14ac:dyDescent="0.25">
      <c r="AE139" s="650"/>
      <c r="AF139" s="650"/>
      <c r="AG139" s="650"/>
      <c r="AH139" s="650"/>
      <c r="AI139" s="650"/>
      <c r="AJ139" s="650"/>
      <c r="AK139" s="650"/>
      <c r="AL139" s="650"/>
      <c r="AM139" s="650"/>
      <c r="AN139" s="650"/>
      <c r="AO139" s="650"/>
      <c r="BO139" s="1239"/>
      <c r="BP139" s="1295"/>
      <c r="BQ139" s="1295">
        <v>63</v>
      </c>
      <c r="BR139" s="1302">
        <v>0.33129999999999998</v>
      </c>
      <c r="BS139" s="1303">
        <v>1313.8933</v>
      </c>
      <c r="BT139" s="1299">
        <v>1.2343</v>
      </c>
      <c r="BU139" s="1299">
        <v>2.4299999999999999E-2</v>
      </c>
      <c r="BV139" s="1299">
        <v>1.23E-2</v>
      </c>
      <c r="BW139" s="1300">
        <v>2.01E-2</v>
      </c>
      <c r="BX139" s="1304">
        <v>2.3199999999999998E-2</v>
      </c>
      <c r="BY139" s="1240"/>
      <c r="CA139" s="1239"/>
      <c r="CB139" s="1295"/>
      <c r="CC139" s="1295">
        <v>63</v>
      </c>
      <c r="CD139" s="1302">
        <v>8.9599999999999999E-2</v>
      </c>
      <c r="CE139" s="1303">
        <v>889.84810000000004</v>
      </c>
      <c r="CF139" s="1299">
        <v>0.68820000000000003</v>
      </c>
      <c r="CG139" s="1299">
        <v>1.9300000000000001E-2</v>
      </c>
      <c r="CH139" s="1299">
        <v>8.3000000000000001E-3</v>
      </c>
      <c r="CI139" s="1300">
        <v>8.3999999999999995E-3</v>
      </c>
      <c r="CJ139" s="1304">
        <v>1.8499999999999999E-2</v>
      </c>
      <c r="CK139" s="1240"/>
    </row>
    <row r="140" spans="9:89" ht="14.25" customHeight="1" x14ac:dyDescent="0.25">
      <c r="Y140" s="1532"/>
      <c r="Z140" s="1532"/>
      <c r="AA140" s="1532"/>
      <c r="AB140" s="1532"/>
      <c r="AC140" s="1532"/>
      <c r="AD140" s="650"/>
      <c r="AE140" s="650"/>
      <c r="AF140" s="650"/>
      <c r="AG140" s="650"/>
      <c r="AH140" s="650"/>
      <c r="AI140" s="650"/>
      <c r="AJ140" s="650"/>
      <c r="AK140" s="650"/>
      <c r="AL140" s="650"/>
      <c r="AM140" s="650"/>
      <c r="AN140" s="650"/>
      <c r="AO140" s="650"/>
      <c r="BO140" s="1239"/>
      <c r="BP140" s="1295"/>
      <c r="BQ140" s="1295">
        <v>64</v>
      </c>
      <c r="BR140" s="1302">
        <v>0.32229999999999998</v>
      </c>
      <c r="BS140" s="1303">
        <v>1339.5226</v>
      </c>
      <c r="BT140" s="1299">
        <v>1.292</v>
      </c>
      <c r="BU140" s="1299">
        <v>2.58E-2</v>
      </c>
      <c r="BV140" s="1299">
        <v>1.26E-2</v>
      </c>
      <c r="BW140" s="1300">
        <v>2.01E-2</v>
      </c>
      <c r="BX140" s="1304">
        <v>2.47E-2</v>
      </c>
      <c r="BY140" s="1240"/>
      <c r="CA140" s="1239"/>
      <c r="CB140" s="1295"/>
      <c r="CC140" s="1295">
        <v>64</v>
      </c>
      <c r="CD140" s="1302">
        <v>8.8499999999999995E-2</v>
      </c>
      <c r="CE140" s="1303">
        <v>909.1377</v>
      </c>
      <c r="CF140" s="1299">
        <v>0.74570000000000003</v>
      </c>
      <c r="CG140" s="1299">
        <v>2.06E-2</v>
      </c>
      <c r="CH140" s="1299">
        <v>8.5000000000000006E-3</v>
      </c>
      <c r="CI140" s="1300">
        <v>8.6E-3</v>
      </c>
      <c r="CJ140" s="1304">
        <v>1.9699999999999999E-2</v>
      </c>
      <c r="CK140" s="1240"/>
    </row>
    <row r="141" spans="9:89" ht="14.25" customHeight="1" x14ac:dyDescent="0.25">
      <c r="I141" s="1535"/>
      <c r="AD141" s="650"/>
      <c r="AE141" s="650"/>
      <c r="AF141" s="650"/>
      <c r="AG141" s="650"/>
      <c r="AH141" s="650"/>
      <c r="AI141" s="650"/>
      <c r="AJ141" s="650"/>
      <c r="AK141" s="650"/>
      <c r="AL141" s="650"/>
      <c r="AM141" s="650"/>
      <c r="AN141" s="650"/>
      <c r="AO141" s="650"/>
      <c r="BO141" s="1239"/>
      <c r="BP141" s="1295"/>
      <c r="BQ141" s="1295">
        <v>65</v>
      </c>
      <c r="BR141" s="1302">
        <v>0.3135</v>
      </c>
      <c r="BS141" s="1303">
        <v>1365.6518000000001</v>
      </c>
      <c r="BT141" s="1299">
        <v>1.3524</v>
      </c>
      <c r="BU141" s="1299">
        <v>2.7400000000000001E-2</v>
      </c>
      <c r="BV141" s="1299">
        <v>1.2800000000000001E-2</v>
      </c>
      <c r="BW141" s="1300">
        <v>0.02</v>
      </c>
      <c r="BX141" s="1304">
        <v>2.6200000000000001E-2</v>
      </c>
      <c r="BY141" s="1240"/>
      <c r="CA141" s="1239"/>
      <c r="CB141" s="1295"/>
      <c r="CC141" s="1295">
        <v>65</v>
      </c>
      <c r="CD141" s="1302">
        <v>8.7400000000000005E-2</v>
      </c>
      <c r="CE141" s="1303">
        <v>928.84559999999999</v>
      </c>
      <c r="CF141" s="1299">
        <v>0.80810000000000004</v>
      </c>
      <c r="CG141" s="1299">
        <v>2.1999999999999999E-2</v>
      </c>
      <c r="CH141" s="1299">
        <v>8.6999999999999994E-3</v>
      </c>
      <c r="CI141" s="1300">
        <v>8.8999999999999999E-3</v>
      </c>
      <c r="CJ141" s="1304">
        <v>2.1100000000000001E-2</v>
      </c>
      <c r="CK141" s="1240"/>
    </row>
    <row r="142" spans="9:89" ht="14.25" customHeight="1" x14ac:dyDescent="0.25">
      <c r="AD142" s="650"/>
      <c r="AE142" s="650"/>
      <c r="AF142" s="650"/>
      <c r="BO142" s="1239"/>
      <c r="BP142" s="1295"/>
      <c r="BQ142" s="1295">
        <v>66</v>
      </c>
      <c r="BR142" s="1302">
        <v>0.31309999999999999</v>
      </c>
      <c r="BS142" s="1303">
        <v>1350.2911999999999</v>
      </c>
      <c r="BT142" s="1299">
        <v>1.3589</v>
      </c>
      <c r="BU142" s="1299">
        <v>2.76E-2</v>
      </c>
      <c r="BV142" s="1299">
        <v>1.2699999999999999E-2</v>
      </c>
      <c r="BW142" s="1300">
        <v>2.0899999999999998E-2</v>
      </c>
      <c r="BX142" s="1304">
        <v>2.64E-2</v>
      </c>
      <c r="BY142" s="1240"/>
      <c r="CA142" s="1239"/>
      <c r="CB142" s="1295"/>
      <c r="CC142" s="1295">
        <v>66</v>
      </c>
      <c r="CD142" s="1302">
        <v>8.6599999999999996E-2</v>
      </c>
      <c r="CE142" s="1303">
        <v>929.4837</v>
      </c>
      <c r="CF142" s="1299">
        <v>0.8155</v>
      </c>
      <c r="CG142" s="1299">
        <v>2.23E-2</v>
      </c>
      <c r="CH142" s="1299">
        <v>8.6999999999999994E-3</v>
      </c>
      <c r="CI142" s="1300">
        <v>9.1000000000000004E-3</v>
      </c>
      <c r="CJ142" s="1304">
        <v>2.1299999999999999E-2</v>
      </c>
      <c r="CK142" s="1240"/>
    </row>
    <row r="143" spans="9:89" ht="14.25" customHeight="1" x14ac:dyDescent="0.25">
      <c r="Y143" s="650"/>
      <c r="Z143" s="650"/>
      <c r="AA143" s="650"/>
      <c r="AB143" s="650"/>
      <c r="AC143" s="650"/>
      <c r="AD143" s="650"/>
      <c r="BO143" s="1239"/>
      <c r="BP143" s="1295"/>
      <c r="BQ143" s="1295">
        <v>67</v>
      </c>
      <c r="BR143" s="1302">
        <v>0.31269999999999998</v>
      </c>
      <c r="BS143" s="1303">
        <v>1335.1033</v>
      </c>
      <c r="BT143" s="1299">
        <v>1.3654999999999999</v>
      </c>
      <c r="BU143" s="1299">
        <v>2.7799999999999998E-2</v>
      </c>
      <c r="BV143" s="1299">
        <v>1.2500000000000001E-2</v>
      </c>
      <c r="BW143" s="1300">
        <v>2.18E-2</v>
      </c>
      <c r="BX143" s="1304">
        <v>2.6599999999999999E-2</v>
      </c>
      <c r="BY143" s="1240"/>
      <c r="CA143" s="1239"/>
      <c r="CB143" s="1295"/>
      <c r="CC143" s="1295">
        <v>67</v>
      </c>
      <c r="CD143" s="1302">
        <v>8.5800000000000001E-2</v>
      </c>
      <c r="CE143" s="1303">
        <v>930.12239999999997</v>
      </c>
      <c r="CF143" s="1299">
        <v>0.82299999999999995</v>
      </c>
      <c r="CG143" s="1299">
        <v>2.2499999999999999E-2</v>
      </c>
      <c r="CH143" s="1299">
        <v>8.6999999999999994E-3</v>
      </c>
      <c r="CI143" s="1300">
        <v>9.1999999999999998E-3</v>
      </c>
      <c r="CJ143" s="1304">
        <v>2.1600000000000001E-2</v>
      </c>
      <c r="CK143" s="1240"/>
    </row>
    <row r="144" spans="9:89" ht="14.25" customHeight="1" x14ac:dyDescent="0.2">
      <c r="BO144" s="1239"/>
      <c r="BP144" s="1295"/>
      <c r="BQ144" s="1295">
        <v>68</v>
      </c>
      <c r="BR144" s="1302">
        <v>0.31240000000000001</v>
      </c>
      <c r="BS144" s="1303">
        <v>1320.0862</v>
      </c>
      <c r="BT144" s="1299">
        <v>1.3722000000000001</v>
      </c>
      <c r="BU144" s="1299">
        <v>2.81E-2</v>
      </c>
      <c r="BV144" s="1299">
        <v>1.24E-2</v>
      </c>
      <c r="BW144" s="1300">
        <v>2.2800000000000001E-2</v>
      </c>
      <c r="BX144" s="1304">
        <v>2.69E-2</v>
      </c>
      <c r="BY144" s="1240"/>
      <c r="CA144" s="1239"/>
      <c r="CB144" s="1295"/>
      <c r="CC144" s="1295">
        <v>68</v>
      </c>
      <c r="CD144" s="1302">
        <v>8.5000000000000006E-2</v>
      </c>
      <c r="CE144" s="1303">
        <v>930.76139999999998</v>
      </c>
      <c r="CF144" s="1299">
        <v>0.8306</v>
      </c>
      <c r="CG144" s="1299">
        <v>2.2800000000000001E-2</v>
      </c>
      <c r="CH144" s="1299">
        <v>8.6999999999999994E-3</v>
      </c>
      <c r="CI144" s="1300">
        <v>9.4000000000000004E-3</v>
      </c>
      <c r="CJ144" s="1304">
        <v>2.18E-2</v>
      </c>
      <c r="CK144" s="1240"/>
    </row>
    <row r="145" spans="8:89" ht="14.25" customHeight="1" x14ac:dyDescent="0.2">
      <c r="BO145" s="1239"/>
      <c r="BP145" s="1295"/>
      <c r="BQ145" s="1295">
        <v>69</v>
      </c>
      <c r="BR145" s="1302">
        <v>0.312</v>
      </c>
      <c r="BS145" s="1303">
        <v>1305.2381</v>
      </c>
      <c r="BT145" s="1299">
        <v>1.3788</v>
      </c>
      <c r="BU145" s="1299">
        <v>2.8299999999999999E-2</v>
      </c>
      <c r="BV145" s="1299">
        <v>1.23E-2</v>
      </c>
      <c r="BW145" s="1300">
        <v>2.3800000000000002E-2</v>
      </c>
      <c r="BX145" s="1304">
        <v>2.7099999999999999E-2</v>
      </c>
      <c r="BY145" s="1240"/>
      <c r="CA145" s="1239"/>
      <c r="CB145" s="1295"/>
      <c r="CC145" s="1295">
        <v>69</v>
      </c>
      <c r="CD145" s="1302">
        <v>8.4199999999999997E-2</v>
      </c>
      <c r="CE145" s="1303">
        <v>931.40089999999998</v>
      </c>
      <c r="CF145" s="1299">
        <v>0.83830000000000005</v>
      </c>
      <c r="CG145" s="1299">
        <v>2.3E-2</v>
      </c>
      <c r="CH145" s="1299">
        <v>8.8000000000000005E-3</v>
      </c>
      <c r="CI145" s="1300">
        <v>9.4999999999999998E-3</v>
      </c>
      <c r="CJ145" s="1304">
        <v>2.1999999999999999E-2</v>
      </c>
      <c r="CK145" s="1240"/>
    </row>
    <row r="146" spans="8:89" ht="14.25" customHeight="1" x14ac:dyDescent="0.2">
      <c r="BO146" s="1239"/>
      <c r="BP146" s="1295"/>
      <c r="BQ146" s="1295">
        <v>70</v>
      </c>
      <c r="BR146" s="1302">
        <v>0.31159999999999999</v>
      </c>
      <c r="BS146" s="1303">
        <v>1290.5569</v>
      </c>
      <c r="BT146" s="1299">
        <v>1.3855</v>
      </c>
      <c r="BU146" s="1299">
        <v>2.86E-2</v>
      </c>
      <c r="BV146" s="1299">
        <v>1.2200000000000001E-2</v>
      </c>
      <c r="BW146" s="1300">
        <v>2.4799999999999999E-2</v>
      </c>
      <c r="BX146" s="1304">
        <v>2.7300000000000001E-2</v>
      </c>
      <c r="BY146" s="1240"/>
      <c r="CA146" s="1239"/>
      <c r="CB146" s="1295"/>
      <c r="CC146" s="1295">
        <v>70</v>
      </c>
      <c r="CD146" s="1302">
        <v>8.3400000000000002E-2</v>
      </c>
      <c r="CE146" s="1303">
        <v>932.04079999999999</v>
      </c>
      <c r="CF146" s="1299">
        <v>0.84599999999999997</v>
      </c>
      <c r="CG146" s="1299">
        <v>2.3300000000000001E-2</v>
      </c>
      <c r="CH146" s="1299">
        <v>8.8000000000000005E-3</v>
      </c>
      <c r="CI146" s="1300">
        <v>9.7000000000000003E-3</v>
      </c>
      <c r="CJ146" s="1304">
        <v>2.23E-2</v>
      </c>
      <c r="CK146" s="1240"/>
    </row>
    <row r="147" spans="8:89" ht="14.25" customHeight="1" x14ac:dyDescent="0.2">
      <c r="I147" s="1535"/>
      <c r="BO147" s="1239"/>
      <c r="BP147" s="1295"/>
      <c r="BQ147" s="1421"/>
      <c r="BR147" s="1302"/>
      <c r="BS147" s="1303"/>
      <c r="BT147" s="1299"/>
      <c r="BU147" s="1299"/>
      <c r="BV147" s="1299"/>
      <c r="BW147" s="1300"/>
      <c r="BX147" s="1304"/>
      <c r="BY147" s="1240"/>
      <c r="CA147" s="1239"/>
      <c r="CB147" s="1295"/>
      <c r="CC147" s="1421"/>
      <c r="CD147" s="1302"/>
      <c r="CE147" s="1303"/>
      <c r="CF147" s="1299"/>
      <c r="CG147" s="1299"/>
      <c r="CH147" s="1299"/>
      <c r="CI147" s="1300"/>
      <c r="CJ147" s="1304"/>
      <c r="CK147" s="1240"/>
    </row>
    <row r="148" spans="8:89" ht="14.25" customHeight="1" x14ac:dyDescent="0.2">
      <c r="BO148" s="1239"/>
      <c r="BP148" s="1295" t="s">
        <v>442</v>
      </c>
      <c r="BQ148" s="1295">
        <v>0</v>
      </c>
      <c r="BR148" s="1302">
        <v>1.7524</v>
      </c>
      <c r="BS148" s="1303">
        <v>13.2318</v>
      </c>
      <c r="BT148" s="1299">
        <v>0.53969999999999996</v>
      </c>
      <c r="BU148" s="1299">
        <v>1E-4</v>
      </c>
      <c r="BV148" s="1299">
        <v>1E-4</v>
      </c>
      <c r="BW148" s="1300">
        <v>8.1500000000000003E-2</v>
      </c>
      <c r="BX148" s="1304">
        <v>1E-4</v>
      </c>
      <c r="BY148" s="1240"/>
      <c r="CA148" s="1239"/>
      <c r="CB148" s="1295" t="s">
        <v>442</v>
      </c>
      <c r="CC148" s="1295">
        <v>0</v>
      </c>
      <c r="CD148" s="1302">
        <v>0.75390000000000001</v>
      </c>
      <c r="CE148" s="1303">
        <v>6.0008999999999997</v>
      </c>
      <c r="CF148" s="1299">
        <v>0.39250000000000002</v>
      </c>
      <c r="CG148" s="1299">
        <v>1E-4</v>
      </c>
      <c r="CH148" s="1299">
        <v>1E-4</v>
      </c>
      <c r="CI148" s="1300">
        <v>3.6299999999999999E-2</v>
      </c>
      <c r="CJ148" s="1304">
        <v>1E-4</v>
      </c>
      <c r="CK148" s="1240"/>
    </row>
    <row r="149" spans="8:89" ht="14.25" customHeight="1" x14ac:dyDescent="0.2">
      <c r="BO149" s="1239"/>
      <c r="BP149" s="1295"/>
      <c r="BQ149" s="1295">
        <v>5</v>
      </c>
      <c r="BR149" s="1302">
        <v>31.963799999999999</v>
      </c>
      <c r="BS149" s="1303">
        <v>5318.2891</v>
      </c>
      <c r="BT149" s="1299">
        <v>4.1913</v>
      </c>
      <c r="BU149" s="1299">
        <v>3.85E-2</v>
      </c>
      <c r="BV149" s="1299">
        <v>1.6199999999999999E-2</v>
      </c>
      <c r="BW149" s="1300">
        <v>0.35499999999999998</v>
      </c>
      <c r="BX149" s="1304">
        <v>3.6799999999999999E-2</v>
      </c>
      <c r="BY149" s="1240"/>
      <c r="CA149" s="1239"/>
      <c r="CB149" s="1295"/>
      <c r="CC149" s="1295">
        <v>5</v>
      </c>
      <c r="CD149" s="1302">
        <v>4.4132999999999996</v>
      </c>
      <c r="CE149" s="1303">
        <v>1358.904</v>
      </c>
      <c r="CF149" s="1299">
        <v>0.86209999999999998</v>
      </c>
      <c r="CG149" s="1299">
        <v>5.5999999999999999E-3</v>
      </c>
      <c r="CH149" s="1299">
        <v>8.3000000000000001E-3</v>
      </c>
      <c r="CI149" s="1300">
        <v>6.9400000000000003E-2</v>
      </c>
      <c r="CJ149" s="1304">
        <v>5.3E-3</v>
      </c>
      <c r="CK149" s="1240"/>
    </row>
    <row r="150" spans="8:89" ht="14.25" customHeight="1" x14ac:dyDescent="0.2">
      <c r="BO150" s="1239"/>
      <c r="BP150" s="1295"/>
      <c r="BQ150" s="1295">
        <v>6</v>
      </c>
      <c r="BR150" s="1302">
        <v>29.962599999999998</v>
      </c>
      <c r="BS150" s="1303">
        <v>4954.2772999999997</v>
      </c>
      <c r="BT150" s="1299">
        <v>3.8723000000000001</v>
      </c>
      <c r="BU150" s="1299">
        <v>3.6200000000000003E-2</v>
      </c>
      <c r="BV150" s="1299">
        <v>1.5699999999999999E-2</v>
      </c>
      <c r="BW150" s="1300">
        <v>0.32640000000000002</v>
      </c>
      <c r="BX150" s="1304">
        <v>3.4599999999999999E-2</v>
      </c>
      <c r="BY150" s="1240"/>
      <c r="CA150" s="1239"/>
      <c r="CB150" s="1295"/>
      <c r="CC150" s="1295">
        <v>6</v>
      </c>
      <c r="CD150" s="1302">
        <v>3.5421999999999998</v>
      </c>
      <c r="CE150" s="1303">
        <v>1229.3096</v>
      </c>
      <c r="CF150" s="1299">
        <v>0.79279999999999995</v>
      </c>
      <c r="CG150" s="1299">
        <v>5.1999999999999998E-3</v>
      </c>
      <c r="CH150" s="1299">
        <v>7.9000000000000008E-3</v>
      </c>
      <c r="CI150" s="1300">
        <v>6.0999999999999999E-2</v>
      </c>
      <c r="CJ150" s="1304">
        <v>4.8999999999999998E-3</v>
      </c>
      <c r="CK150" s="1240"/>
    </row>
    <row r="151" spans="8:89" ht="14.25" customHeight="1" x14ac:dyDescent="0.2">
      <c r="BO151" s="1239"/>
      <c r="BP151" s="1295"/>
      <c r="BQ151" s="1295">
        <v>7</v>
      </c>
      <c r="BR151" s="1302">
        <v>28.0868</v>
      </c>
      <c r="BS151" s="1303">
        <v>4615.1803</v>
      </c>
      <c r="BT151" s="1299">
        <v>3.5775999999999999</v>
      </c>
      <c r="BU151" s="1299">
        <v>3.4099999999999998E-2</v>
      </c>
      <c r="BV151" s="1299">
        <v>1.5299999999999999E-2</v>
      </c>
      <c r="BW151" s="1300">
        <v>0.3</v>
      </c>
      <c r="BX151" s="1304">
        <v>3.2500000000000001E-2</v>
      </c>
      <c r="BY151" s="1240"/>
      <c r="CA151" s="1239"/>
      <c r="CB151" s="1295"/>
      <c r="CC151" s="1295">
        <v>7</v>
      </c>
      <c r="CD151" s="1302">
        <v>2.8431000000000002</v>
      </c>
      <c r="CE151" s="1303">
        <v>1112.0741</v>
      </c>
      <c r="CF151" s="1299">
        <v>0.72899999999999998</v>
      </c>
      <c r="CG151" s="1299">
        <v>4.7999999999999996E-3</v>
      </c>
      <c r="CH151" s="1299">
        <v>7.4999999999999997E-3</v>
      </c>
      <c r="CI151" s="1300">
        <v>5.3699999999999998E-2</v>
      </c>
      <c r="CJ151" s="1304">
        <v>4.5999999999999999E-3</v>
      </c>
      <c r="CK151" s="1240"/>
    </row>
    <row r="152" spans="8:89" ht="14.25" customHeight="1" x14ac:dyDescent="0.2">
      <c r="BO152" s="1239"/>
      <c r="BP152" s="1295"/>
      <c r="BQ152" s="1295">
        <v>8</v>
      </c>
      <c r="BR152" s="1302">
        <v>26.328399999999998</v>
      </c>
      <c r="BS152" s="1303">
        <v>4299.2929000000004</v>
      </c>
      <c r="BT152" s="1299">
        <v>3.3052999999999999</v>
      </c>
      <c r="BU152" s="1299">
        <v>3.2000000000000001E-2</v>
      </c>
      <c r="BV152" s="1299">
        <v>1.49E-2</v>
      </c>
      <c r="BW152" s="1300">
        <v>0.27579999999999999</v>
      </c>
      <c r="BX152" s="1304">
        <v>3.0599999999999999E-2</v>
      </c>
      <c r="BY152" s="1240"/>
      <c r="CA152" s="1239"/>
      <c r="CB152" s="1295"/>
      <c r="CC152" s="1295">
        <v>8</v>
      </c>
      <c r="CD152" s="1302">
        <v>2.282</v>
      </c>
      <c r="CE152" s="1303">
        <v>1006.0191</v>
      </c>
      <c r="CF152" s="1299">
        <v>0.6704</v>
      </c>
      <c r="CG152" s="1299">
        <v>4.4999999999999997E-3</v>
      </c>
      <c r="CH152" s="1299">
        <v>7.1000000000000004E-3</v>
      </c>
      <c r="CI152" s="1300">
        <v>4.7199999999999999E-2</v>
      </c>
      <c r="CJ152" s="1304">
        <v>4.1999999999999997E-3</v>
      </c>
      <c r="CK152" s="1240"/>
    </row>
    <row r="153" spans="8:89" ht="14.25" customHeight="1" x14ac:dyDescent="0.2">
      <c r="BO153" s="1239"/>
      <c r="BP153" s="1295"/>
      <c r="BQ153" s="1295">
        <v>9</v>
      </c>
      <c r="BR153" s="1302">
        <v>24.680099999999999</v>
      </c>
      <c r="BS153" s="1303">
        <v>4005.0264999999999</v>
      </c>
      <c r="BT153" s="1299">
        <v>3.0537000000000001</v>
      </c>
      <c r="BU153" s="1299">
        <v>3.0099999999999998E-2</v>
      </c>
      <c r="BV153" s="1299">
        <v>1.4500000000000001E-2</v>
      </c>
      <c r="BW153" s="1300">
        <v>0.25359999999999999</v>
      </c>
      <c r="BX153" s="1304">
        <v>2.87E-2</v>
      </c>
      <c r="BY153" s="1240"/>
      <c r="CA153" s="1239"/>
      <c r="CB153" s="1295"/>
      <c r="CC153" s="1295">
        <v>9</v>
      </c>
      <c r="CD153" s="1302">
        <v>1.8315999999999999</v>
      </c>
      <c r="CE153" s="1303">
        <v>910.07820000000004</v>
      </c>
      <c r="CF153" s="1299">
        <v>0.61650000000000005</v>
      </c>
      <c r="CG153" s="1299">
        <v>4.1999999999999997E-3</v>
      </c>
      <c r="CH153" s="1299">
        <v>6.7000000000000002E-3</v>
      </c>
      <c r="CI153" s="1300">
        <v>4.1500000000000002E-2</v>
      </c>
      <c r="CJ153" s="1304">
        <v>3.8999999999999998E-3</v>
      </c>
      <c r="CK153" s="1240"/>
    </row>
    <row r="154" spans="8:89" ht="14.25" customHeight="1" x14ac:dyDescent="0.2">
      <c r="BO154" s="1239"/>
      <c r="BP154" s="1295"/>
      <c r="BQ154" s="1295">
        <v>10</v>
      </c>
      <c r="BR154" s="1302">
        <v>23.134899999999998</v>
      </c>
      <c r="BS154" s="1303">
        <v>3730.9013</v>
      </c>
      <c r="BT154" s="1299">
        <v>2.8212999999999999</v>
      </c>
      <c r="BU154" s="1299">
        <v>2.8299999999999999E-2</v>
      </c>
      <c r="BV154" s="1299">
        <v>1.41E-2</v>
      </c>
      <c r="BW154" s="1300">
        <v>0.2331</v>
      </c>
      <c r="BX154" s="1304">
        <v>2.7E-2</v>
      </c>
      <c r="BY154" s="1240"/>
      <c r="CA154" s="1239"/>
      <c r="CB154" s="1295"/>
      <c r="CC154" s="1295">
        <v>10</v>
      </c>
      <c r="CD154" s="1302">
        <v>1.4701</v>
      </c>
      <c r="CE154" s="1303">
        <v>823.28679999999997</v>
      </c>
      <c r="CF154" s="1299">
        <v>0.56689999999999996</v>
      </c>
      <c r="CG154" s="1299">
        <v>3.8999999999999998E-3</v>
      </c>
      <c r="CH154" s="1299">
        <v>6.3E-3</v>
      </c>
      <c r="CI154" s="1300">
        <v>3.6499999999999998E-2</v>
      </c>
      <c r="CJ154" s="1304">
        <v>3.7000000000000002E-3</v>
      </c>
      <c r="CK154" s="1240"/>
    </row>
    <row r="155" spans="8:89" ht="14.25" customHeight="1" x14ac:dyDescent="0.2">
      <c r="BO155" s="1239"/>
      <c r="BP155" s="1295"/>
      <c r="BQ155" s="1295">
        <v>11</v>
      </c>
      <c r="BR155" s="1302">
        <v>21.849900000000002</v>
      </c>
      <c r="BS155" s="1303">
        <v>3416.1437999999998</v>
      </c>
      <c r="BT155" s="1299">
        <v>2.5832999999999999</v>
      </c>
      <c r="BU155" s="1299">
        <v>2.53E-2</v>
      </c>
      <c r="BV155" s="1299">
        <v>1.3299999999999999E-2</v>
      </c>
      <c r="BW155" s="1300">
        <v>0.2059</v>
      </c>
      <c r="BX155" s="1304">
        <v>2.41E-2</v>
      </c>
      <c r="BY155" s="1240"/>
      <c r="CA155" s="1239"/>
      <c r="CB155" s="1295"/>
      <c r="CC155" s="1295">
        <v>11</v>
      </c>
      <c r="CD155" s="1302">
        <v>1.2748999999999999</v>
      </c>
      <c r="CE155" s="1303">
        <v>759.99680000000001</v>
      </c>
      <c r="CF155" s="1299">
        <v>0.50470000000000004</v>
      </c>
      <c r="CG155" s="1299">
        <v>3.5000000000000001E-3</v>
      </c>
      <c r="CH155" s="1299">
        <v>5.8999999999999999E-3</v>
      </c>
      <c r="CI155" s="1300">
        <v>3.0800000000000001E-2</v>
      </c>
      <c r="CJ155" s="1304">
        <v>3.3E-3</v>
      </c>
      <c r="CK155" s="1240"/>
    </row>
    <row r="156" spans="8:89" ht="14.25" customHeight="1" x14ac:dyDescent="0.2">
      <c r="BO156" s="1239"/>
      <c r="BP156" s="1295"/>
      <c r="BQ156" s="1295">
        <v>12</v>
      </c>
      <c r="BR156" s="1302">
        <v>20.636199999999999</v>
      </c>
      <c r="BS156" s="1303">
        <v>3127.9409000000001</v>
      </c>
      <c r="BT156" s="1299">
        <v>2.3654999999999999</v>
      </c>
      <c r="BU156" s="1299">
        <v>2.2599999999999999E-2</v>
      </c>
      <c r="BV156" s="1299">
        <v>1.2699999999999999E-2</v>
      </c>
      <c r="BW156" s="1300">
        <v>0.18190000000000001</v>
      </c>
      <c r="BX156" s="1304">
        <v>2.1600000000000001E-2</v>
      </c>
      <c r="BY156" s="1240"/>
      <c r="CA156" s="1239"/>
      <c r="CB156" s="1295"/>
      <c r="CC156" s="1295">
        <v>12</v>
      </c>
      <c r="CD156" s="1302">
        <v>1.1055999999999999</v>
      </c>
      <c r="CE156" s="1303">
        <v>701.57209999999998</v>
      </c>
      <c r="CF156" s="1299">
        <v>0.44929999999999998</v>
      </c>
      <c r="CG156" s="1299">
        <v>3.0999999999999999E-3</v>
      </c>
      <c r="CH156" s="1299">
        <v>5.4999999999999997E-3</v>
      </c>
      <c r="CI156" s="1300">
        <v>2.5899999999999999E-2</v>
      </c>
      <c r="CJ156" s="1304">
        <v>2.8999999999999998E-3</v>
      </c>
      <c r="CK156" s="1240"/>
    </row>
    <row r="157" spans="8:89" ht="14.25" customHeight="1" x14ac:dyDescent="0.2">
      <c r="H157" s="651"/>
      <c r="BO157" s="1239"/>
      <c r="BP157" s="1295"/>
      <c r="BQ157" s="1295">
        <v>13</v>
      </c>
      <c r="BR157" s="1302">
        <v>19.489899999999999</v>
      </c>
      <c r="BS157" s="1303">
        <v>2864.0522000000001</v>
      </c>
      <c r="BT157" s="1299">
        <v>2.1659999999999999</v>
      </c>
      <c r="BU157" s="1299">
        <v>2.0199999999999999E-2</v>
      </c>
      <c r="BV157" s="1299">
        <v>1.2E-2</v>
      </c>
      <c r="BW157" s="1300">
        <v>0.16059999999999999</v>
      </c>
      <c r="BX157" s="1304">
        <v>1.9300000000000001E-2</v>
      </c>
      <c r="BY157" s="1240"/>
      <c r="CA157" s="1239"/>
      <c r="CB157" s="1295"/>
      <c r="CC157" s="1295">
        <v>13</v>
      </c>
      <c r="CD157" s="1302">
        <v>0.95879999999999999</v>
      </c>
      <c r="CE157" s="1303">
        <v>647.63879999999995</v>
      </c>
      <c r="CF157" s="1299">
        <v>0.4</v>
      </c>
      <c r="CG157" s="1299">
        <v>2.8E-3</v>
      </c>
      <c r="CH157" s="1299">
        <v>5.1999999999999998E-3</v>
      </c>
      <c r="CI157" s="1300">
        <v>2.1899999999999999E-2</v>
      </c>
      <c r="CJ157" s="1304">
        <v>2.5999999999999999E-3</v>
      </c>
      <c r="CK157" s="1240"/>
    </row>
    <row r="158" spans="8:89" ht="14.25" customHeight="1" x14ac:dyDescent="0.2">
      <c r="H158" s="651"/>
      <c r="BO158" s="1239"/>
      <c r="BP158" s="1295"/>
      <c r="BQ158" s="1295">
        <v>14</v>
      </c>
      <c r="BR158" s="1302">
        <v>18.407299999999999</v>
      </c>
      <c r="BS158" s="1303">
        <v>2622.4265</v>
      </c>
      <c r="BT158" s="1299">
        <v>1.9833000000000001</v>
      </c>
      <c r="BU158" s="1299">
        <v>1.7999999999999999E-2</v>
      </c>
      <c r="BV158" s="1299">
        <v>1.14E-2</v>
      </c>
      <c r="BW158" s="1300">
        <v>0.1419</v>
      </c>
      <c r="BX158" s="1304">
        <v>1.72E-2</v>
      </c>
      <c r="BY158" s="1240"/>
      <c r="CA158" s="1239"/>
      <c r="CB158" s="1295"/>
      <c r="CC158" s="1295">
        <v>14</v>
      </c>
      <c r="CD158" s="1302">
        <v>0.83150000000000002</v>
      </c>
      <c r="CE158" s="1303">
        <v>597.85170000000005</v>
      </c>
      <c r="CF158" s="1299">
        <v>0.35610000000000003</v>
      </c>
      <c r="CG158" s="1299">
        <v>2.5000000000000001E-3</v>
      </c>
      <c r="CH158" s="1299">
        <v>4.7999999999999996E-3</v>
      </c>
      <c r="CI158" s="1300">
        <v>1.84E-2</v>
      </c>
      <c r="CJ158" s="1304">
        <v>2.3999999999999998E-3</v>
      </c>
      <c r="CK158" s="1240"/>
    </row>
    <row r="159" spans="8:89" ht="14.25" customHeight="1" x14ac:dyDescent="0.2">
      <c r="H159" s="651"/>
      <c r="I159" s="1536"/>
      <c r="BO159" s="1239"/>
      <c r="BP159" s="1295"/>
      <c r="BQ159" s="1295">
        <v>15</v>
      </c>
      <c r="BR159" s="1302">
        <v>17.384799999999998</v>
      </c>
      <c r="BS159" s="1303">
        <v>2401.1855</v>
      </c>
      <c r="BT159" s="1299">
        <v>1.8160000000000001</v>
      </c>
      <c r="BU159" s="1299">
        <v>1.61E-2</v>
      </c>
      <c r="BV159" s="1299">
        <v>1.0800000000000001E-2</v>
      </c>
      <c r="BW159" s="1300">
        <v>0.12529999999999999</v>
      </c>
      <c r="BX159" s="1304">
        <v>1.54E-2</v>
      </c>
      <c r="BY159" s="1240"/>
      <c r="CA159" s="1239"/>
      <c r="CB159" s="1295"/>
      <c r="CC159" s="1295">
        <v>15</v>
      </c>
      <c r="CD159" s="1302">
        <v>0.72109999999999996</v>
      </c>
      <c r="CE159" s="1303">
        <v>551.89189999999996</v>
      </c>
      <c r="CF159" s="1299">
        <v>0.31709999999999999</v>
      </c>
      <c r="CG159" s="1299">
        <v>2.2000000000000001E-3</v>
      </c>
      <c r="CH159" s="1299">
        <v>4.4999999999999997E-3</v>
      </c>
      <c r="CI159" s="1300">
        <v>1.55E-2</v>
      </c>
      <c r="CJ159" s="1304">
        <v>2.0999999999999999E-3</v>
      </c>
      <c r="CK159" s="1240"/>
    </row>
    <row r="160" spans="8:89" ht="14.25" customHeight="1" x14ac:dyDescent="0.2">
      <c r="H160" s="651"/>
      <c r="BO160" s="1239"/>
      <c r="BP160" s="1295"/>
      <c r="BQ160" s="1295">
        <v>16</v>
      </c>
      <c r="BR160" s="1302">
        <v>19.113299999999999</v>
      </c>
      <c r="BS160" s="1303">
        <v>2343.2881000000002</v>
      </c>
      <c r="BT160" s="1299">
        <v>1.5686</v>
      </c>
      <c r="BU160" s="1299">
        <v>1.26E-2</v>
      </c>
      <c r="BV160" s="1299">
        <v>9.1999999999999998E-3</v>
      </c>
      <c r="BW160" s="1300">
        <v>0.10680000000000001</v>
      </c>
      <c r="BX160" s="1304">
        <v>1.2E-2</v>
      </c>
      <c r="BY160" s="1240"/>
      <c r="CA160" s="1239"/>
      <c r="CB160" s="1295"/>
      <c r="CC160" s="1295">
        <v>16</v>
      </c>
      <c r="CD160" s="1302">
        <v>0.53359999999999996</v>
      </c>
      <c r="CE160" s="1303">
        <v>427.09750000000003</v>
      </c>
      <c r="CF160" s="1299">
        <v>0.24460000000000001</v>
      </c>
      <c r="CG160" s="1299">
        <v>1.6999999999999999E-3</v>
      </c>
      <c r="CH160" s="1299">
        <v>3.5000000000000001E-3</v>
      </c>
      <c r="CI160" s="1300">
        <v>1.1299999999999999E-2</v>
      </c>
      <c r="CJ160" s="1304">
        <v>1.6000000000000001E-3</v>
      </c>
      <c r="CK160" s="1240"/>
    </row>
    <row r="161" spans="8:89" ht="14.25" customHeight="1" x14ac:dyDescent="0.2">
      <c r="H161" s="651"/>
      <c r="BO161" s="1239"/>
      <c r="BP161" s="1295"/>
      <c r="BQ161" s="1295">
        <v>17</v>
      </c>
      <c r="BR161" s="1302">
        <v>21.0138</v>
      </c>
      <c r="BS161" s="1303">
        <v>2286.7867000000001</v>
      </c>
      <c r="BT161" s="1299">
        <v>1.3549</v>
      </c>
      <c r="BU161" s="1299">
        <v>9.7999999999999997E-3</v>
      </c>
      <c r="BV161" s="1299">
        <v>7.7999999999999996E-3</v>
      </c>
      <c r="BW161" s="1300">
        <v>9.0999999999999998E-2</v>
      </c>
      <c r="BX161" s="1304">
        <v>9.2999999999999992E-3</v>
      </c>
      <c r="BY161" s="1240"/>
      <c r="CA161" s="1239"/>
      <c r="CB161" s="1295"/>
      <c r="CC161" s="1295">
        <v>17</v>
      </c>
      <c r="CD161" s="1302">
        <v>0.39489999999999997</v>
      </c>
      <c r="CE161" s="1303">
        <v>330.52179999999998</v>
      </c>
      <c r="CF161" s="1299">
        <v>0.1888</v>
      </c>
      <c r="CG161" s="1299">
        <v>1.2999999999999999E-3</v>
      </c>
      <c r="CH161" s="1299">
        <v>2.7000000000000001E-3</v>
      </c>
      <c r="CI161" s="1300">
        <v>8.2000000000000007E-3</v>
      </c>
      <c r="CJ161" s="1304">
        <v>1.1999999999999999E-3</v>
      </c>
      <c r="CK161" s="1240"/>
    </row>
    <row r="162" spans="8:89" ht="14.25" customHeight="1" x14ac:dyDescent="0.2">
      <c r="H162" s="651"/>
      <c r="BO162" s="1239"/>
      <c r="BP162" s="1295"/>
      <c r="BQ162" s="1295">
        <v>18</v>
      </c>
      <c r="BR162" s="1302">
        <v>23.103100000000001</v>
      </c>
      <c r="BS162" s="1303">
        <v>2231.6477</v>
      </c>
      <c r="BT162" s="1299">
        <v>1.1702999999999999</v>
      </c>
      <c r="BU162" s="1299">
        <v>7.6E-3</v>
      </c>
      <c r="BV162" s="1299">
        <v>6.6E-3</v>
      </c>
      <c r="BW162" s="1300">
        <v>7.7600000000000002E-2</v>
      </c>
      <c r="BX162" s="1304">
        <v>7.3000000000000001E-3</v>
      </c>
      <c r="BY162" s="1240"/>
      <c r="CA162" s="1239"/>
      <c r="CB162" s="1295"/>
      <c r="CC162" s="1295">
        <v>18</v>
      </c>
      <c r="CD162" s="1302">
        <v>0.29220000000000002</v>
      </c>
      <c r="CE162" s="1303">
        <v>255.78389999999999</v>
      </c>
      <c r="CF162" s="1299">
        <v>0.14560000000000001</v>
      </c>
      <c r="CG162" s="1299">
        <v>1E-3</v>
      </c>
      <c r="CH162" s="1299">
        <v>2.0999999999999999E-3</v>
      </c>
      <c r="CI162" s="1300">
        <v>6.0000000000000001E-3</v>
      </c>
      <c r="CJ162" s="1304">
        <v>8.9999999999999998E-4</v>
      </c>
      <c r="CK162" s="1240"/>
    </row>
    <row r="163" spans="8:89" ht="14.25" customHeight="1" x14ac:dyDescent="0.2">
      <c r="H163" s="651"/>
      <c r="BO163" s="1239"/>
      <c r="BP163" s="1295"/>
      <c r="BQ163" s="1295">
        <v>19</v>
      </c>
      <c r="BR163" s="1302">
        <v>25.400200000000002</v>
      </c>
      <c r="BS163" s="1303">
        <v>2177.8382000000001</v>
      </c>
      <c r="BT163" s="1299">
        <v>1.0107999999999999</v>
      </c>
      <c r="BU163" s="1299">
        <v>6.0000000000000001E-3</v>
      </c>
      <c r="BV163" s="1299">
        <v>5.5999999999999999E-3</v>
      </c>
      <c r="BW163" s="1300">
        <v>6.6100000000000006E-2</v>
      </c>
      <c r="BX163" s="1304">
        <v>5.7000000000000002E-3</v>
      </c>
      <c r="BY163" s="1240"/>
      <c r="CA163" s="1239"/>
      <c r="CB163" s="1295"/>
      <c r="CC163" s="1295">
        <v>19</v>
      </c>
      <c r="CD163" s="1302">
        <v>0.2162</v>
      </c>
      <c r="CE163" s="1303">
        <v>197.94579999999999</v>
      </c>
      <c r="CF163" s="1299">
        <v>0.1124</v>
      </c>
      <c r="CG163" s="1299">
        <v>8.0000000000000004E-4</v>
      </c>
      <c r="CH163" s="1299">
        <v>1.6999999999999999E-3</v>
      </c>
      <c r="CI163" s="1300">
        <v>4.4000000000000003E-3</v>
      </c>
      <c r="CJ163" s="1304">
        <v>6.9999999999999999E-4</v>
      </c>
      <c r="CK163" s="1240"/>
    </row>
    <row r="164" spans="8:89" ht="14.25" customHeight="1" x14ac:dyDescent="0.2">
      <c r="H164" s="651"/>
      <c r="BO164" s="1239"/>
      <c r="BP164" s="1295"/>
      <c r="BQ164" s="1295">
        <v>20</v>
      </c>
      <c r="BR164" s="1302">
        <v>27.925699999999999</v>
      </c>
      <c r="BS164" s="1303">
        <v>2125.3262</v>
      </c>
      <c r="BT164" s="1299">
        <v>0.87309999999999999</v>
      </c>
      <c r="BU164" s="1299">
        <v>4.5999999999999999E-3</v>
      </c>
      <c r="BV164" s="1299">
        <v>4.7000000000000002E-3</v>
      </c>
      <c r="BW164" s="1300">
        <v>5.6300000000000003E-2</v>
      </c>
      <c r="BX164" s="1304">
        <v>4.4000000000000003E-3</v>
      </c>
      <c r="BY164" s="1240"/>
      <c r="CA164" s="1239"/>
      <c r="CB164" s="1295"/>
      <c r="CC164" s="1295">
        <v>20</v>
      </c>
      <c r="CD164" s="1302">
        <v>0.16</v>
      </c>
      <c r="CE164" s="1303">
        <v>153.18610000000001</v>
      </c>
      <c r="CF164" s="1299">
        <v>8.6699999999999999E-2</v>
      </c>
      <c r="CG164" s="1299">
        <v>5.9999999999999995E-4</v>
      </c>
      <c r="CH164" s="1299">
        <v>1.2999999999999999E-3</v>
      </c>
      <c r="CI164" s="1300">
        <v>3.2000000000000002E-3</v>
      </c>
      <c r="CJ164" s="1304">
        <v>5.0000000000000001E-4</v>
      </c>
      <c r="CK164" s="1240"/>
    </row>
    <row r="165" spans="8:89" ht="14.25" customHeight="1" x14ac:dyDescent="0.2">
      <c r="H165" s="651"/>
      <c r="BO165" s="1239"/>
      <c r="BP165" s="1295"/>
      <c r="BQ165" s="1295">
        <v>21</v>
      </c>
      <c r="BR165" s="1302">
        <v>21.3276</v>
      </c>
      <c r="BS165" s="1303">
        <v>1958.9477999999999</v>
      </c>
      <c r="BT165" s="1299">
        <v>0.96619999999999995</v>
      </c>
      <c r="BU165" s="1299">
        <v>5.5999999999999999E-3</v>
      </c>
      <c r="BV165" s="1299">
        <v>5.4999999999999997E-3</v>
      </c>
      <c r="BW165" s="1300">
        <v>5.8900000000000001E-2</v>
      </c>
      <c r="BX165" s="1304">
        <v>5.3E-3</v>
      </c>
      <c r="BY165" s="1240"/>
      <c r="CA165" s="1239"/>
      <c r="CB165" s="1295"/>
      <c r="CC165" s="1295">
        <v>21</v>
      </c>
      <c r="CD165" s="1302">
        <v>0.19950000000000001</v>
      </c>
      <c r="CE165" s="1303">
        <v>195.50790000000001</v>
      </c>
      <c r="CF165" s="1299">
        <v>0.11</v>
      </c>
      <c r="CG165" s="1299">
        <v>6.9999999999999999E-4</v>
      </c>
      <c r="CH165" s="1299">
        <v>1.6000000000000001E-3</v>
      </c>
      <c r="CI165" s="1300">
        <v>3.8999999999999998E-3</v>
      </c>
      <c r="CJ165" s="1304">
        <v>6.9999999999999999E-4</v>
      </c>
      <c r="CK165" s="1240"/>
    </row>
    <row r="166" spans="8:89" ht="14.25" customHeight="1" x14ac:dyDescent="0.2">
      <c r="H166" s="651"/>
      <c r="BO166" s="1239"/>
      <c r="BP166" s="1295"/>
      <c r="BQ166" s="1295">
        <v>22</v>
      </c>
      <c r="BR166" s="1302">
        <v>16.288399999999999</v>
      </c>
      <c r="BS166" s="1303">
        <v>1805.5941</v>
      </c>
      <c r="BT166" s="1299">
        <v>1.0691999999999999</v>
      </c>
      <c r="BU166" s="1299">
        <v>6.7000000000000002E-3</v>
      </c>
      <c r="BV166" s="1299">
        <v>6.4000000000000003E-3</v>
      </c>
      <c r="BW166" s="1300">
        <v>6.1600000000000002E-2</v>
      </c>
      <c r="BX166" s="1304">
        <v>6.3E-3</v>
      </c>
      <c r="BY166" s="1240"/>
      <c r="CA166" s="1239"/>
      <c r="CB166" s="1295"/>
      <c r="CC166" s="1295">
        <v>22</v>
      </c>
      <c r="CD166" s="1302">
        <v>0.2487</v>
      </c>
      <c r="CE166" s="1303">
        <v>249.5223</v>
      </c>
      <c r="CF166" s="1299">
        <v>0.13950000000000001</v>
      </c>
      <c r="CG166" s="1299">
        <v>8.9999999999999998E-4</v>
      </c>
      <c r="CH166" s="1299">
        <v>2.0999999999999999E-3</v>
      </c>
      <c r="CI166" s="1300">
        <v>4.8999999999999998E-3</v>
      </c>
      <c r="CJ166" s="1304">
        <v>8.9999999999999998E-4</v>
      </c>
      <c r="CK166" s="1240"/>
    </row>
    <row r="167" spans="8:89" ht="14.25" customHeight="1" x14ac:dyDescent="0.2">
      <c r="H167" s="651"/>
      <c r="BO167" s="1239"/>
      <c r="BP167" s="1295"/>
      <c r="BQ167" s="1295">
        <v>23</v>
      </c>
      <c r="BR167" s="1302">
        <v>12.4399</v>
      </c>
      <c r="BS167" s="1303">
        <v>1664.2455</v>
      </c>
      <c r="BT167" s="1299">
        <v>1.1832</v>
      </c>
      <c r="BU167" s="1299">
        <v>8.0000000000000002E-3</v>
      </c>
      <c r="BV167" s="1299">
        <v>7.4999999999999997E-3</v>
      </c>
      <c r="BW167" s="1300">
        <v>6.4399999999999999E-2</v>
      </c>
      <c r="BX167" s="1304">
        <v>7.6E-3</v>
      </c>
      <c r="BY167" s="1240"/>
      <c r="CA167" s="1239"/>
      <c r="CB167" s="1295"/>
      <c r="CC167" s="1295">
        <v>23</v>
      </c>
      <c r="CD167" s="1302">
        <v>0.31</v>
      </c>
      <c r="CE167" s="1303">
        <v>318.45960000000002</v>
      </c>
      <c r="CF167" s="1299">
        <v>0.17699999999999999</v>
      </c>
      <c r="CG167" s="1299">
        <v>1.1999999999999999E-3</v>
      </c>
      <c r="CH167" s="1299">
        <v>2.7000000000000001E-3</v>
      </c>
      <c r="CI167" s="1300">
        <v>6.1000000000000004E-3</v>
      </c>
      <c r="CJ167" s="1304">
        <v>1.1000000000000001E-3</v>
      </c>
      <c r="CK167" s="1240"/>
    </row>
    <row r="168" spans="8:89" ht="14.25" customHeight="1" x14ac:dyDescent="0.2">
      <c r="H168" s="651"/>
      <c r="BO168" s="1239"/>
      <c r="BP168" s="1295"/>
      <c r="BQ168" s="1295">
        <v>24</v>
      </c>
      <c r="BR168" s="1302">
        <v>9.5006000000000004</v>
      </c>
      <c r="BS168" s="1303">
        <v>1533.9621</v>
      </c>
      <c r="BT168" s="1299">
        <v>1.3093999999999999</v>
      </c>
      <c r="BU168" s="1299">
        <v>9.4999999999999998E-3</v>
      </c>
      <c r="BV168" s="1299">
        <v>8.6999999999999994E-3</v>
      </c>
      <c r="BW168" s="1300">
        <v>6.7299999999999999E-2</v>
      </c>
      <c r="BX168" s="1304">
        <v>9.1000000000000004E-3</v>
      </c>
      <c r="BY168" s="1240"/>
      <c r="CA168" s="1239"/>
      <c r="CB168" s="1295"/>
      <c r="CC168" s="1295">
        <v>24</v>
      </c>
      <c r="CD168" s="1302">
        <v>0.38640000000000002</v>
      </c>
      <c r="CE168" s="1303">
        <v>406.4427</v>
      </c>
      <c r="CF168" s="1299">
        <v>0.22459999999999999</v>
      </c>
      <c r="CG168" s="1299">
        <v>1.5E-3</v>
      </c>
      <c r="CH168" s="1299">
        <v>3.3999999999999998E-3</v>
      </c>
      <c r="CI168" s="1300">
        <v>7.6E-3</v>
      </c>
      <c r="CJ168" s="1304">
        <v>1.4E-3</v>
      </c>
      <c r="CK168" s="1240"/>
    </row>
    <row r="169" spans="8:89" ht="14.25" customHeight="1" x14ac:dyDescent="0.2">
      <c r="H169" s="651"/>
      <c r="BO169" s="1239"/>
      <c r="BP169" s="1295"/>
      <c r="BQ169" s="1295">
        <v>25</v>
      </c>
      <c r="BR169" s="1302">
        <v>7.2558999999999996</v>
      </c>
      <c r="BS169" s="1303">
        <v>1413.8779</v>
      </c>
      <c r="BT169" s="1299">
        <v>1.4490000000000001</v>
      </c>
      <c r="BU169" s="1299">
        <v>1.14E-2</v>
      </c>
      <c r="BV169" s="1299">
        <v>1.01E-2</v>
      </c>
      <c r="BW169" s="1300">
        <v>7.0400000000000004E-2</v>
      </c>
      <c r="BX169" s="1304">
        <v>1.09E-2</v>
      </c>
      <c r="BY169" s="1240"/>
      <c r="CA169" s="1239"/>
      <c r="CB169" s="1295"/>
      <c r="CC169" s="1295">
        <v>25</v>
      </c>
      <c r="CD169" s="1302">
        <v>0.48170000000000002</v>
      </c>
      <c r="CE169" s="1303">
        <v>518.73350000000005</v>
      </c>
      <c r="CF169" s="1299">
        <v>0.28499999999999998</v>
      </c>
      <c r="CG169" s="1299">
        <v>1.9E-3</v>
      </c>
      <c r="CH169" s="1299">
        <v>4.4000000000000003E-3</v>
      </c>
      <c r="CI169" s="1300">
        <v>9.4000000000000004E-3</v>
      </c>
      <c r="CJ169" s="1304">
        <v>1.8E-3</v>
      </c>
      <c r="CK169" s="1240"/>
    </row>
    <row r="170" spans="8:89" ht="14.25" customHeight="1" x14ac:dyDescent="0.2">
      <c r="H170" s="651"/>
      <c r="BO170" s="1239"/>
      <c r="BP170" s="1295"/>
      <c r="BQ170" s="1295">
        <v>26</v>
      </c>
      <c r="BR170" s="1302">
        <v>7.1788999999999996</v>
      </c>
      <c r="BS170" s="1303">
        <v>1378.7891</v>
      </c>
      <c r="BT170" s="1299">
        <v>1.4072</v>
      </c>
      <c r="BU170" s="1299">
        <v>1.11E-2</v>
      </c>
      <c r="BV170" s="1299">
        <v>9.9000000000000008E-3</v>
      </c>
      <c r="BW170" s="1300">
        <v>6.7699999999999996E-2</v>
      </c>
      <c r="BX170" s="1304">
        <v>1.06E-2</v>
      </c>
      <c r="BY170" s="1240"/>
      <c r="CA170" s="1239"/>
      <c r="CB170" s="1295"/>
      <c r="CC170" s="1295">
        <v>26</v>
      </c>
      <c r="CD170" s="1302">
        <v>0.45240000000000002</v>
      </c>
      <c r="CE170" s="1303">
        <v>503.87630000000001</v>
      </c>
      <c r="CF170" s="1299">
        <v>0.27160000000000001</v>
      </c>
      <c r="CG170" s="1299">
        <v>1.8E-3</v>
      </c>
      <c r="CH170" s="1299">
        <v>4.3E-3</v>
      </c>
      <c r="CI170" s="1300">
        <v>8.8999999999999999E-3</v>
      </c>
      <c r="CJ170" s="1304">
        <v>1.6999999999999999E-3</v>
      </c>
      <c r="CK170" s="1240"/>
    </row>
    <row r="171" spans="8:89" ht="14.25" customHeight="1" x14ac:dyDescent="0.2">
      <c r="H171" s="651"/>
      <c r="BO171" s="1239"/>
      <c r="BP171" s="1295"/>
      <c r="BQ171" s="1295">
        <v>27</v>
      </c>
      <c r="BR171" s="1302">
        <v>7.1028000000000002</v>
      </c>
      <c r="BS171" s="1303">
        <v>1344.5709999999999</v>
      </c>
      <c r="BT171" s="1299">
        <v>1.3666</v>
      </c>
      <c r="BU171" s="1299">
        <v>1.0800000000000001E-2</v>
      </c>
      <c r="BV171" s="1299">
        <v>9.7000000000000003E-3</v>
      </c>
      <c r="BW171" s="1300">
        <v>6.5100000000000005E-2</v>
      </c>
      <c r="BX171" s="1304">
        <v>1.03E-2</v>
      </c>
      <c r="BY171" s="1240"/>
      <c r="CA171" s="1239"/>
      <c r="CB171" s="1295"/>
      <c r="CC171" s="1295">
        <v>27</v>
      </c>
      <c r="CD171" s="1302">
        <v>0.4249</v>
      </c>
      <c r="CE171" s="1303">
        <v>489.44459999999998</v>
      </c>
      <c r="CF171" s="1299">
        <v>0.25890000000000002</v>
      </c>
      <c r="CG171" s="1299">
        <v>1.8E-3</v>
      </c>
      <c r="CH171" s="1299">
        <v>4.1999999999999997E-3</v>
      </c>
      <c r="CI171" s="1300">
        <v>8.5000000000000006E-3</v>
      </c>
      <c r="CJ171" s="1304">
        <v>1.6999999999999999E-3</v>
      </c>
      <c r="CK171" s="1240"/>
    </row>
    <row r="172" spans="8:89" ht="14.25" customHeight="1" x14ac:dyDescent="0.2">
      <c r="H172" s="651"/>
      <c r="BO172" s="1239"/>
      <c r="BP172" s="1295"/>
      <c r="BQ172" s="1295">
        <v>28</v>
      </c>
      <c r="BR172" s="1302">
        <v>7.0274999999999999</v>
      </c>
      <c r="BS172" s="1303">
        <v>1311.2021999999999</v>
      </c>
      <c r="BT172" s="1299">
        <v>1.3271999999999999</v>
      </c>
      <c r="BU172" s="1299">
        <v>1.0500000000000001E-2</v>
      </c>
      <c r="BV172" s="1299">
        <v>9.4999999999999998E-3</v>
      </c>
      <c r="BW172" s="1300">
        <v>6.2600000000000003E-2</v>
      </c>
      <c r="BX172" s="1304">
        <v>0.01</v>
      </c>
      <c r="BY172" s="1240"/>
      <c r="CA172" s="1239"/>
      <c r="CB172" s="1295"/>
      <c r="CC172" s="1295">
        <v>28</v>
      </c>
      <c r="CD172" s="1302">
        <v>0.39910000000000001</v>
      </c>
      <c r="CE172" s="1303">
        <v>475.42619999999999</v>
      </c>
      <c r="CF172" s="1299">
        <v>0.24679999999999999</v>
      </c>
      <c r="CG172" s="1299">
        <v>1.6999999999999999E-3</v>
      </c>
      <c r="CH172" s="1299">
        <v>4.0000000000000001E-3</v>
      </c>
      <c r="CI172" s="1300">
        <v>8.0999999999999996E-3</v>
      </c>
      <c r="CJ172" s="1304">
        <v>1.6999999999999999E-3</v>
      </c>
      <c r="CK172" s="1240"/>
    </row>
    <row r="173" spans="8:89" ht="14.25" customHeight="1" x14ac:dyDescent="0.2">
      <c r="H173" s="651"/>
      <c r="K173" s="1537"/>
      <c r="L173" s="1538"/>
      <c r="M173" s="1396"/>
      <c r="N173" s="1538"/>
      <c r="O173" s="1538"/>
      <c r="P173" s="1538"/>
      <c r="BO173" s="1239"/>
      <c r="BP173" s="1295"/>
      <c r="BQ173" s="1295">
        <v>29</v>
      </c>
      <c r="BR173" s="1302">
        <v>6.9528999999999996</v>
      </c>
      <c r="BS173" s="1303">
        <v>1278.6614999999999</v>
      </c>
      <c r="BT173" s="1299">
        <v>1.2889999999999999</v>
      </c>
      <c r="BU173" s="1299">
        <v>1.0200000000000001E-2</v>
      </c>
      <c r="BV173" s="1299">
        <v>9.4000000000000004E-3</v>
      </c>
      <c r="BW173" s="1300">
        <v>6.0199999999999997E-2</v>
      </c>
      <c r="BX173" s="1304">
        <v>9.7000000000000003E-3</v>
      </c>
      <c r="BY173" s="1240"/>
      <c r="CA173" s="1239"/>
      <c r="CB173" s="1295"/>
      <c r="CC173" s="1295">
        <v>29</v>
      </c>
      <c r="CD173" s="1302">
        <v>0.37480000000000002</v>
      </c>
      <c r="CE173" s="1303">
        <v>461.80939999999998</v>
      </c>
      <c r="CF173" s="1299">
        <v>0.23519999999999999</v>
      </c>
      <c r="CG173" s="1299">
        <v>1.6999999999999999E-3</v>
      </c>
      <c r="CH173" s="1299">
        <v>3.8999999999999998E-3</v>
      </c>
      <c r="CI173" s="1300">
        <v>7.7000000000000002E-3</v>
      </c>
      <c r="CJ173" s="1304">
        <v>1.6000000000000001E-3</v>
      </c>
      <c r="CK173" s="1240"/>
    </row>
    <row r="174" spans="8:89" ht="14.25" customHeight="1" x14ac:dyDescent="0.2">
      <c r="H174" s="651"/>
      <c r="BO174" s="1239"/>
      <c r="BP174" s="1295"/>
      <c r="BQ174" s="1295">
        <v>30</v>
      </c>
      <c r="BR174" s="1302">
        <v>6.8792</v>
      </c>
      <c r="BS174" s="1303">
        <v>1246.9284</v>
      </c>
      <c r="BT174" s="1299">
        <v>1.2518</v>
      </c>
      <c r="BU174" s="1299">
        <v>9.9000000000000008E-3</v>
      </c>
      <c r="BV174" s="1299">
        <v>9.1999999999999998E-3</v>
      </c>
      <c r="BW174" s="1300">
        <v>5.79E-2</v>
      </c>
      <c r="BX174" s="1304">
        <v>9.4999999999999998E-3</v>
      </c>
      <c r="BY174" s="1240"/>
      <c r="CA174" s="1239"/>
      <c r="CB174" s="1295"/>
      <c r="CC174" s="1295">
        <v>30</v>
      </c>
      <c r="CD174" s="1302">
        <v>0.35199999999999998</v>
      </c>
      <c r="CE174" s="1303">
        <v>448.58260000000001</v>
      </c>
      <c r="CF174" s="1299">
        <v>0.22420000000000001</v>
      </c>
      <c r="CG174" s="1299">
        <v>1.6999999999999999E-3</v>
      </c>
      <c r="CH174" s="1299">
        <v>3.8E-3</v>
      </c>
      <c r="CI174" s="1300">
        <v>7.3000000000000001E-3</v>
      </c>
      <c r="CJ174" s="1304">
        <v>1.6000000000000001E-3</v>
      </c>
      <c r="CK174" s="1240"/>
    </row>
    <row r="175" spans="8:89" ht="14.25" customHeight="1" x14ac:dyDescent="0.2">
      <c r="H175" s="651"/>
      <c r="BO175" s="1239"/>
      <c r="BP175" s="1295"/>
      <c r="BQ175" s="1295">
        <v>31</v>
      </c>
      <c r="BR175" s="1302">
        <v>6.6943999999999999</v>
      </c>
      <c r="BS175" s="1303">
        <v>1222.2643</v>
      </c>
      <c r="BT175" s="1299">
        <v>1.234</v>
      </c>
      <c r="BU175" s="1299">
        <v>0.01</v>
      </c>
      <c r="BV175" s="1299">
        <v>9.1000000000000004E-3</v>
      </c>
      <c r="BW175" s="1300">
        <v>5.6399999999999999E-2</v>
      </c>
      <c r="BX175" s="1304">
        <v>9.4999999999999998E-3</v>
      </c>
      <c r="BY175" s="1240"/>
      <c r="CA175" s="1239"/>
      <c r="CB175" s="1295"/>
      <c r="CC175" s="1295">
        <v>31</v>
      </c>
      <c r="CD175" s="1302">
        <v>0.3357</v>
      </c>
      <c r="CE175" s="1303">
        <v>444.99340000000001</v>
      </c>
      <c r="CF175" s="1299">
        <v>0.218</v>
      </c>
      <c r="CG175" s="1299">
        <v>1.6999999999999999E-3</v>
      </c>
      <c r="CH175" s="1299">
        <v>3.8E-3</v>
      </c>
      <c r="CI175" s="1300">
        <v>7.1000000000000004E-3</v>
      </c>
      <c r="CJ175" s="1304">
        <v>1.6000000000000001E-3</v>
      </c>
      <c r="CK175" s="1240"/>
    </row>
    <row r="176" spans="8:89" ht="14.25" customHeight="1" x14ac:dyDescent="0.2">
      <c r="H176" s="651"/>
      <c r="BO176" s="1239"/>
      <c r="BP176" s="1295"/>
      <c r="BQ176" s="1295">
        <v>32</v>
      </c>
      <c r="BR176" s="1302">
        <v>6.5145999999999997</v>
      </c>
      <c r="BS176" s="1303">
        <v>1198.088</v>
      </c>
      <c r="BT176" s="1299">
        <v>1.2164999999999999</v>
      </c>
      <c r="BU176" s="1299">
        <v>0.01</v>
      </c>
      <c r="BV176" s="1299">
        <v>8.9999999999999993E-3</v>
      </c>
      <c r="BW176" s="1300">
        <v>5.5E-2</v>
      </c>
      <c r="BX176" s="1304">
        <v>9.5999999999999992E-3</v>
      </c>
      <c r="BY176" s="1240"/>
      <c r="CA176" s="1239"/>
      <c r="CB176" s="1295"/>
      <c r="CC176" s="1295">
        <v>32</v>
      </c>
      <c r="CD176" s="1302">
        <v>0.32019999999999998</v>
      </c>
      <c r="CE176" s="1303">
        <v>441.43290000000002</v>
      </c>
      <c r="CF176" s="1299">
        <v>0.21210000000000001</v>
      </c>
      <c r="CG176" s="1299">
        <v>1.6999999999999999E-3</v>
      </c>
      <c r="CH176" s="1299">
        <v>3.8E-3</v>
      </c>
      <c r="CI176" s="1300">
        <v>7.0000000000000001E-3</v>
      </c>
      <c r="CJ176" s="1304">
        <v>1.6000000000000001E-3</v>
      </c>
      <c r="CK176" s="1240"/>
    </row>
    <row r="177" spans="8:89" ht="14.25" customHeight="1" x14ac:dyDescent="0.2">
      <c r="H177" s="651"/>
      <c r="BO177" s="1239"/>
      <c r="BP177" s="1295"/>
      <c r="BQ177" s="1295">
        <v>33</v>
      </c>
      <c r="BR177" s="1302">
        <v>6.3395999999999999</v>
      </c>
      <c r="BS177" s="1303">
        <v>1174.3900000000001</v>
      </c>
      <c r="BT177" s="1299">
        <v>1.1992</v>
      </c>
      <c r="BU177" s="1299">
        <v>1.01E-2</v>
      </c>
      <c r="BV177" s="1299">
        <v>8.8999999999999999E-3</v>
      </c>
      <c r="BW177" s="1300">
        <v>5.3600000000000002E-2</v>
      </c>
      <c r="BX177" s="1304">
        <v>9.5999999999999992E-3</v>
      </c>
      <c r="BY177" s="1240"/>
      <c r="CA177" s="1239"/>
      <c r="CB177" s="1295"/>
      <c r="CC177" s="1295">
        <v>33</v>
      </c>
      <c r="CD177" s="1302">
        <v>0.3054</v>
      </c>
      <c r="CE177" s="1303">
        <v>437.90089999999998</v>
      </c>
      <c r="CF177" s="1299">
        <v>0.20619999999999999</v>
      </c>
      <c r="CG177" s="1299">
        <v>1.8E-3</v>
      </c>
      <c r="CH177" s="1299">
        <v>3.8E-3</v>
      </c>
      <c r="CI177" s="1300">
        <v>6.7999999999999996E-3</v>
      </c>
      <c r="CJ177" s="1304">
        <v>1.6999999999999999E-3</v>
      </c>
      <c r="CK177" s="1240"/>
    </row>
    <row r="178" spans="8:89" ht="14.25" customHeight="1" x14ac:dyDescent="0.2">
      <c r="BO178" s="1239"/>
      <c r="BP178" s="1295"/>
      <c r="BQ178" s="1295">
        <v>34</v>
      </c>
      <c r="BR178" s="1302">
        <v>6.1692999999999998</v>
      </c>
      <c r="BS178" s="1303">
        <v>1151.1606999999999</v>
      </c>
      <c r="BT178" s="1299">
        <v>1.1821999999999999</v>
      </c>
      <c r="BU178" s="1299">
        <v>1.01E-2</v>
      </c>
      <c r="BV178" s="1299">
        <v>8.8000000000000005E-3</v>
      </c>
      <c r="BW178" s="1300">
        <v>5.2299999999999999E-2</v>
      </c>
      <c r="BX178" s="1304">
        <v>9.7000000000000003E-3</v>
      </c>
      <c r="BY178" s="1240"/>
      <c r="CA178" s="1239"/>
      <c r="CB178" s="1295"/>
      <c r="CC178" s="1295">
        <v>34</v>
      </c>
      <c r="CD178" s="1302">
        <v>0.2913</v>
      </c>
      <c r="CE178" s="1303">
        <v>434.3972</v>
      </c>
      <c r="CF178" s="1299">
        <v>0.2006</v>
      </c>
      <c r="CG178" s="1299">
        <v>1.8E-3</v>
      </c>
      <c r="CH178" s="1299">
        <v>3.8E-3</v>
      </c>
      <c r="CI178" s="1300">
        <v>6.6E-3</v>
      </c>
      <c r="CJ178" s="1304">
        <v>1.6999999999999999E-3</v>
      </c>
      <c r="CK178" s="1240"/>
    </row>
    <row r="179" spans="8:89" ht="14.25" customHeight="1" x14ac:dyDescent="0.2">
      <c r="BO179" s="1239"/>
      <c r="BP179" s="1295"/>
      <c r="BQ179" s="1295">
        <v>35</v>
      </c>
      <c r="BR179" s="1302">
        <v>6.0034999999999998</v>
      </c>
      <c r="BS179" s="1303">
        <v>1128.3909000000001</v>
      </c>
      <c r="BT179" s="1299">
        <v>1.1654</v>
      </c>
      <c r="BU179" s="1299">
        <v>1.0200000000000001E-2</v>
      </c>
      <c r="BV179" s="1299">
        <v>8.6999999999999994E-3</v>
      </c>
      <c r="BW179" s="1300">
        <v>5.0999999999999997E-2</v>
      </c>
      <c r="BX179" s="1304">
        <v>9.7000000000000003E-3</v>
      </c>
      <c r="BY179" s="1240"/>
      <c r="CA179" s="1239"/>
      <c r="CB179" s="1295"/>
      <c r="CC179" s="1295">
        <v>35</v>
      </c>
      <c r="CD179" s="1302">
        <v>0.27789999999999998</v>
      </c>
      <c r="CE179" s="1303">
        <v>430.92149999999998</v>
      </c>
      <c r="CF179" s="1299">
        <v>0.1951</v>
      </c>
      <c r="CG179" s="1299">
        <v>1.8E-3</v>
      </c>
      <c r="CH179" s="1299">
        <v>3.7000000000000002E-3</v>
      </c>
      <c r="CI179" s="1300">
        <v>6.4999999999999997E-3</v>
      </c>
      <c r="CJ179" s="1304">
        <v>1.6999999999999999E-3</v>
      </c>
      <c r="CK179" s="1240"/>
    </row>
    <row r="180" spans="8:89" ht="14.25" customHeight="1" x14ac:dyDescent="0.2">
      <c r="BO180" s="1239"/>
      <c r="BP180" s="1295"/>
      <c r="BQ180" s="1295">
        <v>36</v>
      </c>
      <c r="BR180" s="1302">
        <v>5.7911999999999999</v>
      </c>
      <c r="BS180" s="1303">
        <v>1115.9713999999999</v>
      </c>
      <c r="BT180" s="1299">
        <v>1.1584000000000001</v>
      </c>
      <c r="BU180" s="1299">
        <v>1.03E-2</v>
      </c>
      <c r="BV180" s="1299">
        <v>8.6999999999999994E-3</v>
      </c>
      <c r="BW180" s="1300">
        <v>4.9799999999999997E-2</v>
      </c>
      <c r="BX180" s="1304">
        <v>9.9000000000000008E-3</v>
      </c>
      <c r="BY180" s="1240"/>
      <c r="CA180" s="1239"/>
      <c r="CB180" s="1295"/>
      <c r="CC180" s="1295">
        <v>36</v>
      </c>
      <c r="CD180" s="1302">
        <v>0.26729999999999998</v>
      </c>
      <c r="CE180" s="1303">
        <v>436.44970000000001</v>
      </c>
      <c r="CF180" s="1299">
        <v>0.19259999999999999</v>
      </c>
      <c r="CG180" s="1299">
        <v>1.9E-3</v>
      </c>
      <c r="CH180" s="1299">
        <v>3.8E-3</v>
      </c>
      <c r="CI180" s="1300">
        <v>6.4000000000000003E-3</v>
      </c>
      <c r="CJ180" s="1304">
        <v>1.8E-3</v>
      </c>
      <c r="CK180" s="1240"/>
    </row>
    <row r="181" spans="8:89" ht="14.25" customHeight="1" x14ac:dyDescent="0.2">
      <c r="BO181" s="1239"/>
      <c r="BP181" s="1295"/>
      <c r="BQ181" s="1295">
        <v>37</v>
      </c>
      <c r="BR181" s="1302">
        <v>5.5864000000000003</v>
      </c>
      <c r="BS181" s="1303">
        <v>1103.6886</v>
      </c>
      <c r="BT181" s="1299">
        <v>1.1514</v>
      </c>
      <c r="BU181" s="1299">
        <v>1.04E-2</v>
      </c>
      <c r="BV181" s="1299">
        <v>8.6999999999999994E-3</v>
      </c>
      <c r="BW181" s="1300">
        <v>4.87E-2</v>
      </c>
      <c r="BX181" s="1304">
        <v>0.01</v>
      </c>
      <c r="BY181" s="1240"/>
      <c r="CA181" s="1239"/>
      <c r="CB181" s="1295"/>
      <c r="CC181" s="1295">
        <v>37</v>
      </c>
      <c r="CD181" s="1302">
        <v>0.2571</v>
      </c>
      <c r="CE181" s="1303">
        <v>442.04880000000003</v>
      </c>
      <c r="CF181" s="1299">
        <v>0.19020000000000001</v>
      </c>
      <c r="CG181" s="1299">
        <v>2E-3</v>
      </c>
      <c r="CH181" s="1299">
        <v>3.8999999999999998E-3</v>
      </c>
      <c r="CI181" s="1300">
        <v>6.4000000000000003E-3</v>
      </c>
      <c r="CJ181" s="1304">
        <v>1.9E-3</v>
      </c>
      <c r="CK181" s="1240"/>
    </row>
    <row r="182" spans="8:89" ht="14.25" customHeight="1" x14ac:dyDescent="0.2">
      <c r="BO182" s="1239"/>
      <c r="BP182" s="1295"/>
      <c r="BQ182" s="1295">
        <v>38</v>
      </c>
      <c r="BR182" s="1302">
        <v>5.3888999999999996</v>
      </c>
      <c r="BS182" s="1303">
        <v>1091.5409999999999</v>
      </c>
      <c r="BT182" s="1299">
        <v>1.1445000000000001</v>
      </c>
      <c r="BU182" s="1299">
        <v>1.06E-2</v>
      </c>
      <c r="BV182" s="1299">
        <v>8.6999999999999994E-3</v>
      </c>
      <c r="BW182" s="1300">
        <v>4.7600000000000003E-2</v>
      </c>
      <c r="BX182" s="1304">
        <v>1.01E-2</v>
      </c>
      <c r="BY182" s="1240"/>
      <c r="CA182" s="1239"/>
      <c r="CB182" s="1295"/>
      <c r="CC182" s="1295">
        <v>38</v>
      </c>
      <c r="CD182" s="1302">
        <v>0.24729999999999999</v>
      </c>
      <c r="CE182" s="1303">
        <v>447.71980000000002</v>
      </c>
      <c r="CF182" s="1299">
        <v>0.18770000000000001</v>
      </c>
      <c r="CG182" s="1299">
        <v>2.0999999999999999E-3</v>
      </c>
      <c r="CH182" s="1299">
        <v>3.8999999999999998E-3</v>
      </c>
      <c r="CI182" s="1300">
        <v>6.3E-3</v>
      </c>
      <c r="CJ182" s="1304">
        <v>2E-3</v>
      </c>
      <c r="CK182" s="1240"/>
    </row>
    <row r="183" spans="8:89" ht="14.25" customHeight="1" x14ac:dyDescent="0.2">
      <c r="BO183" s="1239"/>
      <c r="BP183" s="1295"/>
      <c r="BQ183" s="1295">
        <v>39</v>
      </c>
      <c r="BR183" s="1302">
        <v>5.1982999999999997</v>
      </c>
      <c r="BS183" s="1303">
        <v>1079.5271</v>
      </c>
      <c r="BT183" s="1299">
        <v>1.1375999999999999</v>
      </c>
      <c r="BU183" s="1299">
        <v>1.0699999999999999E-2</v>
      </c>
      <c r="BV183" s="1299">
        <v>8.6999999999999994E-3</v>
      </c>
      <c r="BW183" s="1300">
        <v>4.6600000000000003E-2</v>
      </c>
      <c r="BX183" s="1304">
        <v>1.0200000000000001E-2</v>
      </c>
      <c r="BY183" s="1240"/>
      <c r="CA183" s="1239"/>
      <c r="CB183" s="1295"/>
      <c r="CC183" s="1295">
        <v>39</v>
      </c>
      <c r="CD183" s="1302">
        <v>0.23780000000000001</v>
      </c>
      <c r="CE183" s="1303">
        <v>453.46339999999998</v>
      </c>
      <c r="CF183" s="1299">
        <v>0.18540000000000001</v>
      </c>
      <c r="CG183" s="1299">
        <v>2.2000000000000001E-3</v>
      </c>
      <c r="CH183" s="1299">
        <v>4.0000000000000001E-3</v>
      </c>
      <c r="CI183" s="1300">
        <v>6.3E-3</v>
      </c>
      <c r="CJ183" s="1304">
        <v>2.0999999999999999E-3</v>
      </c>
      <c r="CK183" s="1240"/>
    </row>
    <row r="184" spans="8:89" ht="14.25" customHeight="1" x14ac:dyDescent="0.2">
      <c r="BO184" s="1239"/>
      <c r="BP184" s="1295"/>
      <c r="BQ184" s="1295">
        <v>40</v>
      </c>
      <c r="BR184" s="1302">
        <v>5.0145</v>
      </c>
      <c r="BS184" s="1303">
        <v>1067.6455000000001</v>
      </c>
      <c r="BT184" s="1299">
        <v>1.1308</v>
      </c>
      <c r="BU184" s="1299">
        <v>1.0800000000000001E-2</v>
      </c>
      <c r="BV184" s="1299">
        <v>8.6999999999999994E-3</v>
      </c>
      <c r="BW184" s="1300">
        <v>4.5499999999999999E-2</v>
      </c>
      <c r="BX184" s="1304">
        <v>1.03E-2</v>
      </c>
      <c r="BY184" s="1240"/>
      <c r="CA184" s="1239"/>
      <c r="CB184" s="1295"/>
      <c r="CC184" s="1295">
        <v>40</v>
      </c>
      <c r="CD184" s="1302">
        <v>0.2288</v>
      </c>
      <c r="CE184" s="1303">
        <v>459.2808</v>
      </c>
      <c r="CF184" s="1299">
        <v>0.183</v>
      </c>
      <c r="CG184" s="1299">
        <v>2.3E-3</v>
      </c>
      <c r="CH184" s="1299">
        <v>4.1000000000000003E-3</v>
      </c>
      <c r="CI184" s="1300">
        <v>6.1999999999999998E-3</v>
      </c>
      <c r="CJ184" s="1304">
        <v>2.2000000000000001E-3</v>
      </c>
      <c r="CK184" s="1240"/>
    </row>
    <row r="185" spans="8:89" ht="14.25" customHeight="1" x14ac:dyDescent="0.2">
      <c r="BO185" s="1239"/>
      <c r="BP185" s="1295"/>
      <c r="BQ185" s="1295">
        <v>41</v>
      </c>
      <c r="BR185" s="1302">
        <v>4.8803999999999998</v>
      </c>
      <c r="BS185" s="1303">
        <v>1062.5605</v>
      </c>
      <c r="BT185" s="1299">
        <v>1.1354</v>
      </c>
      <c r="BU185" s="1299">
        <v>1.09E-2</v>
      </c>
      <c r="BV185" s="1299">
        <v>8.6999999999999994E-3</v>
      </c>
      <c r="BW185" s="1300">
        <v>4.4600000000000001E-2</v>
      </c>
      <c r="BX185" s="1304">
        <v>1.04E-2</v>
      </c>
      <c r="BY185" s="1240"/>
      <c r="CA185" s="1239"/>
      <c r="CB185" s="1295"/>
      <c r="CC185" s="1295">
        <v>41</v>
      </c>
      <c r="CD185" s="1302">
        <v>0.2233</v>
      </c>
      <c r="CE185" s="1303">
        <v>464.4658</v>
      </c>
      <c r="CF185" s="1299">
        <v>0.1794</v>
      </c>
      <c r="CG185" s="1299">
        <v>2.3E-3</v>
      </c>
      <c r="CH185" s="1299">
        <v>4.1000000000000003E-3</v>
      </c>
      <c r="CI185" s="1300">
        <v>6.1000000000000004E-3</v>
      </c>
      <c r="CJ185" s="1304">
        <v>2.2000000000000001E-3</v>
      </c>
      <c r="CK185" s="1240"/>
    </row>
    <row r="186" spans="8:89" ht="14.25" customHeight="1" x14ac:dyDescent="0.2">
      <c r="BO186" s="1239"/>
      <c r="BP186" s="1295"/>
      <c r="BQ186" s="1295">
        <v>42</v>
      </c>
      <c r="BR186" s="1302">
        <v>4.7499000000000002</v>
      </c>
      <c r="BS186" s="1303">
        <v>1057.4997000000001</v>
      </c>
      <c r="BT186" s="1299">
        <v>1.1398999999999999</v>
      </c>
      <c r="BU186" s="1299">
        <v>1.09E-2</v>
      </c>
      <c r="BV186" s="1299">
        <v>8.6999999999999994E-3</v>
      </c>
      <c r="BW186" s="1300">
        <v>4.36E-2</v>
      </c>
      <c r="BX186" s="1304">
        <v>1.0500000000000001E-2</v>
      </c>
      <c r="BY186" s="1240"/>
      <c r="CA186" s="1239"/>
      <c r="CB186" s="1295"/>
      <c r="CC186" s="1295">
        <v>42</v>
      </c>
      <c r="CD186" s="1302">
        <v>0.21790000000000001</v>
      </c>
      <c r="CE186" s="1303">
        <v>469.70920000000001</v>
      </c>
      <c r="CF186" s="1299">
        <v>0.1759</v>
      </c>
      <c r="CG186" s="1299">
        <v>2.3999999999999998E-3</v>
      </c>
      <c r="CH186" s="1299">
        <v>4.1999999999999997E-3</v>
      </c>
      <c r="CI186" s="1300">
        <v>6.0000000000000001E-3</v>
      </c>
      <c r="CJ186" s="1304">
        <v>2.3E-3</v>
      </c>
      <c r="CK186" s="1240"/>
    </row>
    <row r="187" spans="8:89" ht="14.25" customHeight="1" x14ac:dyDescent="0.2">
      <c r="BO187" s="1239"/>
      <c r="BP187" s="1295"/>
      <c r="BQ187" s="1295">
        <v>43</v>
      </c>
      <c r="BR187" s="1302">
        <v>4.6228999999999996</v>
      </c>
      <c r="BS187" s="1303">
        <v>1052.463</v>
      </c>
      <c r="BT187" s="1299">
        <v>1.1446000000000001</v>
      </c>
      <c r="BU187" s="1299">
        <v>1.0999999999999999E-2</v>
      </c>
      <c r="BV187" s="1299">
        <v>8.6999999999999994E-3</v>
      </c>
      <c r="BW187" s="1300">
        <v>4.2700000000000002E-2</v>
      </c>
      <c r="BX187" s="1304">
        <v>1.0500000000000001E-2</v>
      </c>
      <c r="BY187" s="1240"/>
      <c r="CA187" s="1239"/>
      <c r="CB187" s="1295"/>
      <c r="CC187" s="1295">
        <v>43</v>
      </c>
      <c r="CD187" s="1302">
        <v>0.2127</v>
      </c>
      <c r="CE187" s="1303">
        <v>475.01190000000003</v>
      </c>
      <c r="CF187" s="1299">
        <v>0.1724</v>
      </c>
      <c r="CG187" s="1299">
        <v>2.5000000000000001E-3</v>
      </c>
      <c r="CH187" s="1299">
        <v>4.1999999999999997E-3</v>
      </c>
      <c r="CI187" s="1300">
        <v>5.8999999999999999E-3</v>
      </c>
      <c r="CJ187" s="1304">
        <v>2.3999999999999998E-3</v>
      </c>
      <c r="CK187" s="1240"/>
    </row>
    <row r="188" spans="8:89" ht="14.25" customHeight="1" x14ac:dyDescent="0.2">
      <c r="BO188" s="1239"/>
      <c r="BP188" s="1295"/>
      <c r="BQ188" s="1295">
        <v>44</v>
      </c>
      <c r="BR188" s="1302">
        <v>4.4992999999999999</v>
      </c>
      <c r="BS188" s="1303">
        <v>1047.4503</v>
      </c>
      <c r="BT188" s="1299">
        <v>1.1492</v>
      </c>
      <c r="BU188" s="1299">
        <v>1.11E-2</v>
      </c>
      <c r="BV188" s="1299">
        <v>8.6999999999999994E-3</v>
      </c>
      <c r="BW188" s="1300">
        <v>4.1799999999999997E-2</v>
      </c>
      <c r="BX188" s="1304">
        <v>1.06E-2</v>
      </c>
      <c r="BY188" s="1240"/>
      <c r="CA188" s="1239"/>
      <c r="CB188" s="1295"/>
      <c r="CC188" s="1295">
        <v>44</v>
      </c>
      <c r="CD188" s="1302">
        <v>0.20760000000000001</v>
      </c>
      <c r="CE188" s="1303">
        <v>480.37439999999998</v>
      </c>
      <c r="CF188" s="1299">
        <v>0.1691</v>
      </c>
      <c r="CG188" s="1299">
        <v>2.5999999999999999E-3</v>
      </c>
      <c r="CH188" s="1299">
        <v>4.3E-3</v>
      </c>
      <c r="CI188" s="1300">
        <v>5.8999999999999999E-3</v>
      </c>
      <c r="CJ188" s="1304">
        <v>2.5000000000000001E-3</v>
      </c>
      <c r="CK188" s="1240"/>
    </row>
    <row r="189" spans="8:89" ht="14.25" customHeight="1" x14ac:dyDescent="0.2">
      <c r="BO189" s="1239"/>
      <c r="BP189" s="1295"/>
      <c r="BQ189" s="1295">
        <v>45</v>
      </c>
      <c r="BR189" s="1302">
        <v>4.3791000000000002</v>
      </c>
      <c r="BS189" s="1303">
        <v>1042.4614999999999</v>
      </c>
      <c r="BT189" s="1299">
        <v>1.1537999999999999</v>
      </c>
      <c r="BU189" s="1299">
        <v>1.11E-2</v>
      </c>
      <c r="BV189" s="1299">
        <v>8.8000000000000005E-3</v>
      </c>
      <c r="BW189" s="1300">
        <v>4.0899999999999999E-2</v>
      </c>
      <c r="BX189" s="1304">
        <v>1.06E-2</v>
      </c>
      <c r="BY189" s="1240"/>
      <c r="CA189" s="1239"/>
      <c r="CB189" s="1295"/>
      <c r="CC189" s="1295">
        <v>45</v>
      </c>
      <c r="CD189" s="1302">
        <v>0.2026</v>
      </c>
      <c r="CE189" s="1303">
        <v>485.79750000000001</v>
      </c>
      <c r="CF189" s="1299">
        <v>0.16569999999999999</v>
      </c>
      <c r="CG189" s="1299">
        <v>2.7000000000000001E-3</v>
      </c>
      <c r="CH189" s="1299">
        <v>4.4000000000000003E-3</v>
      </c>
      <c r="CI189" s="1300">
        <v>5.7999999999999996E-3</v>
      </c>
      <c r="CJ189" s="1304">
        <v>2.5999999999999999E-3</v>
      </c>
      <c r="CK189" s="1240"/>
    </row>
    <row r="190" spans="8:89" ht="14.25" customHeight="1" x14ac:dyDescent="0.2">
      <c r="BO190" s="1239"/>
      <c r="BP190" s="1295"/>
      <c r="BQ190" s="1295">
        <v>46</v>
      </c>
      <c r="BR190" s="1302">
        <v>4.3262</v>
      </c>
      <c r="BS190" s="1303">
        <v>1046.1259</v>
      </c>
      <c r="BT190" s="1299">
        <v>1.1439999999999999</v>
      </c>
      <c r="BU190" s="1299">
        <v>1.0999999999999999E-2</v>
      </c>
      <c r="BV190" s="1299">
        <v>8.8000000000000005E-3</v>
      </c>
      <c r="BW190" s="1300">
        <v>4.0099999999999997E-2</v>
      </c>
      <c r="BX190" s="1304">
        <v>1.0500000000000001E-2</v>
      </c>
      <c r="BY190" s="1240"/>
      <c r="CA190" s="1239"/>
      <c r="CB190" s="1295"/>
      <c r="CC190" s="1295">
        <v>46</v>
      </c>
      <c r="CD190" s="1302">
        <v>0.20119999999999999</v>
      </c>
      <c r="CE190" s="1303">
        <v>489.00839999999999</v>
      </c>
      <c r="CF190" s="1299">
        <v>0.1615</v>
      </c>
      <c r="CG190" s="1299">
        <v>2.8E-3</v>
      </c>
      <c r="CH190" s="1299">
        <v>4.4000000000000003E-3</v>
      </c>
      <c r="CI190" s="1300">
        <v>5.7000000000000002E-3</v>
      </c>
      <c r="CJ190" s="1304">
        <v>2.5999999999999999E-3</v>
      </c>
      <c r="CK190" s="1240"/>
    </row>
    <row r="191" spans="8:89" ht="14.25" customHeight="1" x14ac:dyDescent="0.2">
      <c r="BO191" s="1239"/>
      <c r="BP191" s="1295"/>
      <c r="BQ191" s="1295">
        <v>47</v>
      </c>
      <c r="BR191" s="1302">
        <v>4.274</v>
      </c>
      <c r="BS191" s="1303">
        <v>1049.8033</v>
      </c>
      <c r="BT191" s="1299">
        <v>1.1342000000000001</v>
      </c>
      <c r="BU191" s="1299">
        <v>1.09E-2</v>
      </c>
      <c r="BV191" s="1299">
        <v>8.8999999999999999E-3</v>
      </c>
      <c r="BW191" s="1300">
        <v>3.9199999999999999E-2</v>
      </c>
      <c r="BX191" s="1304">
        <v>1.04E-2</v>
      </c>
      <c r="BY191" s="1240"/>
      <c r="CA191" s="1239"/>
      <c r="CB191" s="1295"/>
      <c r="CC191" s="1295">
        <v>47</v>
      </c>
      <c r="CD191" s="1302">
        <v>0.19969999999999999</v>
      </c>
      <c r="CE191" s="1303">
        <v>492.24059999999997</v>
      </c>
      <c r="CF191" s="1299">
        <v>0.1573</v>
      </c>
      <c r="CG191" s="1299">
        <v>2.8E-3</v>
      </c>
      <c r="CH191" s="1299">
        <v>4.4000000000000003E-3</v>
      </c>
      <c r="CI191" s="1300">
        <v>5.5999999999999999E-3</v>
      </c>
      <c r="CJ191" s="1304">
        <v>2.7000000000000001E-3</v>
      </c>
      <c r="CK191" s="1240"/>
    </row>
    <row r="192" spans="8:89" ht="14.25" customHeight="1" x14ac:dyDescent="0.2">
      <c r="BO192" s="1239"/>
      <c r="BP192" s="1295"/>
      <c r="BQ192" s="1295">
        <v>48</v>
      </c>
      <c r="BR192" s="1302">
        <v>4.2222999999999997</v>
      </c>
      <c r="BS192" s="1303">
        <v>1053.4936</v>
      </c>
      <c r="BT192" s="1299">
        <v>1.1245000000000001</v>
      </c>
      <c r="BU192" s="1299">
        <v>1.0699999999999999E-2</v>
      </c>
      <c r="BV192" s="1299">
        <v>8.8999999999999999E-3</v>
      </c>
      <c r="BW192" s="1300">
        <v>3.8399999999999997E-2</v>
      </c>
      <c r="BX192" s="1304">
        <v>1.03E-2</v>
      </c>
      <c r="BY192" s="1240"/>
      <c r="CA192" s="1239"/>
      <c r="CB192" s="1295"/>
      <c r="CC192" s="1295">
        <v>48</v>
      </c>
      <c r="CD192" s="1302">
        <v>0.1983</v>
      </c>
      <c r="CE192" s="1303">
        <v>495.49419999999998</v>
      </c>
      <c r="CF192" s="1299">
        <v>0.1532</v>
      </c>
      <c r="CG192" s="1299">
        <v>2.8999999999999998E-3</v>
      </c>
      <c r="CH192" s="1299">
        <v>4.4999999999999997E-3</v>
      </c>
      <c r="CI192" s="1300">
        <v>5.4999999999999997E-3</v>
      </c>
      <c r="CJ192" s="1304">
        <v>2.8E-3</v>
      </c>
      <c r="CK192" s="1240"/>
    </row>
    <row r="193" spans="67:89" ht="14.25" customHeight="1" x14ac:dyDescent="0.2">
      <c r="BO193" s="1239"/>
      <c r="BP193" s="1295"/>
      <c r="BQ193" s="1295">
        <v>49</v>
      </c>
      <c r="BR193" s="1302">
        <v>4.1714000000000002</v>
      </c>
      <c r="BS193" s="1303">
        <v>1057.1968999999999</v>
      </c>
      <c r="BT193" s="1299">
        <v>1.1148</v>
      </c>
      <c r="BU193" s="1299">
        <v>1.06E-2</v>
      </c>
      <c r="BV193" s="1299">
        <v>8.9999999999999993E-3</v>
      </c>
      <c r="BW193" s="1300">
        <v>3.7699999999999997E-2</v>
      </c>
      <c r="BX193" s="1304">
        <v>1.01E-2</v>
      </c>
      <c r="BY193" s="1240"/>
      <c r="CA193" s="1239"/>
      <c r="CB193" s="1295"/>
      <c r="CC193" s="1295">
        <v>49</v>
      </c>
      <c r="CD193" s="1302">
        <v>0.19689999999999999</v>
      </c>
      <c r="CE193" s="1303">
        <v>498.76929999999999</v>
      </c>
      <c r="CF193" s="1299">
        <v>0.14929999999999999</v>
      </c>
      <c r="CG193" s="1299">
        <v>3.0000000000000001E-3</v>
      </c>
      <c r="CH193" s="1299">
        <v>4.4999999999999997E-3</v>
      </c>
      <c r="CI193" s="1300">
        <v>5.4000000000000003E-3</v>
      </c>
      <c r="CJ193" s="1304">
        <v>2.8E-3</v>
      </c>
      <c r="CK193" s="1240"/>
    </row>
    <row r="194" spans="67:89" ht="14.25" customHeight="1" x14ac:dyDescent="0.2">
      <c r="BO194" s="1239"/>
      <c r="BP194" s="1295"/>
      <c r="BQ194" s="1295">
        <v>50</v>
      </c>
      <c r="BR194" s="1302">
        <v>4.1210000000000004</v>
      </c>
      <c r="BS194" s="1303">
        <v>1060.9131</v>
      </c>
      <c r="BT194" s="1299">
        <v>1.1052999999999999</v>
      </c>
      <c r="BU194" s="1299">
        <v>1.0500000000000001E-2</v>
      </c>
      <c r="BV194" s="1299">
        <v>8.9999999999999993E-3</v>
      </c>
      <c r="BW194" s="1300">
        <v>3.6900000000000002E-2</v>
      </c>
      <c r="BX194" s="1304">
        <v>0.01</v>
      </c>
      <c r="BY194" s="1240"/>
      <c r="CA194" s="1239"/>
      <c r="CB194" s="1295"/>
      <c r="CC194" s="1295">
        <v>50</v>
      </c>
      <c r="CD194" s="1302">
        <v>0.19550000000000001</v>
      </c>
      <c r="CE194" s="1303">
        <v>502.06599999999997</v>
      </c>
      <c r="CF194" s="1299">
        <v>0.1454</v>
      </c>
      <c r="CG194" s="1299">
        <v>3.0000000000000001E-3</v>
      </c>
      <c r="CH194" s="1299">
        <v>4.4999999999999997E-3</v>
      </c>
      <c r="CI194" s="1300">
        <v>5.4000000000000003E-3</v>
      </c>
      <c r="CJ194" s="1304">
        <v>2.8999999999999998E-3</v>
      </c>
      <c r="CK194" s="1240"/>
    </row>
    <row r="195" spans="67:89" ht="14.25" customHeight="1" x14ac:dyDescent="0.2">
      <c r="BO195" s="1239"/>
      <c r="BP195" s="1295"/>
      <c r="BQ195" s="1295">
        <v>51</v>
      </c>
      <c r="BR195" s="1302">
        <v>4.0545</v>
      </c>
      <c r="BS195" s="1303">
        <v>1079.6318000000001</v>
      </c>
      <c r="BT195" s="1299">
        <v>1.1102000000000001</v>
      </c>
      <c r="BU195" s="1299">
        <v>1.0699999999999999E-2</v>
      </c>
      <c r="BV195" s="1299">
        <v>9.1999999999999998E-3</v>
      </c>
      <c r="BW195" s="1300">
        <v>3.7100000000000001E-2</v>
      </c>
      <c r="BX195" s="1304">
        <v>1.0200000000000001E-2</v>
      </c>
      <c r="BY195" s="1240"/>
      <c r="CA195" s="1239"/>
      <c r="CB195" s="1295"/>
      <c r="CC195" s="1295">
        <v>51</v>
      </c>
      <c r="CD195" s="1302">
        <v>0.19739999999999999</v>
      </c>
      <c r="CE195" s="1303">
        <v>514.7106</v>
      </c>
      <c r="CF195" s="1299">
        <v>0.1497</v>
      </c>
      <c r="CG195" s="1299">
        <v>3.2000000000000002E-3</v>
      </c>
      <c r="CH195" s="1299">
        <v>4.7000000000000002E-3</v>
      </c>
      <c r="CI195" s="1300">
        <v>5.4000000000000003E-3</v>
      </c>
      <c r="CJ195" s="1304">
        <v>3.0999999999999999E-3</v>
      </c>
      <c r="CK195" s="1240"/>
    </row>
    <row r="196" spans="67:89" ht="14.25" customHeight="1" x14ac:dyDescent="0.2">
      <c r="BO196" s="1239"/>
      <c r="BP196" s="1295"/>
      <c r="BQ196" s="1295">
        <v>52</v>
      </c>
      <c r="BR196" s="1302">
        <v>3.9891000000000001</v>
      </c>
      <c r="BS196" s="1303">
        <v>1098.6808000000001</v>
      </c>
      <c r="BT196" s="1299">
        <v>1.115</v>
      </c>
      <c r="BU196" s="1299">
        <v>1.0800000000000001E-2</v>
      </c>
      <c r="BV196" s="1299">
        <v>9.4000000000000004E-3</v>
      </c>
      <c r="BW196" s="1300">
        <v>3.73E-2</v>
      </c>
      <c r="BX196" s="1304">
        <v>1.04E-2</v>
      </c>
      <c r="BY196" s="1240"/>
      <c r="CA196" s="1239"/>
      <c r="CB196" s="1295"/>
      <c r="CC196" s="1295">
        <v>52</v>
      </c>
      <c r="CD196" s="1302">
        <v>0.19950000000000001</v>
      </c>
      <c r="CE196" s="1303">
        <v>527.67370000000005</v>
      </c>
      <c r="CF196" s="1299">
        <v>0.154</v>
      </c>
      <c r="CG196" s="1299">
        <v>3.3999999999999998E-3</v>
      </c>
      <c r="CH196" s="1299">
        <v>4.7999999999999996E-3</v>
      </c>
      <c r="CI196" s="1300">
        <v>5.4999999999999997E-3</v>
      </c>
      <c r="CJ196" s="1304">
        <v>3.3E-3</v>
      </c>
      <c r="CK196" s="1240"/>
    </row>
    <row r="197" spans="67:89" ht="14.25" customHeight="1" x14ac:dyDescent="0.2">
      <c r="BO197" s="1239"/>
      <c r="BP197" s="1295"/>
      <c r="BQ197" s="1295">
        <v>53</v>
      </c>
      <c r="BR197" s="1302">
        <v>3.9247999999999998</v>
      </c>
      <c r="BS197" s="1303">
        <v>1118.0659000000001</v>
      </c>
      <c r="BT197" s="1299">
        <v>1.1198999999999999</v>
      </c>
      <c r="BU197" s="1299">
        <v>1.0999999999999999E-2</v>
      </c>
      <c r="BV197" s="1299">
        <v>9.5999999999999992E-3</v>
      </c>
      <c r="BW197" s="1300">
        <v>3.7400000000000003E-2</v>
      </c>
      <c r="BX197" s="1304">
        <v>1.0500000000000001E-2</v>
      </c>
      <c r="BY197" s="1240"/>
      <c r="CA197" s="1239"/>
      <c r="CB197" s="1295"/>
      <c r="CC197" s="1295">
        <v>53</v>
      </c>
      <c r="CD197" s="1302">
        <v>0.20150000000000001</v>
      </c>
      <c r="CE197" s="1303">
        <v>540.9633</v>
      </c>
      <c r="CF197" s="1299">
        <v>0.1585</v>
      </c>
      <c r="CG197" s="1299">
        <v>3.7000000000000002E-3</v>
      </c>
      <c r="CH197" s="1299">
        <v>4.8999999999999998E-3</v>
      </c>
      <c r="CI197" s="1300">
        <v>5.5999999999999999E-3</v>
      </c>
      <c r="CJ197" s="1304">
        <v>3.5000000000000001E-3</v>
      </c>
      <c r="CK197" s="1240"/>
    </row>
    <row r="198" spans="67:89" ht="14.25" customHeight="1" x14ac:dyDescent="0.2">
      <c r="BO198" s="1239"/>
      <c r="BP198" s="1295"/>
      <c r="BQ198" s="1295">
        <v>54</v>
      </c>
      <c r="BR198" s="1302">
        <v>3.8614999999999999</v>
      </c>
      <c r="BS198" s="1303">
        <v>1137.7928999999999</v>
      </c>
      <c r="BT198" s="1299">
        <v>1.1249</v>
      </c>
      <c r="BU198" s="1299">
        <v>1.12E-2</v>
      </c>
      <c r="BV198" s="1299">
        <v>9.7999999999999997E-3</v>
      </c>
      <c r="BW198" s="1300">
        <v>3.7600000000000001E-2</v>
      </c>
      <c r="BX198" s="1304">
        <v>1.0699999999999999E-2</v>
      </c>
      <c r="BY198" s="1240"/>
      <c r="CA198" s="1239"/>
      <c r="CB198" s="1295"/>
      <c r="CC198" s="1295">
        <v>54</v>
      </c>
      <c r="CD198" s="1302">
        <v>0.2036</v>
      </c>
      <c r="CE198" s="1303">
        <v>554.58759999999995</v>
      </c>
      <c r="CF198" s="1299">
        <v>0.16320000000000001</v>
      </c>
      <c r="CG198" s="1299">
        <v>3.8999999999999998E-3</v>
      </c>
      <c r="CH198" s="1299">
        <v>5.0000000000000001E-3</v>
      </c>
      <c r="CI198" s="1300">
        <v>5.7000000000000002E-3</v>
      </c>
      <c r="CJ198" s="1304">
        <v>3.7000000000000002E-3</v>
      </c>
      <c r="CK198" s="1240"/>
    </row>
    <row r="199" spans="67:89" ht="14.25" customHeight="1" x14ac:dyDescent="0.2">
      <c r="BO199" s="1239"/>
      <c r="BP199" s="1295"/>
      <c r="BQ199" s="1295">
        <v>55</v>
      </c>
      <c r="BR199" s="1302">
        <v>3.7991999999999999</v>
      </c>
      <c r="BS199" s="1303">
        <v>1157.8680999999999</v>
      </c>
      <c r="BT199" s="1299">
        <v>1.1297999999999999</v>
      </c>
      <c r="BU199" s="1299">
        <v>1.14E-2</v>
      </c>
      <c r="BV199" s="1299">
        <v>1.01E-2</v>
      </c>
      <c r="BW199" s="1300">
        <v>3.78E-2</v>
      </c>
      <c r="BX199" s="1304">
        <v>1.09E-2</v>
      </c>
      <c r="BY199" s="1240"/>
      <c r="CA199" s="1239"/>
      <c r="CB199" s="1295"/>
      <c r="CC199" s="1295">
        <v>55</v>
      </c>
      <c r="CD199" s="1302">
        <v>0.2056</v>
      </c>
      <c r="CE199" s="1303">
        <v>568.55499999999995</v>
      </c>
      <c r="CF199" s="1299">
        <v>0.16800000000000001</v>
      </c>
      <c r="CG199" s="1299">
        <v>4.1000000000000003E-3</v>
      </c>
      <c r="CH199" s="1299">
        <v>5.1999999999999998E-3</v>
      </c>
      <c r="CI199" s="1300">
        <v>5.7999999999999996E-3</v>
      </c>
      <c r="CJ199" s="1304">
        <v>3.8999999999999998E-3</v>
      </c>
      <c r="CK199" s="1240"/>
    </row>
    <row r="200" spans="67:89" ht="14.25" customHeight="1" x14ac:dyDescent="0.2">
      <c r="BO200" s="1239"/>
      <c r="BP200" s="1295"/>
      <c r="BQ200" s="1295">
        <v>56</v>
      </c>
      <c r="BR200" s="1302">
        <v>3.6829999999999998</v>
      </c>
      <c r="BS200" s="1303">
        <v>1184.1948</v>
      </c>
      <c r="BT200" s="1299">
        <v>1.1318999999999999</v>
      </c>
      <c r="BU200" s="1299">
        <v>1.18E-2</v>
      </c>
      <c r="BV200" s="1299">
        <v>1.03E-2</v>
      </c>
      <c r="BW200" s="1300">
        <v>3.7999999999999999E-2</v>
      </c>
      <c r="BX200" s="1304">
        <v>1.1299999999999999E-2</v>
      </c>
      <c r="BY200" s="1240"/>
      <c r="CA200" s="1239"/>
      <c r="CB200" s="1295"/>
      <c r="CC200" s="1295">
        <v>56</v>
      </c>
      <c r="CD200" s="1302">
        <v>0.19969999999999999</v>
      </c>
      <c r="CE200" s="1303">
        <v>594.13630000000001</v>
      </c>
      <c r="CF200" s="1299">
        <v>0.18210000000000001</v>
      </c>
      <c r="CG200" s="1299">
        <v>4.5999999999999999E-3</v>
      </c>
      <c r="CH200" s="1299">
        <v>5.4000000000000003E-3</v>
      </c>
      <c r="CI200" s="1300">
        <v>6.0000000000000001E-3</v>
      </c>
      <c r="CJ200" s="1304">
        <v>4.4000000000000003E-3</v>
      </c>
      <c r="CK200" s="1240"/>
    </row>
    <row r="201" spans="67:89" ht="14.25" customHeight="1" x14ac:dyDescent="0.2">
      <c r="BO201" s="1239"/>
      <c r="BP201" s="1295"/>
      <c r="BQ201" s="1295">
        <v>57</v>
      </c>
      <c r="BR201" s="1302">
        <v>3.5703</v>
      </c>
      <c r="BS201" s="1303">
        <v>1211.1202000000001</v>
      </c>
      <c r="BT201" s="1299">
        <v>1.1338999999999999</v>
      </c>
      <c r="BU201" s="1299">
        <v>1.2200000000000001E-2</v>
      </c>
      <c r="BV201" s="1299">
        <v>1.06E-2</v>
      </c>
      <c r="BW201" s="1300">
        <v>3.8199999999999998E-2</v>
      </c>
      <c r="BX201" s="1304">
        <v>1.17E-2</v>
      </c>
      <c r="BY201" s="1240"/>
      <c r="CA201" s="1239"/>
      <c r="CB201" s="1295"/>
      <c r="CC201" s="1295">
        <v>57</v>
      </c>
      <c r="CD201" s="1302">
        <v>0.19400000000000001</v>
      </c>
      <c r="CE201" s="1303">
        <v>620.86860000000001</v>
      </c>
      <c r="CF201" s="1299">
        <v>0.19750000000000001</v>
      </c>
      <c r="CG201" s="1299">
        <v>5.1000000000000004E-3</v>
      </c>
      <c r="CH201" s="1299">
        <v>5.7000000000000002E-3</v>
      </c>
      <c r="CI201" s="1300">
        <v>6.1999999999999998E-3</v>
      </c>
      <c r="CJ201" s="1304">
        <v>4.7999999999999996E-3</v>
      </c>
      <c r="CK201" s="1240"/>
    </row>
    <row r="202" spans="67:89" ht="14.25" customHeight="1" x14ac:dyDescent="0.2">
      <c r="BO202" s="1239"/>
      <c r="BP202" s="1295"/>
      <c r="BQ202" s="1295">
        <v>58</v>
      </c>
      <c r="BR202" s="1302">
        <v>3.4611000000000001</v>
      </c>
      <c r="BS202" s="1303">
        <v>1238.6578</v>
      </c>
      <c r="BT202" s="1299">
        <v>1.1359999999999999</v>
      </c>
      <c r="BU202" s="1299">
        <v>1.2699999999999999E-2</v>
      </c>
      <c r="BV202" s="1299">
        <v>1.09E-2</v>
      </c>
      <c r="BW202" s="1300">
        <v>3.8399999999999997E-2</v>
      </c>
      <c r="BX202" s="1304">
        <v>1.21E-2</v>
      </c>
      <c r="BY202" s="1240"/>
      <c r="CA202" s="1239"/>
      <c r="CB202" s="1295"/>
      <c r="CC202" s="1295">
        <v>58</v>
      </c>
      <c r="CD202" s="1302">
        <v>0.1885</v>
      </c>
      <c r="CE202" s="1303">
        <v>648.80370000000005</v>
      </c>
      <c r="CF202" s="1299">
        <v>0.21410000000000001</v>
      </c>
      <c r="CG202" s="1299">
        <v>5.5999999999999999E-3</v>
      </c>
      <c r="CH202" s="1299">
        <v>5.8999999999999999E-3</v>
      </c>
      <c r="CI202" s="1300">
        <v>6.4999999999999997E-3</v>
      </c>
      <c r="CJ202" s="1304">
        <v>5.3E-3</v>
      </c>
      <c r="CK202" s="1240"/>
    </row>
    <row r="203" spans="67:89" ht="14.25" customHeight="1" x14ac:dyDescent="0.2">
      <c r="BO203" s="1239"/>
      <c r="BP203" s="1295"/>
      <c r="BQ203" s="1295">
        <v>59</v>
      </c>
      <c r="BR203" s="1302">
        <v>3.3552</v>
      </c>
      <c r="BS203" s="1303">
        <v>1266.8214</v>
      </c>
      <c r="BT203" s="1299">
        <v>1.1379999999999999</v>
      </c>
      <c r="BU203" s="1299">
        <v>1.3100000000000001E-2</v>
      </c>
      <c r="BV203" s="1299">
        <v>1.1299999999999999E-2</v>
      </c>
      <c r="BW203" s="1300">
        <v>3.8600000000000002E-2</v>
      </c>
      <c r="BX203" s="1304">
        <v>1.2500000000000001E-2</v>
      </c>
      <c r="BY203" s="1240"/>
      <c r="CA203" s="1239"/>
      <c r="CB203" s="1295"/>
      <c r="CC203" s="1295">
        <v>59</v>
      </c>
      <c r="CD203" s="1302">
        <v>0.18310000000000001</v>
      </c>
      <c r="CE203" s="1303">
        <v>677.99570000000006</v>
      </c>
      <c r="CF203" s="1299">
        <v>0.2321</v>
      </c>
      <c r="CG203" s="1299">
        <v>6.1999999999999998E-3</v>
      </c>
      <c r="CH203" s="1299">
        <v>6.1999999999999998E-3</v>
      </c>
      <c r="CI203" s="1300">
        <v>6.7000000000000002E-3</v>
      </c>
      <c r="CJ203" s="1304">
        <v>5.8999999999999999E-3</v>
      </c>
      <c r="CK203" s="1240"/>
    </row>
    <row r="204" spans="67:89" ht="14.25" customHeight="1" x14ac:dyDescent="0.2">
      <c r="BO204" s="1239"/>
      <c r="BP204" s="1295"/>
      <c r="BQ204" s="1295">
        <v>60</v>
      </c>
      <c r="BR204" s="1302">
        <v>3.2524999999999999</v>
      </c>
      <c r="BS204" s="1303">
        <v>1295.6255000000001</v>
      </c>
      <c r="BT204" s="1299">
        <v>1.1400999999999999</v>
      </c>
      <c r="BU204" s="1299">
        <v>1.3599999999999999E-2</v>
      </c>
      <c r="BV204" s="1299">
        <v>1.1599999999999999E-2</v>
      </c>
      <c r="BW204" s="1300">
        <v>3.8800000000000001E-2</v>
      </c>
      <c r="BX204" s="1304">
        <v>1.2999999999999999E-2</v>
      </c>
      <c r="BY204" s="1240"/>
      <c r="CA204" s="1239"/>
      <c r="CB204" s="1295"/>
      <c r="CC204" s="1295">
        <v>60</v>
      </c>
      <c r="CD204" s="1302">
        <v>0.17780000000000001</v>
      </c>
      <c r="CE204" s="1303">
        <v>708.50120000000004</v>
      </c>
      <c r="CF204" s="1299">
        <v>0.25169999999999998</v>
      </c>
      <c r="CG204" s="1299">
        <v>6.7999999999999996E-3</v>
      </c>
      <c r="CH204" s="1299">
        <v>6.4999999999999997E-3</v>
      </c>
      <c r="CI204" s="1300">
        <v>7.0000000000000001E-3</v>
      </c>
      <c r="CJ204" s="1304">
        <v>6.4999999999999997E-3</v>
      </c>
      <c r="CK204" s="1240"/>
    </row>
    <row r="205" spans="67:89" ht="14.25" customHeight="1" x14ac:dyDescent="0.2">
      <c r="BO205" s="1239"/>
      <c r="BP205" s="1295"/>
      <c r="BQ205" s="1295">
        <v>61</v>
      </c>
      <c r="BR205" s="1302">
        <v>3.1682000000000001</v>
      </c>
      <c r="BS205" s="1303">
        <v>1321.8235</v>
      </c>
      <c r="BT205" s="1299">
        <v>1.1445000000000001</v>
      </c>
      <c r="BU205" s="1299">
        <v>1.41E-2</v>
      </c>
      <c r="BV205" s="1299">
        <v>1.1900000000000001E-2</v>
      </c>
      <c r="BW205" s="1300">
        <v>3.9300000000000002E-2</v>
      </c>
      <c r="BX205" s="1304">
        <v>1.35E-2</v>
      </c>
      <c r="BY205" s="1240"/>
      <c r="CA205" s="1239"/>
      <c r="CB205" s="1295"/>
      <c r="CC205" s="1295">
        <v>61</v>
      </c>
      <c r="CD205" s="1302">
        <v>0.17460000000000001</v>
      </c>
      <c r="CE205" s="1303">
        <v>731.12099999999998</v>
      </c>
      <c r="CF205" s="1299">
        <v>0.27350000000000002</v>
      </c>
      <c r="CG205" s="1299">
        <v>7.4000000000000003E-3</v>
      </c>
      <c r="CH205" s="1299">
        <v>6.7999999999999996E-3</v>
      </c>
      <c r="CI205" s="1300">
        <v>7.1999999999999998E-3</v>
      </c>
      <c r="CJ205" s="1304">
        <v>7.1000000000000004E-3</v>
      </c>
      <c r="CK205" s="1240"/>
    </row>
    <row r="206" spans="67:89" ht="14.25" customHeight="1" x14ac:dyDescent="0.2">
      <c r="BO206" s="1239"/>
      <c r="BP206" s="1295"/>
      <c r="BQ206" s="1295">
        <v>62</v>
      </c>
      <c r="BR206" s="1302">
        <v>3.0859999999999999</v>
      </c>
      <c r="BS206" s="1303">
        <v>1348.5512000000001</v>
      </c>
      <c r="BT206" s="1299">
        <v>1.149</v>
      </c>
      <c r="BU206" s="1299">
        <v>1.46E-2</v>
      </c>
      <c r="BV206" s="1299">
        <v>1.2200000000000001E-2</v>
      </c>
      <c r="BW206" s="1300">
        <v>3.9699999999999999E-2</v>
      </c>
      <c r="BX206" s="1304">
        <v>1.3899999999999999E-2</v>
      </c>
      <c r="BY206" s="1240"/>
      <c r="CA206" s="1239"/>
      <c r="CB206" s="1295"/>
      <c r="CC206" s="1295">
        <v>62</v>
      </c>
      <c r="CD206" s="1302">
        <v>0.17150000000000001</v>
      </c>
      <c r="CE206" s="1303">
        <v>754.46299999999997</v>
      </c>
      <c r="CF206" s="1299">
        <v>0.29709999999999998</v>
      </c>
      <c r="CG206" s="1299">
        <v>8.0999999999999996E-3</v>
      </c>
      <c r="CH206" s="1299">
        <v>7.0000000000000001E-3</v>
      </c>
      <c r="CI206" s="1300">
        <v>7.4999999999999997E-3</v>
      </c>
      <c r="CJ206" s="1304">
        <v>7.7000000000000002E-3</v>
      </c>
      <c r="CK206" s="1240"/>
    </row>
    <row r="207" spans="67:89" ht="14.25" customHeight="1" x14ac:dyDescent="0.2">
      <c r="BO207" s="1239"/>
      <c r="BP207" s="1295"/>
      <c r="BQ207" s="1295">
        <v>63</v>
      </c>
      <c r="BR207" s="1302">
        <v>3.0059999999999998</v>
      </c>
      <c r="BS207" s="1303">
        <v>1375.8194000000001</v>
      </c>
      <c r="BT207" s="1299">
        <v>1.1535</v>
      </c>
      <c r="BU207" s="1299">
        <v>1.5100000000000001E-2</v>
      </c>
      <c r="BV207" s="1299">
        <v>1.2500000000000001E-2</v>
      </c>
      <c r="BW207" s="1300">
        <v>4.02E-2</v>
      </c>
      <c r="BX207" s="1304">
        <v>1.44E-2</v>
      </c>
      <c r="BY207" s="1240"/>
      <c r="CA207" s="1239"/>
      <c r="CB207" s="1295"/>
      <c r="CC207" s="1295">
        <v>63</v>
      </c>
      <c r="CD207" s="1302">
        <v>0.16839999999999999</v>
      </c>
      <c r="CE207" s="1303">
        <v>778.55029999999999</v>
      </c>
      <c r="CF207" s="1299">
        <v>0.32279999999999998</v>
      </c>
      <c r="CG207" s="1299">
        <v>8.8000000000000005E-3</v>
      </c>
      <c r="CH207" s="1299">
        <v>7.1999999999999998E-3</v>
      </c>
      <c r="CI207" s="1300">
        <v>7.7999999999999996E-3</v>
      </c>
      <c r="CJ207" s="1304">
        <v>8.3999999999999995E-3</v>
      </c>
      <c r="CK207" s="1240"/>
    </row>
    <row r="208" spans="67:89" ht="14.25" customHeight="1" x14ac:dyDescent="0.2">
      <c r="BO208" s="1239"/>
      <c r="BP208" s="1295"/>
      <c r="BQ208" s="1295">
        <v>64</v>
      </c>
      <c r="BR208" s="1302">
        <v>2.9279999999999999</v>
      </c>
      <c r="BS208" s="1303">
        <v>1403.6388999999999</v>
      </c>
      <c r="BT208" s="1299">
        <v>1.1579999999999999</v>
      </c>
      <c r="BU208" s="1299">
        <v>1.5599999999999999E-2</v>
      </c>
      <c r="BV208" s="1299">
        <v>1.2800000000000001E-2</v>
      </c>
      <c r="BW208" s="1300">
        <v>4.07E-2</v>
      </c>
      <c r="BX208" s="1304">
        <v>1.49E-2</v>
      </c>
      <c r="BY208" s="1240"/>
      <c r="CA208" s="1239"/>
      <c r="CB208" s="1295"/>
      <c r="CC208" s="1295">
        <v>64</v>
      </c>
      <c r="CD208" s="1302">
        <v>0.16539999999999999</v>
      </c>
      <c r="CE208" s="1303">
        <v>803.40650000000005</v>
      </c>
      <c r="CF208" s="1299">
        <v>0.3508</v>
      </c>
      <c r="CG208" s="1299">
        <v>9.4999999999999998E-3</v>
      </c>
      <c r="CH208" s="1299">
        <v>7.4999999999999997E-3</v>
      </c>
      <c r="CI208" s="1300">
        <v>8.0999999999999996E-3</v>
      </c>
      <c r="CJ208" s="1304">
        <v>9.1000000000000004E-3</v>
      </c>
      <c r="CK208" s="1240"/>
    </row>
    <row r="209" spans="67:89" ht="14.25" customHeight="1" x14ac:dyDescent="0.2">
      <c r="BO209" s="1239"/>
      <c r="BP209" s="1295"/>
      <c r="BQ209" s="1295">
        <v>65</v>
      </c>
      <c r="BR209" s="1302">
        <v>2.8521000000000001</v>
      </c>
      <c r="BS209" s="1303">
        <v>1432.0209</v>
      </c>
      <c r="BT209" s="1299">
        <v>1.1625000000000001</v>
      </c>
      <c r="BU209" s="1299">
        <v>1.6199999999999999E-2</v>
      </c>
      <c r="BV209" s="1299">
        <v>1.3100000000000001E-2</v>
      </c>
      <c r="BW209" s="1300">
        <v>4.1200000000000001E-2</v>
      </c>
      <c r="BX209" s="1304">
        <v>1.54E-2</v>
      </c>
      <c r="BY209" s="1240"/>
      <c r="CA209" s="1239"/>
      <c r="CB209" s="1295"/>
      <c r="CC209" s="1295">
        <v>65</v>
      </c>
      <c r="CD209" s="1302">
        <v>0.16239999999999999</v>
      </c>
      <c r="CE209" s="1303">
        <v>829.05629999999996</v>
      </c>
      <c r="CF209" s="1299">
        <v>0.38109999999999999</v>
      </c>
      <c r="CG209" s="1299">
        <v>1.03E-2</v>
      </c>
      <c r="CH209" s="1299">
        <v>7.7999999999999996E-3</v>
      </c>
      <c r="CI209" s="1300">
        <v>8.3999999999999995E-3</v>
      </c>
      <c r="CJ209" s="1304">
        <v>9.9000000000000008E-3</v>
      </c>
      <c r="CK209" s="1240"/>
    </row>
    <row r="210" spans="67:89" ht="14.25" customHeight="1" x14ac:dyDescent="0.2">
      <c r="BO210" s="1239"/>
      <c r="BP210" s="1295"/>
      <c r="BQ210" s="1295">
        <v>66</v>
      </c>
      <c r="BR210" s="1302">
        <v>2.7292999999999998</v>
      </c>
      <c r="BS210" s="1303">
        <v>1425.6288</v>
      </c>
      <c r="BT210" s="1299">
        <v>1.1936</v>
      </c>
      <c r="BU210" s="1299">
        <v>1.7299999999999999E-2</v>
      </c>
      <c r="BV210" s="1299">
        <v>1.2999999999999999E-2</v>
      </c>
      <c r="BW210" s="1300">
        <v>3.78E-2</v>
      </c>
      <c r="BX210" s="1304">
        <v>1.6500000000000001E-2</v>
      </c>
      <c r="BY210" s="1240"/>
      <c r="CA210" s="1239"/>
      <c r="CB210" s="1295"/>
      <c r="CC210" s="1295">
        <v>66</v>
      </c>
      <c r="CD210" s="1302">
        <v>0.16689999999999999</v>
      </c>
      <c r="CE210" s="1303">
        <v>857.61479999999995</v>
      </c>
      <c r="CF210" s="1299">
        <v>0.4042</v>
      </c>
      <c r="CG210" s="1299">
        <v>1.12E-2</v>
      </c>
      <c r="CH210" s="1299">
        <v>8.0000000000000002E-3</v>
      </c>
      <c r="CI210" s="1300">
        <v>8.3000000000000001E-3</v>
      </c>
      <c r="CJ210" s="1304">
        <v>1.0699999999999999E-2</v>
      </c>
      <c r="CK210" s="1240"/>
    </row>
    <row r="211" spans="67:89" ht="14.25" customHeight="1" x14ac:dyDescent="0.2">
      <c r="BO211" s="1239"/>
      <c r="BP211" s="1295"/>
      <c r="BQ211" s="1295">
        <v>67</v>
      </c>
      <c r="BR211" s="1302">
        <v>2.6118999999999999</v>
      </c>
      <c r="BS211" s="1303">
        <v>1419.2653</v>
      </c>
      <c r="BT211" s="1299">
        <v>1.2256</v>
      </c>
      <c r="BU211" s="1299">
        <v>1.84E-2</v>
      </c>
      <c r="BV211" s="1299">
        <v>1.29E-2</v>
      </c>
      <c r="BW211" s="1300">
        <v>3.4799999999999998E-2</v>
      </c>
      <c r="BX211" s="1304">
        <v>1.7600000000000001E-2</v>
      </c>
      <c r="BY211" s="1240"/>
      <c r="CA211" s="1239"/>
      <c r="CB211" s="1295"/>
      <c r="CC211" s="1295">
        <v>67</v>
      </c>
      <c r="CD211" s="1302">
        <v>0.17150000000000001</v>
      </c>
      <c r="CE211" s="1303">
        <v>887.15700000000004</v>
      </c>
      <c r="CF211" s="1299">
        <v>0.42880000000000001</v>
      </c>
      <c r="CG211" s="1299">
        <v>1.21E-2</v>
      </c>
      <c r="CH211" s="1299">
        <v>8.3000000000000001E-3</v>
      </c>
      <c r="CI211" s="1300">
        <v>8.2000000000000007E-3</v>
      </c>
      <c r="CJ211" s="1304">
        <v>1.15E-2</v>
      </c>
      <c r="CK211" s="1240"/>
    </row>
    <row r="212" spans="67:89" ht="14.25" customHeight="1" x14ac:dyDescent="0.2">
      <c r="BO212" s="1239"/>
      <c r="BP212" s="1295"/>
      <c r="BQ212" s="1295">
        <v>68</v>
      </c>
      <c r="BR212" s="1302">
        <v>2.4994000000000001</v>
      </c>
      <c r="BS212" s="1303">
        <v>1412.9301</v>
      </c>
      <c r="BT212" s="1299">
        <v>1.2584</v>
      </c>
      <c r="BU212" s="1299">
        <v>1.9699999999999999E-2</v>
      </c>
      <c r="BV212" s="1299">
        <v>1.2800000000000001E-2</v>
      </c>
      <c r="BW212" s="1300">
        <v>3.2000000000000001E-2</v>
      </c>
      <c r="BX212" s="1304">
        <v>1.8800000000000001E-2</v>
      </c>
      <c r="BY212" s="1240"/>
      <c r="CA212" s="1239"/>
      <c r="CB212" s="1295"/>
      <c r="CC212" s="1295">
        <v>68</v>
      </c>
      <c r="CD212" s="1302">
        <v>0.1762</v>
      </c>
      <c r="CE212" s="1303">
        <v>917.71690000000001</v>
      </c>
      <c r="CF212" s="1299">
        <v>0.45479999999999998</v>
      </c>
      <c r="CG212" s="1299">
        <v>1.2999999999999999E-2</v>
      </c>
      <c r="CH212" s="1299">
        <v>8.5000000000000006E-3</v>
      </c>
      <c r="CI212" s="1300">
        <v>8.0999999999999996E-3</v>
      </c>
      <c r="CJ212" s="1304">
        <v>1.2500000000000001E-2</v>
      </c>
      <c r="CK212" s="1240"/>
    </row>
    <row r="213" spans="67:89" ht="14.25" customHeight="1" x14ac:dyDescent="0.2">
      <c r="BO213" s="1239"/>
      <c r="BP213" s="1295"/>
      <c r="BQ213" s="1295">
        <v>69</v>
      </c>
      <c r="BR213" s="1302">
        <v>2.3919000000000001</v>
      </c>
      <c r="BS213" s="1303">
        <v>1406.6232</v>
      </c>
      <c r="BT213" s="1299">
        <v>1.2922</v>
      </c>
      <c r="BU213" s="1299">
        <v>2.1000000000000001E-2</v>
      </c>
      <c r="BV213" s="1299">
        <v>1.2699999999999999E-2</v>
      </c>
      <c r="BW213" s="1300">
        <v>2.9399999999999999E-2</v>
      </c>
      <c r="BX213" s="1304">
        <v>2.01E-2</v>
      </c>
      <c r="BY213" s="1240"/>
      <c r="CA213" s="1239"/>
      <c r="CB213" s="1295"/>
      <c r="CC213" s="1295">
        <v>69</v>
      </c>
      <c r="CD213" s="1302">
        <v>0.18110000000000001</v>
      </c>
      <c r="CE213" s="1303">
        <v>949.32939999999996</v>
      </c>
      <c r="CF213" s="1299">
        <v>0.4824</v>
      </c>
      <c r="CG213" s="1299">
        <v>1.41E-2</v>
      </c>
      <c r="CH213" s="1299">
        <v>8.8000000000000005E-3</v>
      </c>
      <c r="CI213" s="1300">
        <v>8.0999999999999996E-3</v>
      </c>
      <c r="CJ213" s="1304">
        <v>1.35E-2</v>
      </c>
      <c r="CK213" s="1240"/>
    </row>
    <row r="214" spans="67:89" ht="14.25" customHeight="1" x14ac:dyDescent="0.2">
      <c r="BO214" s="1239"/>
      <c r="BP214" s="1427"/>
      <c r="BQ214" s="1427">
        <v>70</v>
      </c>
      <c r="BR214" s="1539">
        <v>2.2888999999999999</v>
      </c>
      <c r="BS214" s="1540">
        <v>1400.3444999999999</v>
      </c>
      <c r="BT214" s="1541">
        <v>1.3268</v>
      </c>
      <c r="BU214" s="1541">
        <v>2.2499999999999999E-2</v>
      </c>
      <c r="BV214" s="1541">
        <v>1.26E-2</v>
      </c>
      <c r="BW214" s="1542">
        <v>2.7E-2</v>
      </c>
      <c r="BX214" s="1543">
        <v>2.1499999999999998E-2</v>
      </c>
      <c r="BY214" s="1240"/>
      <c r="CA214" s="1239"/>
      <c r="CB214" s="1427"/>
      <c r="CC214" s="1427">
        <v>70</v>
      </c>
      <c r="CD214" s="1539">
        <v>0.18609999999999999</v>
      </c>
      <c r="CE214" s="1540">
        <v>982.03099999999995</v>
      </c>
      <c r="CF214" s="1541">
        <v>0.51160000000000005</v>
      </c>
      <c r="CG214" s="1541">
        <v>1.52E-2</v>
      </c>
      <c r="CH214" s="1541">
        <v>9.1000000000000004E-3</v>
      </c>
      <c r="CI214" s="1542">
        <v>8.0000000000000002E-3</v>
      </c>
      <c r="CJ214" s="1543">
        <v>1.46E-2</v>
      </c>
      <c r="CK214" s="1240"/>
    </row>
    <row r="215" spans="67:89" ht="14.25" customHeight="1" thickBot="1" x14ac:dyDescent="0.25">
      <c r="BO215" s="1351"/>
      <c r="BP215" s="1352"/>
      <c r="BQ215" s="1352"/>
      <c r="BR215" s="1352"/>
      <c r="BS215" s="1352"/>
      <c r="BT215" s="1352"/>
      <c r="BU215" s="1352"/>
      <c r="BV215" s="1352"/>
      <c r="BW215" s="1352"/>
      <c r="BX215" s="1352"/>
      <c r="BY215" s="1353"/>
      <c r="CA215" s="1351"/>
      <c r="CB215" s="1352"/>
      <c r="CC215" s="1352"/>
      <c r="CD215" s="1352"/>
      <c r="CE215" s="1352"/>
      <c r="CF215" s="1352"/>
      <c r="CG215" s="1352"/>
      <c r="CH215" s="1352"/>
      <c r="CI215" s="1352"/>
      <c r="CJ215" s="1352"/>
      <c r="CK215" s="1353"/>
    </row>
    <row r="216" spans="67:89" ht="14.25" customHeight="1" thickTop="1" x14ac:dyDescent="0.2"/>
    <row r="217" spans="67:89" ht="14.25" customHeight="1" x14ac:dyDescent="0.2">
      <c r="BO217" s="1371" t="s">
        <v>921</v>
      </c>
    </row>
    <row r="218" spans="67:89" ht="14.25" customHeight="1" x14ac:dyDescent="0.2"/>
    <row r="219" spans="67:89" ht="14.25" customHeight="1" x14ac:dyDescent="0.2">
      <c r="BO219" s="1371" t="s">
        <v>798</v>
      </c>
    </row>
    <row r="220" spans="67:89" ht="14.25" customHeight="1" x14ac:dyDescent="0.2"/>
    <row r="221" spans="67:89" ht="14.25" customHeight="1" x14ac:dyDescent="0.2"/>
    <row r="222" spans="67:89" ht="14.25" customHeight="1" x14ac:dyDescent="0.2"/>
    <row r="223" spans="67:89" ht="14.25" customHeight="1" x14ac:dyDescent="0.2"/>
    <row r="224" spans="67:89" ht="14.25" customHeight="1" x14ac:dyDescent="0.2"/>
    <row r="225" spans="10:14" ht="14.25" customHeight="1" x14ac:dyDescent="0.2"/>
    <row r="226" spans="10:14" ht="14.25" customHeight="1" x14ac:dyDescent="0.2"/>
    <row r="227" spans="10:14" ht="14.25" customHeight="1" x14ac:dyDescent="0.2"/>
    <row r="228" spans="10:14" ht="14.25" customHeight="1" x14ac:dyDescent="0.2"/>
    <row r="229" spans="10:14" ht="14.25" customHeight="1" x14ac:dyDescent="0.2"/>
    <row r="230" spans="10:14" ht="14.25" customHeight="1" x14ac:dyDescent="0.2"/>
    <row r="231" spans="10:14" ht="14.25" customHeight="1" x14ac:dyDescent="0.2"/>
    <row r="232" spans="10:14" ht="14.25" customHeight="1" x14ac:dyDescent="0.25">
      <c r="J232" s="650"/>
      <c r="K232" s="650"/>
      <c r="L232" s="650"/>
      <c r="M232" s="650"/>
      <c r="N232" s="650"/>
    </row>
    <row r="233" spans="10:14" ht="14.25" customHeight="1" x14ac:dyDescent="0.2"/>
    <row r="234" spans="10:14" ht="14.25" customHeight="1" x14ac:dyDescent="0.2"/>
    <row r="235" spans="10:14" ht="14.25" customHeight="1" x14ac:dyDescent="0.2"/>
    <row r="236" spans="10:14" ht="14.25" customHeight="1" x14ac:dyDescent="0.2"/>
    <row r="237" spans="10:14" ht="14.25" customHeight="1" x14ac:dyDescent="0.2"/>
    <row r="238" spans="10:14" ht="14.25" customHeight="1" x14ac:dyDescent="0.2"/>
    <row r="239" spans="10:14" ht="14.25" customHeight="1" x14ac:dyDescent="0.2"/>
    <row r="240" spans="10:14"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sheetData>
  <printOptions horizontalCentered="1"/>
  <pageMargins left="0" right="0" top="0.5" bottom="0.75" header="0.5" footer="0.5"/>
  <pageSetup scale="40" orientation="portrait" r:id="rId1"/>
  <headerFooter alignWithMargins="0">
    <oddFooter>&amp;L&amp;8Transportation Economics
Caltrans DOTP&amp;C&amp;8Cal-B/C &amp;A&amp;R&amp;8Page &amp;P
&amp;D</oddFooter>
  </headerFooter>
  <rowBreaks count="2" manualBreakCount="2">
    <brk id="79" min="65" max="89" man="1"/>
    <brk id="147" min="65" max="89" man="1"/>
  </rowBreaks>
  <colBreaks count="8" manualBreakCount="8">
    <brk id="17" max="102" man="1"/>
    <brk id="24" max="99" man="1"/>
    <brk id="41" max="99" man="1"/>
    <brk id="48" max="99" man="1"/>
    <brk id="65" max="81" man="1"/>
    <brk id="103" max="62" man="1"/>
    <brk id="117" max="62" man="1"/>
    <brk id="137" max="62"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CC"/>
  </sheetPr>
  <dimension ref="A1:F43"/>
  <sheetViews>
    <sheetView showGridLines="0" tabSelected="1" view="pageLayout" topLeftCell="A13" zoomScaleNormal="110" workbookViewId="0">
      <selection activeCell="A62" sqref="A62"/>
    </sheetView>
  </sheetViews>
  <sheetFormatPr defaultRowHeight="15" x14ac:dyDescent="0.25"/>
  <cols>
    <col min="1" max="3" width="92.5703125" customWidth="1"/>
    <col min="4" max="6" width="93.42578125" customWidth="1"/>
  </cols>
  <sheetData>
    <row r="1" spans="1:6" x14ac:dyDescent="0.25">
      <c r="A1" s="548"/>
      <c r="B1" s="549"/>
      <c r="C1" s="549"/>
      <c r="D1" s="549"/>
      <c r="F1" s="549"/>
    </row>
    <row r="2" spans="1:6" x14ac:dyDescent="0.25">
      <c r="A2" s="548"/>
      <c r="B2" s="549"/>
      <c r="C2" s="549"/>
      <c r="D2" s="549"/>
      <c r="F2" s="549"/>
    </row>
    <row r="3" spans="1:6" x14ac:dyDescent="0.25">
      <c r="A3" s="548"/>
      <c r="B3" s="549"/>
      <c r="C3" s="549"/>
      <c r="D3" s="549"/>
      <c r="F3" s="549"/>
    </row>
    <row r="4" spans="1:6" x14ac:dyDescent="0.25">
      <c r="A4" s="548"/>
      <c r="B4" s="549"/>
      <c r="C4" s="549"/>
      <c r="D4" s="549"/>
      <c r="F4" s="549"/>
    </row>
    <row r="5" spans="1:6" x14ac:dyDescent="0.25">
      <c r="A5" s="548"/>
      <c r="B5" s="549"/>
      <c r="C5" s="549"/>
      <c r="D5" s="549"/>
      <c r="F5" s="549"/>
    </row>
    <row r="6" spans="1:6" x14ac:dyDescent="0.25">
      <c r="A6" s="548"/>
      <c r="B6" s="549"/>
      <c r="C6" s="549"/>
      <c r="D6" s="549"/>
      <c r="F6" s="549"/>
    </row>
    <row r="7" spans="1:6" x14ac:dyDescent="0.25">
      <c r="A7" s="548"/>
      <c r="B7" s="549"/>
      <c r="C7" s="549"/>
      <c r="D7" s="549"/>
      <c r="F7" s="549"/>
    </row>
    <row r="8" spans="1:6" x14ac:dyDescent="0.25">
      <c r="A8" s="548"/>
      <c r="B8" s="549"/>
      <c r="C8" s="549"/>
      <c r="D8" s="549"/>
      <c r="F8" s="549"/>
    </row>
    <row r="9" spans="1:6" x14ac:dyDescent="0.25">
      <c r="A9" s="548"/>
      <c r="B9" s="549"/>
      <c r="C9" s="549"/>
      <c r="D9" s="549"/>
      <c r="F9" s="549"/>
    </row>
    <row r="10" spans="1:6" x14ac:dyDescent="0.25">
      <c r="A10" s="548"/>
      <c r="B10" s="549"/>
      <c r="C10" s="549"/>
      <c r="D10" s="549"/>
      <c r="F10" s="549"/>
    </row>
    <row r="11" spans="1:6" x14ac:dyDescent="0.25">
      <c r="A11" s="548"/>
      <c r="B11" s="549"/>
      <c r="C11" s="549"/>
      <c r="D11" s="549"/>
      <c r="F11" s="549"/>
    </row>
    <row r="12" spans="1:6" x14ac:dyDescent="0.25">
      <c r="A12" s="548"/>
      <c r="B12" s="549"/>
      <c r="C12" s="549"/>
      <c r="D12" s="549"/>
      <c r="F12" s="549"/>
    </row>
    <row r="13" spans="1:6" x14ac:dyDescent="0.25">
      <c r="A13" s="548"/>
      <c r="B13" s="549"/>
      <c r="C13" s="549"/>
      <c r="D13" s="549"/>
      <c r="F13" s="549"/>
    </row>
    <row r="14" spans="1:6" x14ac:dyDescent="0.25">
      <c r="A14" s="548"/>
      <c r="B14" s="549"/>
      <c r="C14" s="549"/>
      <c r="D14" s="549"/>
      <c r="F14" s="549"/>
    </row>
    <row r="15" spans="1:6" x14ac:dyDescent="0.25">
      <c r="A15" s="548"/>
      <c r="B15" s="549"/>
      <c r="C15" s="549"/>
      <c r="D15" s="549"/>
      <c r="F15" s="549"/>
    </row>
    <row r="16" spans="1:6" x14ac:dyDescent="0.25">
      <c r="A16" s="548"/>
      <c r="B16" s="549"/>
      <c r="C16" s="549"/>
      <c r="D16" s="549"/>
      <c r="F16" s="549"/>
    </row>
    <row r="17" spans="1:6" x14ac:dyDescent="0.25">
      <c r="A17" s="548"/>
      <c r="B17" s="549"/>
      <c r="C17" s="549"/>
      <c r="D17" s="549"/>
      <c r="F17" s="549"/>
    </row>
    <row r="18" spans="1:6" x14ac:dyDescent="0.25">
      <c r="A18" s="548"/>
      <c r="B18" s="549"/>
      <c r="C18" s="549"/>
      <c r="D18" s="549"/>
      <c r="F18" s="549"/>
    </row>
    <row r="19" spans="1:6" x14ac:dyDescent="0.25">
      <c r="A19" s="548"/>
      <c r="B19" s="549"/>
      <c r="C19" s="549"/>
      <c r="D19" s="549"/>
      <c r="F19" s="549"/>
    </row>
    <row r="20" spans="1:6" x14ac:dyDescent="0.25">
      <c r="A20" s="548"/>
      <c r="B20" s="549"/>
      <c r="C20" s="549"/>
      <c r="D20" s="549"/>
      <c r="F20" s="549"/>
    </row>
    <row r="21" spans="1:6" x14ac:dyDescent="0.25">
      <c r="A21" s="548"/>
      <c r="B21" s="549"/>
      <c r="C21" s="549"/>
      <c r="D21" s="549"/>
      <c r="F21" s="549"/>
    </row>
    <row r="22" spans="1:6" x14ac:dyDescent="0.25">
      <c r="A22" s="548"/>
      <c r="B22" s="549"/>
      <c r="C22" s="549"/>
      <c r="D22" s="549"/>
      <c r="F22" s="549"/>
    </row>
    <row r="23" spans="1:6" x14ac:dyDescent="0.25">
      <c r="A23" s="548"/>
      <c r="B23" s="549"/>
      <c r="C23" s="549"/>
      <c r="D23" s="549"/>
      <c r="F23" s="549"/>
    </row>
    <row r="24" spans="1:6" x14ac:dyDescent="0.25">
      <c r="A24" s="548"/>
      <c r="B24" s="549"/>
      <c r="C24" s="549"/>
      <c r="D24" s="549"/>
      <c r="F24" s="549"/>
    </row>
    <row r="25" spans="1:6" x14ac:dyDescent="0.25">
      <c r="A25" s="548"/>
      <c r="B25" s="549"/>
      <c r="C25" s="549"/>
      <c r="D25" s="549"/>
      <c r="F25" s="549"/>
    </row>
    <row r="26" spans="1:6" x14ac:dyDescent="0.25">
      <c r="A26" s="548"/>
      <c r="B26" s="549"/>
      <c r="C26" s="549"/>
      <c r="D26" s="549"/>
      <c r="F26" s="549"/>
    </row>
    <row r="27" spans="1:6" x14ac:dyDescent="0.25">
      <c r="A27" s="548"/>
      <c r="B27" s="549"/>
      <c r="C27" s="549"/>
      <c r="D27" s="549"/>
      <c r="F27" s="549"/>
    </row>
    <row r="28" spans="1:6" x14ac:dyDescent="0.25">
      <c r="A28" s="548"/>
      <c r="B28" s="549"/>
      <c r="C28" s="549"/>
      <c r="D28" s="549"/>
      <c r="F28" s="549"/>
    </row>
    <row r="29" spans="1:6" x14ac:dyDescent="0.25">
      <c r="A29" s="548"/>
      <c r="B29" s="549"/>
      <c r="C29" s="549"/>
      <c r="D29" s="549"/>
      <c r="F29" s="549"/>
    </row>
    <row r="30" spans="1:6" x14ac:dyDescent="0.25">
      <c r="A30" s="548"/>
      <c r="B30" s="549"/>
      <c r="C30" s="549"/>
      <c r="D30" s="549"/>
      <c r="F30" s="549"/>
    </row>
    <row r="31" spans="1:6" x14ac:dyDescent="0.25">
      <c r="A31" s="548"/>
      <c r="B31" s="549"/>
      <c r="C31" s="549"/>
      <c r="D31" s="549"/>
      <c r="F31" s="549"/>
    </row>
    <row r="32" spans="1:6" x14ac:dyDescent="0.25">
      <c r="A32" s="548"/>
      <c r="B32" s="549"/>
      <c r="C32" s="549"/>
      <c r="D32" s="549"/>
      <c r="F32" s="549"/>
    </row>
    <row r="33" spans="1:6" x14ac:dyDescent="0.25">
      <c r="A33" s="548"/>
      <c r="B33" s="549"/>
      <c r="C33" s="549"/>
      <c r="D33" s="549"/>
      <c r="F33" s="549"/>
    </row>
    <row r="34" spans="1:6" x14ac:dyDescent="0.25">
      <c r="A34" s="548"/>
      <c r="B34" s="549"/>
      <c r="C34" s="549"/>
      <c r="D34" s="549"/>
      <c r="F34" s="549"/>
    </row>
    <row r="35" spans="1:6" x14ac:dyDescent="0.25">
      <c r="A35" s="548"/>
      <c r="B35" s="549"/>
      <c r="C35" s="549"/>
      <c r="D35" s="549"/>
      <c r="F35" s="549"/>
    </row>
    <row r="36" spans="1:6" x14ac:dyDescent="0.25">
      <c r="A36" s="548"/>
      <c r="B36" s="549"/>
      <c r="C36" s="549"/>
      <c r="D36" s="549"/>
      <c r="F36" s="549"/>
    </row>
    <row r="37" spans="1:6" x14ac:dyDescent="0.25">
      <c r="A37" s="548"/>
      <c r="B37" s="549"/>
      <c r="C37" s="549"/>
      <c r="D37" s="549"/>
      <c r="F37" s="549"/>
    </row>
    <row r="38" spans="1:6" x14ac:dyDescent="0.25">
      <c r="A38" s="548"/>
      <c r="B38" s="549"/>
      <c r="C38" s="549"/>
      <c r="D38" s="549"/>
      <c r="F38" s="549"/>
    </row>
    <row r="39" spans="1:6" x14ac:dyDescent="0.25">
      <c r="A39" s="548"/>
      <c r="B39" s="549"/>
      <c r="C39" s="549"/>
      <c r="D39" s="549"/>
      <c r="F39" s="549"/>
    </row>
    <row r="40" spans="1:6" x14ac:dyDescent="0.25">
      <c r="A40" s="548"/>
      <c r="B40" s="549"/>
      <c r="C40" s="549"/>
      <c r="D40" s="549"/>
      <c r="F40" s="549"/>
    </row>
    <row r="41" spans="1:6" x14ac:dyDescent="0.25">
      <c r="A41" s="548"/>
      <c r="B41" s="549"/>
      <c r="C41" s="549"/>
      <c r="D41" s="549"/>
      <c r="F41" s="549"/>
    </row>
    <row r="42" spans="1:6" x14ac:dyDescent="0.25">
      <c r="A42" s="548"/>
      <c r="B42" s="549"/>
      <c r="C42" s="549"/>
      <c r="D42" s="549"/>
      <c r="F42" s="549"/>
    </row>
    <row r="43" spans="1:6" x14ac:dyDescent="0.25">
      <c r="A43" s="548"/>
      <c r="B43" s="549"/>
      <c r="C43" s="549"/>
      <c r="D43" s="549"/>
      <c r="F43" s="549"/>
    </row>
  </sheetData>
  <pageMargins left="0.7" right="0.7" top="0.75" bottom="0.75" header="0.3" footer="0.3"/>
  <pageSetup orientation="portrait" r:id="rId1"/>
  <headerFooter>
    <oddFooter>&amp;L&amp;8Transportation Economics
Caltrans DOTP&amp;C&amp;8Cal-B/C - &amp;A
&amp;F&amp;R&amp;8Page &amp;P
&amp;D</oddFooter>
  </headerFooter>
  <drawing r:id="rId2"/>
  <legacyDrawing r:id="rId3"/>
  <oleObjects>
    <mc:AlternateContent xmlns:mc="http://schemas.openxmlformats.org/markup-compatibility/2006">
      <mc:Choice Requires="x14">
        <oleObject progId="Word.Document.12" shapeId="9235" r:id="rId4">
          <objectPr defaultSize="0" altText="&quot;&quot;" r:id="rId5">
            <anchor moveWithCells="1">
              <from>
                <xdr:col>0</xdr:col>
                <xdr:colOff>123825</xdr:colOff>
                <xdr:row>0</xdr:row>
                <xdr:rowOff>66675</xdr:rowOff>
              </from>
              <to>
                <xdr:col>0</xdr:col>
                <xdr:colOff>5657850</xdr:colOff>
                <xdr:row>45</xdr:row>
                <xdr:rowOff>38100</xdr:rowOff>
              </to>
            </anchor>
          </objectPr>
        </oleObject>
      </mc:Choice>
      <mc:Fallback>
        <oleObject progId="Word.Document.12" shapeId="9235" r:id="rId4"/>
      </mc:Fallback>
    </mc:AlternateContent>
    <mc:AlternateContent xmlns:mc="http://schemas.openxmlformats.org/markup-compatibility/2006">
      <mc:Choice Requires="x14">
        <oleObject progId="Word.Document.12" shapeId="9236" r:id="rId6">
          <objectPr defaultSize="0" altText="&quot;&quot;" r:id="rId7">
            <anchor moveWithCells="1">
              <from>
                <xdr:col>1</xdr:col>
                <xdr:colOff>123825</xdr:colOff>
                <xdr:row>0</xdr:row>
                <xdr:rowOff>66675</xdr:rowOff>
              </from>
              <to>
                <xdr:col>1</xdr:col>
                <xdr:colOff>5657850</xdr:colOff>
                <xdr:row>45</xdr:row>
                <xdr:rowOff>95250</xdr:rowOff>
              </to>
            </anchor>
          </objectPr>
        </oleObject>
      </mc:Choice>
      <mc:Fallback>
        <oleObject progId="Word.Document.12" shapeId="9236" r:id="rId6"/>
      </mc:Fallback>
    </mc:AlternateContent>
    <mc:AlternateContent xmlns:mc="http://schemas.openxmlformats.org/markup-compatibility/2006">
      <mc:Choice Requires="x14">
        <oleObject progId="Word.Document.12" shapeId="9237" r:id="rId8">
          <objectPr defaultSize="0" altText="&quot;&quot;" r:id="rId9">
            <anchor moveWithCells="1">
              <from>
                <xdr:col>2</xdr:col>
                <xdr:colOff>123825</xdr:colOff>
                <xdr:row>0</xdr:row>
                <xdr:rowOff>66675</xdr:rowOff>
              </from>
              <to>
                <xdr:col>2</xdr:col>
                <xdr:colOff>5657850</xdr:colOff>
                <xdr:row>44</xdr:row>
                <xdr:rowOff>66675</xdr:rowOff>
              </to>
            </anchor>
          </objectPr>
        </oleObject>
      </mc:Choice>
      <mc:Fallback>
        <oleObject progId="Word.Document.12" shapeId="9237" r:id="rId8"/>
      </mc:Fallback>
    </mc:AlternateContent>
    <mc:AlternateContent xmlns:mc="http://schemas.openxmlformats.org/markup-compatibility/2006">
      <mc:Choice Requires="x14">
        <oleObject progId="Word.Document.12" shapeId="9238" r:id="rId10">
          <objectPr defaultSize="0" altText="&quot;&quot;" r:id="rId11">
            <anchor moveWithCells="1">
              <from>
                <xdr:col>3</xdr:col>
                <xdr:colOff>123825</xdr:colOff>
                <xdr:row>0</xdr:row>
                <xdr:rowOff>66675</xdr:rowOff>
              </from>
              <to>
                <xdr:col>3</xdr:col>
                <xdr:colOff>5657850</xdr:colOff>
                <xdr:row>44</xdr:row>
                <xdr:rowOff>161925</xdr:rowOff>
              </to>
            </anchor>
          </objectPr>
        </oleObject>
      </mc:Choice>
      <mc:Fallback>
        <oleObject progId="Word.Document.12" shapeId="9238" r:id="rId10"/>
      </mc:Fallback>
    </mc:AlternateContent>
    <mc:AlternateContent xmlns:mc="http://schemas.openxmlformats.org/markup-compatibility/2006">
      <mc:Choice Requires="x14">
        <oleObject progId="Word.Document.12" shapeId="9239" r:id="rId12">
          <objectPr defaultSize="0" altText="&quot;&quot;" r:id="rId13">
            <anchor moveWithCells="1">
              <from>
                <xdr:col>4</xdr:col>
                <xdr:colOff>114300</xdr:colOff>
                <xdr:row>0</xdr:row>
                <xdr:rowOff>66675</xdr:rowOff>
              </from>
              <to>
                <xdr:col>4</xdr:col>
                <xdr:colOff>5648325</xdr:colOff>
                <xdr:row>40</xdr:row>
                <xdr:rowOff>133350</xdr:rowOff>
              </to>
            </anchor>
          </objectPr>
        </oleObject>
      </mc:Choice>
      <mc:Fallback>
        <oleObject progId="Word.Document.12" shapeId="9239" r:id="rId12"/>
      </mc:Fallback>
    </mc:AlternateContent>
    <mc:AlternateContent xmlns:mc="http://schemas.openxmlformats.org/markup-compatibility/2006">
      <mc:Choice Requires="x14">
        <oleObject progId="Word.Document.12" shapeId="9240" r:id="rId14">
          <objectPr defaultSize="0" altText="&quot;&quot;" r:id="rId15">
            <anchor moveWithCells="1">
              <from>
                <xdr:col>5</xdr:col>
                <xdr:colOff>123825</xdr:colOff>
                <xdr:row>0</xdr:row>
                <xdr:rowOff>66675</xdr:rowOff>
              </from>
              <to>
                <xdr:col>5</xdr:col>
                <xdr:colOff>5657850</xdr:colOff>
                <xdr:row>42</xdr:row>
                <xdr:rowOff>180975</xdr:rowOff>
              </to>
            </anchor>
          </objectPr>
        </oleObject>
      </mc:Choice>
      <mc:Fallback>
        <oleObject progId="Word.Document.12" shapeId="9240" r:id="rId1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CCFFCC"/>
  </sheetPr>
  <dimension ref="B1:AF126"/>
  <sheetViews>
    <sheetView showGridLines="0" view="pageLayout" topLeftCell="G42" zoomScaleNormal="70" workbookViewId="0">
      <selection activeCell="Y15" sqref="Y15"/>
    </sheetView>
  </sheetViews>
  <sheetFormatPr defaultColWidth="9.42578125" defaultRowHeight="12.75" x14ac:dyDescent="0.2"/>
  <cols>
    <col min="1" max="1" width="4.5703125" style="1" customWidth="1"/>
    <col min="2" max="2" width="2.5703125" style="1" customWidth="1"/>
    <col min="3" max="3" width="7" style="1" customWidth="1"/>
    <col min="4" max="4" width="16.5703125" style="1" customWidth="1"/>
    <col min="5" max="5" width="19.42578125" style="1" customWidth="1"/>
    <col min="6" max="6" width="9.42578125" style="1"/>
    <col min="7" max="8" width="10.5703125" style="1" customWidth="1"/>
    <col min="9" max="9" width="2.5703125" style="1" customWidth="1"/>
    <col min="10" max="10" width="3.5703125" style="1" customWidth="1"/>
    <col min="11" max="11" width="2.5703125" style="3" customWidth="1"/>
    <col min="12" max="12" width="3.5703125" style="3" customWidth="1"/>
    <col min="13" max="13" width="39.42578125" style="3" customWidth="1"/>
    <col min="14" max="14" width="14.42578125" style="3" customWidth="1"/>
    <col min="15" max="17" width="12.5703125" style="3" customWidth="1"/>
    <col min="18" max="18" width="2.5703125" style="3" customWidth="1"/>
    <col min="19" max="20" width="4.5703125" style="1" customWidth="1"/>
    <col min="21" max="21" width="2.5703125" style="1" customWidth="1"/>
    <col min="22" max="22" width="9" style="5" customWidth="1"/>
    <col min="23" max="23" width="15.42578125" style="5" customWidth="1"/>
    <col min="24" max="24" width="15.42578125" style="184" customWidth="1"/>
    <col min="25" max="25" width="16.42578125" style="184" customWidth="1"/>
    <col min="26" max="27" width="13.5703125" style="184" customWidth="1"/>
    <col min="28" max="29" width="12.5703125" style="184" customWidth="1"/>
    <col min="30" max="30" width="16.42578125" style="184" customWidth="1"/>
    <col min="31" max="31" width="16.5703125" style="184" customWidth="1"/>
    <col min="32" max="32" width="2.5703125" style="1" customWidth="1"/>
    <col min="33" max="33" width="4.5703125" style="1" customWidth="1"/>
    <col min="34" max="34" width="10.42578125" style="1" customWidth="1"/>
    <col min="35" max="16384" width="9.42578125" style="1"/>
  </cols>
  <sheetData>
    <row r="1" spans="2:32" ht="14.25" customHeight="1" x14ac:dyDescent="0.2">
      <c r="C1" s="2"/>
      <c r="D1" s="2"/>
      <c r="E1" s="2"/>
      <c r="F1" s="2"/>
      <c r="G1" s="2"/>
      <c r="H1" s="2"/>
      <c r="I1" s="2"/>
      <c r="J1" s="2"/>
      <c r="K1" s="2"/>
      <c r="L1" s="2"/>
      <c r="M1" s="2"/>
      <c r="N1" s="2"/>
      <c r="O1" s="2"/>
      <c r="P1" s="2"/>
      <c r="Q1" s="2"/>
      <c r="S1" s="2"/>
      <c r="V1" s="4"/>
      <c r="X1" s="6"/>
      <c r="Y1" s="6"/>
      <c r="Z1" s="7"/>
      <c r="AA1" s="7"/>
      <c r="AB1" s="7"/>
      <c r="AC1" s="7"/>
      <c r="AD1" s="2"/>
      <c r="AE1" s="2"/>
    </row>
    <row r="2" spans="2:32" ht="14.25" customHeight="1" x14ac:dyDescent="0.2">
      <c r="C2" s="8" t="s">
        <v>3</v>
      </c>
      <c r="D2" s="9"/>
      <c r="E2" s="10">
        <v>6</v>
      </c>
      <c r="F2" s="11"/>
      <c r="G2" s="12"/>
      <c r="H2" s="12"/>
      <c r="I2" s="2"/>
      <c r="J2" s="2"/>
      <c r="K2" s="13"/>
      <c r="L2" s="2"/>
      <c r="M2" s="2"/>
      <c r="N2" s="12"/>
      <c r="O2" s="12"/>
      <c r="P2" s="2"/>
      <c r="Q2" s="2"/>
      <c r="S2" s="2"/>
      <c r="V2" s="4"/>
      <c r="W2" s="14" t="s">
        <v>4</v>
      </c>
      <c r="X2" s="6"/>
      <c r="Y2" s="6"/>
      <c r="Z2" s="7"/>
      <c r="AA2" s="7"/>
      <c r="AB2" s="7"/>
      <c r="AC2" s="7"/>
      <c r="AD2" s="2"/>
      <c r="AE2" s="2"/>
    </row>
    <row r="3" spans="2:32" ht="14.25" customHeight="1" x14ac:dyDescent="0.2">
      <c r="C3" s="15"/>
      <c r="D3" s="16"/>
      <c r="E3" s="16"/>
      <c r="F3" s="15"/>
      <c r="G3" s="12"/>
      <c r="H3" s="2"/>
      <c r="I3" s="2"/>
      <c r="J3" s="2"/>
      <c r="K3" s="2"/>
      <c r="L3" s="2"/>
      <c r="M3" s="2"/>
      <c r="N3" s="2"/>
      <c r="O3" s="2"/>
      <c r="P3" s="17" t="s">
        <v>5</v>
      </c>
      <c r="Q3" s="18" t="s">
        <v>926</v>
      </c>
      <c r="S3" s="17"/>
      <c r="V3" s="4"/>
      <c r="W3" s="14" t="s">
        <v>6</v>
      </c>
      <c r="X3" s="6"/>
      <c r="Y3" s="6"/>
      <c r="Z3" s="7"/>
      <c r="AA3" s="7"/>
      <c r="AB3" s="7"/>
      <c r="AC3" s="7"/>
      <c r="AD3" s="2"/>
      <c r="AE3" s="2"/>
    </row>
    <row r="4" spans="2:32" ht="14.25" customHeight="1" x14ac:dyDescent="0.2">
      <c r="C4" s="8" t="s">
        <v>7</v>
      </c>
      <c r="D4" s="15"/>
      <c r="E4" s="1753" t="s">
        <v>925</v>
      </c>
      <c r="F4" s="1754"/>
      <c r="G4" s="1754"/>
      <c r="H4" s="1754"/>
      <c r="I4" s="1754"/>
      <c r="J4" s="1754"/>
      <c r="K4" s="1754"/>
      <c r="L4" s="1754"/>
      <c r="M4" s="1755"/>
      <c r="N4" s="2"/>
      <c r="O4" s="2"/>
      <c r="P4" s="17" t="s">
        <v>8</v>
      </c>
      <c r="Q4" s="18"/>
      <c r="S4" s="19"/>
      <c r="V4" s="4"/>
      <c r="W4" s="14"/>
      <c r="X4" s="6"/>
      <c r="Y4" s="6"/>
      <c r="Z4" s="7"/>
      <c r="AA4" s="7"/>
      <c r="AB4" s="7"/>
      <c r="AC4" s="7"/>
      <c r="AD4" s="2"/>
      <c r="AE4" s="2"/>
    </row>
    <row r="5" spans="2:32" ht="14.25" customHeight="1" thickBot="1" x14ac:dyDescent="0.25">
      <c r="C5" s="8"/>
      <c r="D5" s="15"/>
      <c r="E5" s="20"/>
      <c r="F5" s="21"/>
      <c r="G5" s="22"/>
      <c r="H5" s="22"/>
      <c r="I5" s="22"/>
      <c r="J5" s="23"/>
      <c r="K5" s="22"/>
      <c r="L5" s="22"/>
      <c r="M5" s="24"/>
      <c r="N5" s="2"/>
      <c r="O5" s="2"/>
      <c r="P5" s="17"/>
      <c r="Q5" s="19"/>
      <c r="S5" s="19"/>
      <c r="V5" s="4"/>
      <c r="W5" s="2"/>
      <c r="X5" s="2"/>
      <c r="Y5" s="2"/>
      <c r="Z5" s="2"/>
      <c r="AA5" s="2"/>
      <c r="AB5" s="2"/>
      <c r="AC5" s="2"/>
      <c r="AD5" s="2"/>
      <c r="AE5" s="2"/>
    </row>
    <row r="6" spans="2:32" ht="14.25" customHeight="1" thickTop="1" x14ac:dyDescent="0.2">
      <c r="B6" s="25"/>
      <c r="C6" s="26"/>
      <c r="D6" s="26"/>
      <c r="E6" s="26"/>
      <c r="F6" s="26"/>
      <c r="G6" s="26"/>
      <c r="H6" s="27"/>
      <c r="I6" s="28"/>
      <c r="K6" s="25"/>
      <c r="L6" s="26"/>
      <c r="M6" s="26"/>
      <c r="N6" s="26"/>
      <c r="O6" s="26"/>
      <c r="P6" s="26"/>
      <c r="Q6" s="26"/>
      <c r="R6" s="28"/>
      <c r="U6" s="25"/>
      <c r="V6" s="29"/>
      <c r="W6" s="29"/>
      <c r="X6" s="30"/>
      <c r="Y6" s="30"/>
      <c r="Z6" s="30"/>
      <c r="AA6" s="30"/>
      <c r="AB6" s="30"/>
      <c r="AC6" s="30"/>
      <c r="AD6" s="30"/>
      <c r="AE6" s="30"/>
      <c r="AF6" s="28"/>
    </row>
    <row r="7" spans="2:32" ht="14.25" customHeight="1" x14ac:dyDescent="0.2">
      <c r="B7" s="35"/>
      <c r="C7" s="36" t="s">
        <v>9</v>
      </c>
      <c r="D7" s="37" t="s">
        <v>10</v>
      </c>
      <c r="E7" s="38"/>
      <c r="F7" s="38"/>
      <c r="G7" s="38"/>
      <c r="H7" s="38"/>
      <c r="I7" s="39"/>
      <c r="K7" s="35"/>
      <c r="L7" s="520" t="s">
        <v>11</v>
      </c>
      <c r="M7" s="521" t="s">
        <v>12</v>
      </c>
      <c r="N7" s="522"/>
      <c r="O7" s="522"/>
      <c r="P7" s="522"/>
      <c r="Q7" s="522"/>
      <c r="R7" s="525"/>
      <c r="U7" s="35"/>
      <c r="V7" s="36" t="s">
        <v>13</v>
      </c>
      <c r="W7" s="37" t="s">
        <v>14</v>
      </c>
      <c r="X7" s="38"/>
      <c r="Y7" s="38"/>
      <c r="Z7" s="38"/>
      <c r="AA7" s="38"/>
      <c r="AB7" s="38"/>
      <c r="AC7" s="38"/>
      <c r="AD7" s="38"/>
      <c r="AE7" s="38"/>
      <c r="AF7" s="39"/>
    </row>
    <row r="8" spans="2:32" ht="14.25" customHeight="1" x14ac:dyDescent="0.2">
      <c r="B8" s="35"/>
      <c r="I8" s="39"/>
      <c r="K8" s="35"/>
      <c r="L8" s="1"/>
      <c r="M8" s="1"/>
      <c r="N8" s="1"/>
      <c r="O8" s="1"/>
      <c r="P8" s="1"/>
      <c r="Q8" s="1"/>
      <c r="R8" s="39"/>
      <c r="U8" s="35"/>
      <c r="V8" s="36"/>
      <c r="W8" s="37"/>
      <c r="X8" s="38"/>
      <c r="Y8" s="38"/>
      <c r="Z8" s="38"/>
      <c r="AA8" s="38"/>
      <c r="AB8" s="38"/>
      <c r="AC8" s="38"/>
      <c r="AD8" s="38"/>
      <c r="AE8" s="38"/>
      <c r="AF8" s="39"/>
    </row>
    <row r="9" spans="2:32" ht="14.25" customHeight="1" x14ac:dyDescent="0.2">
      <c r="B9" s="35"/>
      <c r="C9" s="523" t="s">
        <v>15</v>
      </c>
      <c r="D9" s="43"/>
      <c r="E9" s="43"/>
      <c r="F9" s="44"/>
      <c r="G9" s="43"/>
      <c r="H9" s="45"/>
      <c r="I9" s="39"/>
      <c r="K9" s="35"/>
      <c r="L9" s="527"/>
      <c r="M9" s="528"/>
      <c r="N9" s="528"/>
      <c r="O9" s="528"/>
      <c r="P9" s="529"/>
      <c r="Q9" s="530"/>
      <c r="R9" s="39"/>
      <c r="U9" s="35"/>
      <c r="V9" s="47" t="s">
        <v>16</v>
      </c>
      <c r="W9" s="48" t="s">
        <v>17</v>
      </c>
      <c r="X9" s="48" t="s">
        <v>18</v>
      </c>
      <c r="Y9" s="48" t="s">
        <v>19</v>
      </c>
      <c r="Z9" s="48" t="s">
        <v>20</v>
      </c>
      <c r="AA9" s="48" t="s">
        <v>21</v>
      </c>
      <c r="AB9" s="48" t="s">
        <v>22</v>
      </c>
      <c r="AC9" s="48" t="s">
        <v>23</v>
      </c>
      <c r="AD9" s="48"/>
      <c r="AE9" s="48"/>
      <c r="AF9" s="39"/>
    </row>
    <row r="10" spans="2:32" ht="14.25" customHeight="1" x14ac:dyDescent="0.2">
      <c r="B10" s="35"/>
      <c r="C10" s="49"/>
      <c r="D10" s="50"/>
      <c r="E10" s="51"/>
      <c r="F10" s="1756" t="s">
        <v>927</v>
      </c>
      <c r="G10" s="1757"/>
      <c r="H10" s="1758"/>
      <c r="I10" s="39"/>
      <c r="K10" s="35"/>
      <c r="L10" s="531"/>
      <c r="M10" s="532"/>
      <c r="N10" s="532"/>
      <c r="O10" s="532"/>
      <c r="P10" s="533" t="s">
        <v>24</v>
      </c>
      <c r="Q10" s="534"/>
      <c r="R10" s="39"/>
      <c r="U10" s="35"/>
      <c r="V10" s="52"/>
      <c r="W10" s="53" t="s">
        <v>25</v>
      </c>
      <c r="X10" s="54"/>
      <c r="Y10" s="55"/>
      <c r="Z10" s="54"/>
      <c r="AA10" s="56"/>
      <c r="AB10" s="57"/>
      <c r="AC10" s="58" t="s">
        <v>26</v>
      </c>
      <c r="AD10" s="59"/>
      <c r="AE10" s="60"/>
      <c r="AF10" s="39"/>
    </row>
    <row r="11" spans="2:32" ht="14.25" customHeight="1" x14ac:dyDescent="0.2">
      <c r="B11" s="35"/>
      <c r="C11" s="61"/>
      <c r="D11" s="51"/>
      <c r="E11" s="51"/>
      <c r="F11" s="51"/>
      <c r="G11" s="51"/>
      <c r="H11" s="62"/>
      <c r="I11" s="39"/>
      <c r="K11" s="35"/>
      <c r="L11" s="531"/>
      <c r="M11" s="544" t="s">
        <v>27</v>
      </c>
      <c r="N11" s="519">
        <v>6</v>
      </c>
      <c r="O11" s="542"/>
      <c r="P11" s="524">
        <f>MAX('2) Model Inputs'!$D:$D)</f>
        <v>6</v>
      </c>
      <c r="Q11" s="540"/>
      <c r="R11" s="39"/>
      <c r="U11" s="35"/>
      <c r="V11" s="65"/>
      <c r="W11" s="66" t="s">
        <v>28</v>
      </c>
      <c r="X11" s="67"/>
      <c r="Y11" s="68"/>
      <c r="Z11" s="69" t="s">
        <v>29</v>
      </c>
      <c r="AA11" s="68"/>
      <c r="AB11" s="70"/>
      <c r="AC11" s="71" t="s">
        <v>30</v>
      </c>
      <c r="AD11" s="72" t="s">
        <v>31</v>
      </c>
      <c r="AE11" s="73"/>
      <c r="AF11" s="39"/>
    </row>
    <row r="12" spans="2:32" ht="14.25" customHeight="1" x14ac:dyDescent="0.2">
      <c r="B12" s="35"/>
      <c r="C12" s="74" t="s">
        <v>32</v>
      </c>
      <c r="D12" s="51"/>
      <c r="E12" s="51"/>
      <c r="F12" s="51"/>
      <c r="G12" s="51"/>
      <c r="H12" s="75">
        <v>3</v>
      </c>
      <c r="I12" s="39"/>
      <c r="K12" s="35"/>
      <c r="L12" s="545"/>
      <c r="M12" s="718" t="s">
        <v>33</v>
      </c>
      <c r="N12" s="743">
        <f>_Segments</f>
        <v>6</v>
      </c>
      <c r="O12" s="542"/>
      <c r="P12" s="524">
        <f>MAX('2) Model Inputs'!$AJ:$AJ)</f>
        <v>6</v>
      </c>
      <c r="Q12" s="541"/>
      <c r="R12" s="39"/>
      <c r="U12" s="35"/>
      <c r="V12" s="77" t="s">
        <v>34</v>
      </c>
      <c r="W12" s="78" t="s">
        <v>35</v>
      </c>
      <c r="X12" s="79"/>
      <c r="Y12" s="80"/>
      <c r="Z12" s="79" t="s">
        <v>36</v>
      </c>
      <c r="AA12" s="81"/>
      <c r="AB12" s="70"/>
      <c r="AC12" s="82" t="s">
        <v>37</v>
      </c>
      <c r="AD12" s="83" t="s">
        <v>38</v>
      </c>
      <c r="AE12" s="84" t="s">
        <v>39</v>
      </c>
      <c r="AF12" s="39"/>
    </row>
    <row r="13" spans="2:32" ht="14.25" customHeight="1" x14ac:dyDescent="0.2">
      <c r="B13" s="35"/>
      <c r="C13" s="74"/>
      <c r="D13" s="51"/>
      <c r="E13" s="51"/>
      <c r="F13" s="51"/>
      <c r="G13" s="51"/>
      <c r="H13" s="547"/>
      <c r="I13" s="39"/>
      <c r="K13" s="35"/>
      <c r="L13" s="545"/>
      <c r="M13" s="718" t="s">
        <v>862</v>
      </c>
      <c r="N13" s="743">
        <f>_Segments</f>
        <v>6</v>
      </c>
      <c r="O13" s="542"/>
      <c r="P13" s="524">
        <f>MAX('2) Model Inputs'!$BN:$BN)</f>
        <v>6</v>
      </c>
      <c r="Q13" s="541"/>
      <c r="R13" s="39"/>
      <c r="U13" s="35"/>
      <c r="V13" s="86"/>
      <c r="W13" s="87" t="s">
        <v>41</v>
      </c>
      <c r="X13" s="88" t="s">
        <v>42</v>
      </c>
      <c r="Y13" s="89" t="s">
        <v>43</v>
      </c>
      <c r="Z13" s="90" t="s">
        <v>44</v>
      </c>
      <c r="AA13" s="91" t="s">
        <v>45</v>
      </c>
      <c r="AB13" s="92" t="s">
        <v>46</v>
      </c>
      <c r="AC13" s="93" t="s">
        <v>47</v>
      </c>
      <c r="AD13" s="94" t="s">
        <v>48</v>
      </c>
      <c r="AE13" s="95" t="s">
        <v>49</v>
      </c>
      <c r="AF13" s="39"/>
    </row>
    <row r="14" spans="2:32" ht="14.25" customHeight="1" x14ac:dyDescent="0.2">
      <c r="B14" s="35"/>
      <c r="C14" s="74" t="s">
        <v>50</v>
      </c>
      <c r="D14" s="50"/>
      <c r="E14" s="85"/>
      <c r="F14" s="51"/>
      <c r="G14" s="51"/>
      <c r="H14" s="62"/>
      <c r="I14" s="39"/>
      <c r="K14" s="35"/>
      <c r="L14" s="545"/>
      <c r="M14" s="544" t="s">
        <v>40</v>
      </c>
      <c r="N14" s="519">
        <v>20</v>
      </c>
      <c r="O14" s="543"/>
      <c r="P14" s="524">
        <f>COUNT('1) Project Information'!$V24:$V43)</f>
        <v>20</v>
      </c>
      <c r="Q14" s="540"/>
      <c r="R14" s="39"/>
      <c r="U14" s="35"/>
      <c r="V14" s="97" t="s">
        <v>51</v>
      </c>
      <c r="W14" s="98"/>
      <c r="X14" s="99"/>
      <c r="Y14" s="99"/>
      <c r="Z14" s="99"/>
      <c r="AA14" s="99"/>
      <c r="AB14" s="99"/>
      <c r="AC14" s="99"/>
      <c r="AD14" s="99"/>
      <c r="AE14" s="100"/>
      <c r="AF14" s="39"/>
    </row>
    <row r="15" spans="2:32" ht="14.25" customHeight="1" x14ac:dyDescent="0.2">
      <c r="B15" s="35"/>
      <c r="C15" s="74"/>
      <c r="D15" s="50"/>
      <c r="E15" s="85"/>
      <c r="F15" s="51"/>
      <c r="G15" s="51"/>
      <c r="H15" s="62"/>
      <c r="I15" s="39"/>
      <c r="K15" s="35"/>
      <c r="L15" s="535"/>
      <c r="M15" s="536"/>
      <c r="N15" s="537"/>
      <c r="O15" s="537"/>
      <c r="P15" s="538"/>
      <c r="Q15" s="539"/>
      <c r="R15" s="39"/>
      <c r="U15" s="35"/>
      <c r="V15" s="102">
        <f>YearStart</f>
        <v>2023</v>
      </c>
      <c r="W15" s="103">
        <f>3000+5000+1600+(7000/3)</f>
        <v>11933.333333333334</v>
      </c>
      <c r="X15" s="104">
        <v>3000</v>
      </c>
      <c r="Y15" s="105">
        <f>48426.701/3</f>
        <v>16142.233666666667</v>
      </c>
      <c r="Z15" s="106" t="str">
        <f t="shared" ref="Z15:Z22" si="0">IF(V15&lt;YearOpen,IF(SUM(W15:Y15)&gt;0,"","Enter Construction Cost"),IF(SUM(W15:Y15)&gt;0,"After Construction Period",""))</f>
        <v/>
      </c>
      <c r="AA15" s="107"/>
      <c r="AB15" s="108"/>
      <c r="AC15" s="109"/>
      <c r="AD15" s="110">
        <f>SUM(W15:AC15)*1000</f>
        <v>31075567.000000004</v>
      </c>
      <c r="AE15" s="110">
        <f t="shared" ref="AE15:AE22" si="1">$AD15/(1+DiscRate)^($V15-YearCurrent)</f>
        <v>29880352.884615388</v>
      </c>
      <c r="AF15" s="39"/>
    </row>
    <row r="16" spans="2:32" ht="14.25" customHeight="1" thickBot="1" x14ac:dyDescent="0.25">
      <c r="B16" s="35"/>
      <c r="C16" s="49"/>
      <c r="D16" s="50" t="s">
        <v>52</v>
      </c>
      <c r="E16" s="85"/>
      <c r="F16" s="64">
        <v>2022</v>
      </c>
      <c r="G16" s="85"/>
      <c r="H16" s="62"/>
      <c r="I16" s="39"/>
      <c r="K16" s="126"/>
      <c r="L16" s="127"/>
      <c r="M16" s="526"/>
      <c r="N16" s="526"/>
      <c r="O16" s="526"/>
      <c r="P16" s="526"/>
      <c r="Q16" s="546"/>
      <c r="R16" s="128"/>
      <c r="U16" s="35"/>
      <c r="V16" s="112">
        <f>V15+1</f>
        <v>2024</v>
      </c>
      <c r="W16" s="113">
        <f>7000/3</f>
        <v>2333.3333333333335</v>
      </c>
      <c r="X16" s="114"/>
      <c r="Y16" s="115">
        <f>48426.701/3</f>
        <v>16142.233666666667</v>
      </c>
      <c r="Z16" s="106" t="str">
        <f t="shared" si="0"/>
        <v/>
      </c>
      <c r="AA16" s="107"/>
      <c r="AB16" s="116"/>
      <c r="AC16" s="117"/>
      <c r="AD16" s="118">
        <f>SUM(W16:AC16)*1000</f>
        <v>18475567</v>
      </c>
      <c r="AE16" s="119">
        <f t="shared" si="1"/>
        <v>17081700.258875739</v>
      </c>
      <c r="AF16" s="39"/>
    </row>
    <row r="17" spans="2:32" ht="14.25" customHeight="1" thickTop="1" x14ac:dyDescent="0.2">
      <c r="B17" s="35"/>
      <c r="C17" s="49"/>
      <c r="D17" s="50"/>
      <c r="E17" s="85"/>
      <c r="F17" s="85"/>
      <c r="G17" s="85"/>
      <c r="H17" s="62"/>
      <c r="I17" s="39"/>
      <c r="U17" s="35"/>
      <c r="V17" s="112">
        <f t="shared" ref="V17:V22" si="2">V16+1</f>
        <v>2025</v>
      </c>
      <c r="W17" s="113">
        <f>7000/3</f>
        <v>2333.3333333333335</v>
      </c>
      <c r="X17" s="114"/>
      <c r="Y17" s="115">
        <f>48426.701/3</f>
        <v>16142.233666666667</v>
      </c>
      <c r="Z17" s="106" t="str">
        <f t="shared" si="0"/>
        <v/>
      </c>
      <c r="AA17" s="107"/>
      <c r="AB17" s="116"/>
      <c r="AC17" s="117"/>
      <c r="AD17" s="118">
        <f t="shared" ref="AD17:AD22" si="3">SUM(W17:AC17)*1000</f>
        <v>18475567</v>
      </c>
      <c r="AE17" s="119">
        <f t="shared" si="1"/>
        <v>16424711.787380518</v>
      </c>
      <c r="AF17" s="39"/>
    </row>
    <row r="18" spans="2:32" ht="14.25" customHeight="1" x14ac:dyDescent="0.2">
      <c r="B18" s="35"/>
      <c r="C18" s="49"/>
      <c r="D18" s="50" t="s">
        <v>53</v>
      </c>
      <c r="E18" s="85"/>
      <c r="F18" s="64">
        <v>2023</v>
      </c>
      <c r="G18" s="85"/>
      <c r="H18" s="62"/>
      <c r="I18" s="39"/>
      <c r="K18" s="1"/>
      <c r="L18" s="111"/>
      <c r="R18" s="1"/>
      <c r="U18" s="35"/>
      <c r="V18" s="112">
        <f t="shared" si="2"/>
        <v>2026</v>
      </c>
      <c r="W18" s="113"/>
      <c r="X18" s="114"/>
      <c r="Y18" s="115"/>
      <c r="Z18" s="106" t="str">
        <f t="shared" si="0"/>
        <v/>
      </c>
      <c r="AA18" s="107"/>
      <c r="AB18" s="116"/>
      <c r="AC18" s="117"/>
      <c r="AD18" s="118">
        <f t="shared" si="3"/>
        <v>0</v>
      </c>
      <c r="AE18" s="119">
        <f t="shared" si="1"/>
        <v>0</v>
      </c>
      <c r="AF18" s="39"/>
    </row>
    <row r="19" spans="2:32" ht="14.25" customHeight="1" x14ac:dyDescent="0.2">
      <c r="B19" s="35"/>
      <c r="C19" s="49"/>
      <c r="D19" s="50"/>
      <c r="E19" s="85"/>
      <c r="F19" s="85"/>
      <c r="G19" s="85"/>
      <c r="H19" s="62"/>
      <c r="I19" s="39"/>
      <c r="K19" s="1"/>
      <c r="L19" s="125"/>
      <c r="M19" s="518"/>
      <c r="N19" s="1"/>
      <c r="O19" s="1"/>
      <c r="P19" s="96"/>
      <c r="R19" s="1"/>
      <c r="U19" s="35"/>
      <c r="V19" s="112">
        <f t="shared" si="2"/>
        <v>2027</v>
      </c>
      <c r="W19" s="113"/>
      <c r="X19" s="114"/>
      <c r="Y19" s="115"/>
      <c r="Z19" s="106" t="str">
        <f t="shared" si="0"/>
        <v/>
      </c>
      <c r="AA19" s="107"/>
      <c r="AB19" s="116"/>
      <c r="AC19" s="117"/>
      <c r="AD19" s="118">
        <f t="shared" si="3"/>
        <v>0</v>
      </c>
      <c r="AE19" s="119">
        <f t="shared" si="1"/>
        <v>0</v>
      </c>
      <c r="AF19" s="39"/>
    </row>
    <row r="20" spans="2:32" ht="14.25" customHeight="1" x14ac:dyDescent="0.2">
      <c r="B20" s="35"/>
      <c r="C20" s="49"/>
      <c r="D20" s="50" t="s">
        <v>54</v>
      </c>
      <c r="E20" s="85"/>
      <c r="F20" s="64">
        <v>2026</v>
      </c>
      <c r="G20" s="85"/>
      <c r="H20" s="62"/>
      <c r="I20" s="39"/>
      <c r="K20" s="1"/>
      <c r="L20" s="125"/>
      <c r="M20" s="518"/>
      <c r="N20" s="1"/>
      <c r="O20" s="1"/>
      <c r="P20" s="46"/>
      <c r="R20" s="1"/>
      <c r="U20" s="35"/>
      <c r="V20" s="112">
        <f t="shared" si="2"/>
        <v>2028</v>
      </c>
      <c r="W20" s="113"/>
      <c r="X20" s="114"/>
      <c r="Y20" s="132"/>
      <c r="Z20" s="106" t="str">
        <f t="shared" si="0"/>
        <v/>
      </c>
      <c r="AA20" s="107"/>
      <c r="AB20" s="116"/>
      <c r="AC20" s="117"/>
      <c r="AD20" s="118">
        <f t="shared" si="3"/>
        <v>0</v>
      </c>
      <c r="AE20" s="119">
        <f t="shared" si="1"/>
        <v>0</v>
      </c>
      <c r="AF20" s="39"/>
    </row>
    <row r="21" spans="2:32" ht="14.25" customHeight="1" x14ac:dyDescent="0.2">
      <c r="B21" s="35"/>
      <c r="C21" s="120"/>
      <c r="D21" s="121"/>
      <c r="E21" s="122"/>
      <c r="F21" s="123"/>
      <c r="G21" s="124"/>
      <c r="H21" s="210"/>
      <c r="I21" s="39"/>
      <c r="K21" s="1"/>
      <c r="L21" s="1"/>
      <c r="M21" s="125"/>
      <c r="N21" s="1"/>
      <c r="O21" s="1"/>
      <c r="P21" s="46"/>
      <c r="R21" s="1"/>
      <c r="U21" s="35"/>
      <c r="V21" s="112">
        <f t="shared" si="2"/>
        <v>2029</v>
      </c>
      <c r="W21" s="113"/>
      <c r="X21" s="114"/>
      <c r="Y21" s="133"/>
      <c r="Z21" s="106" t="str">
        <f t="shared" si="0"/>
        <v/>
      </c>
      <c r="AA21" s="107"/>
      <c r="AB21" s="116"/>
      <c r="AC21" s="117"/>
      <c r="AD21" s="118">
        <f t="shared" si="3"/>
        <v>0</v>
      </c>
      <c r="AE21" s="119">
        <f t="shared" si="1"/>
        <v>0</v>
      </c>
      <c r="AF21" s="39"/>
    </row>
    <row r="22" spans="2:32" ht="14.25" customHeight="1" thickBot="1" x14ac:dyDescent="0.25">
      <c r="B22" s="126"/>
      <c r="C22" s="127"/>
      <c r="D22" s="127"/>
      <c r="E22" s="127"/>
      <c r="F22" s="127"/>
      <c r="G22" s="127"/>
      <c r="H22" s="127"/>
      <c r="I22" s="128"/>
      <c r="L22" s="1"/>
      <c r="M22" s="63"/>
      <c r="N22" s="1"/>
      <c r="O22" s="1"/>
      <c r="P22" s="129"/>
      <c r="U22" s="35"/>
      <c r="V22" s="112">
        <f t="shared" si="2"/>
        <v>2030</v>
      </c>
      <c r="W22" s="134"/>
      <c r="X22" s="135"/>
      <c r="Y22" s="136"/>
      <c r="Z22" s="106" t="str">
        <f t="shared" si="0"/>
        <v/>
      </c>
      <c r="AA22" s="107"/>
      <c r="AB22" s="137"/>
      <c r="AC22" s="117"/>
      <c r="AD22" s="118">
        <f t="shared" si="3"/>
        <v>0</v>
      </c>
      <c r="AE22" s="119">
        <f t="shared" si="1"/>
        <v>0</v>
      </c>
      <c r="AF22" s="39"/>
    </row>
    <row r="23" spans="2:32" ht="14.25" customHeight="1" thickTop="1" x14ac:dyDescent="0.2">
      <c r="D23" s="63"/>
      <c r="G23" s="158"/>
      <c r="H23" s="159"/>
      <c r="M23" s="76"/>
      <c r="N23" s="1"/>
      <c r="O23" s="1"/>
      <c r="P23" s="130"/>
      <c r="U23" s="35"/>
      <c r="V23" s="139" t="s">
        <v>55</v>
      </c>
      <c r="W23" s="98"/>
      <c r="X23" s="99"/>
      <c r="Y23" s="99"/>
      <c r="Z23" s="99"/>
      <c r="AA23" s="99"/>
      <c r="AB23" s="99"/>
      <c r="AC23" s="99"/>
      <c r="AD23" s="99"/>
      <c r="AE23" s="100"/>
      <c r="AF23" s="39"/>
    </row>
    <row r="24" spans="2:32" ht="14.25" customHeight="1" x14ac:dyDescent="0.2">
      <c r="C24" s="162"/>
      <c r="D24" s="63"/>
      <c r="G24" s="158"/>
      <c r="H24" s="159"/>
      <c r="M24" s="76"/>
      <c r="N24" s="1"/>
      <c r="O24" s="1"/>
      <c r="P24" s="130"/>
      <c r="U24" s="35"/>
      <c r="V24" s="141">
        <f>YearOpen</f>
        <v>2026</v>
      </c>
      <c r="W24" s="142"/>
      <c r="X24" s="143"/>
      <c r="Y24" s="144"/>
      <c r="Z24" s="145">
        <v>10</v>
      </c>
      <c r="AA24" s="708"/>
      <c r="AB24" s="710"/>
      <c r="AC24" s="146"/>
      <c r="AD24" s="147">
        <f t="shared" ref="AD24:AD40" si="4">SUM(W24:AC24)*1000</f>
        <v>10000</v>
      </c>
      <c r="AE24" s="110">
        <f t="shared" ref="AE24:AE43" si="5">$AD24/(1+DiscRate)^($V24-YearCurrent)</f>
        <v>8548.0419102972573</v>
      </c>
      <c r="AF24" s="39"/>
    </row>
    <row r="25" spans="2:32" ht="14.25" customHeight="1" x14ac:dyDescent="0.2">
      <c r="D25" s="63"/>
      <c r="G25" s="165"/>
      <c r="H25" s="166"/>
      <c r="K25" s="140"/>
      <c r="L25" s="149"/>
      <c r="M25" s="37"/>
      <c r="N25" s="150"/>
      <c r="O25" s="150"/>
      <c r="P25" s="151"/>
      <c r="R25" s="140"/>
      <c r="U25" s="35"/>
      <c r="V25" s="152">
        <f>V24+1</f>
        <v>2027</v>
      </c>
      <c r="W25" s="153"/>
      <c r="X25" s="154"/>
      <c r="Y25" s="155"/>
      <c r="Z25" s="145">
        <v>10</v>
      </c>
      <c r="AA25" s="709"/>
      <c r="AB25" s="711"/>
      <c r="AC25" s="156"/>
      <c r="AD25" s="118">
        <f t="shared" si="4"/>
        <v>10000</v>
      </c>
      <c r="AE25" s="119">
        <f t="shared" si="5"/>
        <v>8219.2710675935159</v>
      </c>
      <c r="AF25" s="39"/>
    </row>
    <row r="26" spans="2:32" ht="14.25" customHeight="1" x14ac:dyDescent="0.2">
      <c r="D26" s="63"/>
      <c r="G26" s="96"/>
      <c r="H26" s="96"/>
      <c r="K26" s="157"/>
      <c r="L26" s="140"/>
      <c r="M26" s="140"/>
      <c r="N26" s="140"/>
      <c r="O26" s="140"/>
      <c r="P26" s="140"/>
      <c r="Q26" s="140"/>
      <c r="R26" s="140"/>
      <c r="U26" s="35"/>
      <c r="V26" s="152">
        <f t="shared" ref="V26:V43" si="6">V25+1</f>
        <v>2028</v>
      </c>
      <c r="W26" s="153"/>
      <c r="X26" s="154"/>
      <c r="Y26" s="155"/>
      <c r="Z26" s="145">
        <v>10</v>
      </c>
      <c r="AA26" s="709"/>
      <c r="AB26" s="711"/>
      <c r="AC26" s="156"/>
      <c r="AD26" s="118">
        <f t="shared" si="4"/>
        <v>10000</v>
      </c>
      <c r="AE26" s="119">
        <f t="shared" si="5"/>
        <v>7903.1452573014567</v>
      </c>
      <c r="AF26" s="39"/>
    </row>
    <row r="27" spans="2:32" ht="14.25" customHeight="1" x14ac:dyDescent="0.2">
      <c r="D27" s="63"/>
      <c r="G27" s="96"/>
      <c r="H27" s="96"/>
      <c r="K27" s="157"/>
      <c r="L27" s="160"/>
      <c r="M27" s="161"/>
      <c r="N27" s="161"/>
      <c r="O27" s="161"/>
      <c r="P27" s="46"/>
      <c r="Q27" s="46"/>
      <c r="R27" s="140"/>
      <c r="U27" s="35"/>
      <c r="V27" s="152">
        <f t="shared" si="6"/>
        <v>2029</v>
      </c>
      <c r="W27" s="153"/>
      <c r="X27" s="154"/>
      <c r="Y27" s="155"/>
      <c r="Z27" s="145">
        <v>10</v>
      </c>
      <c r="AA27" s="709"/>
      <c r="AB27" s="711"/>
      <c r="AC27" s="156"/>
      <c r="AD27" s="118">
        <f t="shared" si="4"/>
        <v>10000</v>
      </c>
      <c r="AE27" s="119">
        <f t="shared" si="5"/>
        <v>7599.1781320206328</v>
      </c>
      <c r="AF27" s="39"/>
    </row>
    <row r="28" spans="2:32" ht="14.25" customHeight="1" x14ac:dyDescent="0.2">
      <c r="D28" s="63"/>
      <c r="E28" s="101"/>
      <c r="G28" s="170"/>
      <c r="H28" s="170"/>
      <c r="K28" s="157"/>
      <c r="L28" s="157"/>
      <c r="M28" s="163"/>
      <c r="N28" s="19"/>
      <c r="O28" s="19"/>
      <c r="P28" s="164"/>
      <c r="Q28" s="164"/>
      <c r="R28" s="140"/>
      <c r="U28" s="35"/>
      <c r="V28" s="152">
        <f t="shared" si="6"/>
        <v>2030</v>
      </c>
      <c r="W28" s="153"/>
      <c r="X28" s="154"/>
      <c r="Y28" s="155"/>
      <c r="Z28" s="145">
        <v>10</v>
      </c>
      <c r="AA28" s="709"/>
      <c r="AB28" s="711"/>
      <c r="AC28" s="156"/>
      <c r="AD28" s="118">
        <f t="shared" si="4"/>
        <v>10000</v>
      </c>
      <c r="AE28" s="119">
        <f t="shared" si="5"/>
        <v>7306.9020500198376</v>
      </c>
      <c r="AF28" s="39"/>
    </row>
    <row r="29" spans="2:32" ht="14.25" customHeight="1" x14ac:dyDescent="0.2">
      <c r="E29" s="101"/>
      <c r="G29" s="170"/>
      <c r="H29" s="170"/>
      <c r="K29" s="157"/>
      <c r="L29" s="157"/>
      <c r="M29" s="163"/>
      <c r="N29" s="167"/>
      <c r="O29" s="167"/>
      <c r="P29" s="164"/>
      <c r="Q29" s="168"/>
      <c r="R29" s="140"/>
      <c r="U29" s="35"/>
      <c r="V29" s="152">
        <f t="shared" si="6"/>
        <v>2031</v>
      </c>
      <c r="W29" s="153"/>
      <c r="X29" s="154"/>
      <c r="Y29" s="155"/>
      <c r="Z29" s="145">
        <v>10</v>
      </c>
      <c r="AA29" s="709"/>
      <c r="AB29" s="711"/>
      <c r="AC29" s="156"/>
      <c r="AD29" s="118">
        <f t="shared" si="4"/>
        <v>10000</v>
      </c>
      <c r="AE29" s="119">
        <f t="shared" si="5"/>
        <v>7025.8673557883048</v>
      </c>
      <c r="AF29" s="39"/>
    </row>
    <row r="30" spans="2:32" ht="14.25" customHeight="1" x14ac:dyDescent="0.2">
      <c r="E30" s="101"/>
      <c r="G30" s="170"/>
      <c r="H30" s="170"/>
      <c r="K30" s="157"/>
      <c r="L30" s="169"/>
      <c r="M30" s="163"/>
      <c r="N30" s="167"/>
      <c r="O30" s="167"/>
      <c r="P30" s="131"/>
      <c r="Q30" s="130"/>
      <c r="R30" s="140"/>
      <c r="U30" s="35"/>
      <c r="V30" s="152">
        <f t="shared" si="6"/>
        <v>2032</v>
      </c>
      <c r="W30" s="153"/>
      <c r="X30" s="154"/>
      <c r="Y30" s="155"/>
      <c r="Z30" s="145">
        <v>10</v>
      </c>
      <c r="AA30" s="709"/>
      <c r="AB30" s="711"/>
      <c r="AC30" s="156"/>
      <c r="AD30" s="118">
        <f t="shared" si="4"/>
        <v>10000</v>
      </c>
      <c r="AE30" s="119">
        <f t="shared" si="5"/>
        <v>6755.6416882579852</v>
      </c>
      <c r="AF30" s="39"/>
    </row>
    <row r="31" spans="2:32" ht="14.25" customHeight="1" x14ac:dyDescent="0.2">
      <c r="C31" s="160"/>
      <c r="D31" s="172"/>
      <c r="E31" s="172"/>
      <c r="F31" s="12"/>
      <c r="G31" s="12"/>
      <c r="H31" s="12"/>
      <c r="K31" s="157"/>
      <c r="L31" s="169"/>
      <c r="M31" s="163"/>
      <c r="N31" s="167"/>
      <c r="O31" s="167"/>
      <c r="P31" s="167"/>
      <c r="Q31" s="130"/>
      <c r="R31" s="140"/>
      <c r="U31" s="35"/>
      <c r="V31" s="152">
        <f t="shared" si="6"/>
        <v>2033</v>
      </c>
      <c r="W31" s="153"/>
      <c r="X31" s="154"/>
      <c r="Y31" s="155"/>
      <c r="Z31" s="145">
        <v>10</v>
      </c>
      <c r="AA31" s="709"/>
      <c r="AB31" s="711"/>
      <c r="AC31" s="156"/>
      <c r="AD31" s="118">
        <f t="shared" si="4"/>
        <v>10000</v>
      </c>
      <c r="AE31" s="119">
        <f t="shared" si="5"/>
        <v>6495.8093156326786</v>
      </c>
      <c r="AF31" s="39"/>
    </row>
    <row r="32" spans="2:32" ht="14.25" customHeight="1" x14ac:dyDescent="0.2">
      <c r="C32" s="13"/>
      <c r="D32" s="163"/>
      <c r="E32" s="167"/>
      <c r="G32" s="164"/>
      <c r="H32" s="173"/>
      <c r="K32" s="157"/>
      <c r="L32" s="171"/>
      <c r="M32" s="171"/>
      <c r="N32" s="171"/>
      <c r="O32" s="171"/>
      <c r="P32" s="171"/>
      <c r="Q32" s="171"/>
      <c r="R32" s="140"/>
      <c r="U32" s="35"/>
      <c r="V32" s="152">
        <f t="shared" si="6"/>
        <v>2034</v>
      </c>
      <c r="W32" s="153"/>
      <c r="X32" s="154"/>
      <c r="Y32" s="155"/>
      <c r="Z32" s="145">
        <v>10</v>
      </c>
      <c r="AA32" s="709"/>
      <c r="AB32" s="711"/>
      <c r="AC32" s="156"/>
      <c r="AD32" s="118">
        <f t="shared" si="4"/>
        <v>10000</v>
      </c>
      <c r="AE32" s="119">
        <f t="shared" si="5"/>
        <v>6245.9704958006514</v>
      </c>
      <c r="AF32" s="39"/>
    </row>
    <row r="33" spans="3:32" ht="14.25" customHeight="1" x14ac:dyDescent="0.2">
      <c r="C33" s="2"/>
      <c r="D33" s="140"/>
      <c r="E33" s="19"/>
      <c r="G33" s="46"/>
      <c r="H33" s="46"/>
      <c r="K33" s="140"/>
      <c r="L33" s="160"/>
      <c r="M33" s="161"/>
      <c r="N33" s="161"/>
      <c r="O33" s="161"/>
      <c r="P33" s="46"/>
      <c r="Q33" s="46"/>
      <c r="R33" s="140"/>
      <c r="U33" s="35"/>
      <c r="V33" s="152">
        <f t="shared" si="6"/>
        <v>2035</v>
      </c>
      <c r="W33" s="153"/>
      <c r="X33" s="154"/>
      <c r="Y33" s="155"/>
      <c r="Z33" s="145">
        <v>10</v>
      </c>
      <c r="AA33" s="709"/>
      <c r="AB33" s="711"/>
      <c r="AC33" s="156"/>
      <c r="AD33" s="118">
        <f t="shared" si="4"/>
        <v>10000</v>
      </c>
      <c r="AE33" s="119">
        <f t="shared" si="5"/>
        <v>6005.7408613467796</v>
      </c>
      <c r="AF33" s="39"/>
    </row>
    <row r="34" spans="3:32" ht="14.25" customHeight="1" x14ac:dyDescent="0.2">
      <c r="C34" s="2"/>
      <c r="D34" s="140"/>
      <c r="E34" s="19"/>
      <c r="G34" s="164"/>
      <c r="H34" s="164"/>
      <c r="K34" s="157"/>
      <c r="L34" s="157"/>
      <c r="M34" s="163"/>
      <c r="N34" s="19"/>
      <c r="O34" s="19"/>
      <c r="P34" s="164"/>
      <c r="Q34" s="164"/>
      <c r="R34" s="140"/>
      <c r="U34" s="35"/>
      <c r="V34" s="152">
        <f t="shared" si="6"/>
        <v>2036</v>
      </c>
      <c r="W34" s="153"/>
      <c r="X34" s="154"/>
      <c r="Y34" s="155"/>
      <c r="Z34" s="145">
        <v>10</v>
      </c>
      <c r="AA34" s="709"/>
      <c r="AB34" s="711"/>
      <c r="AC34" s="156"/>
      <c r="AD34" s="118">
        <f t="shared" si="4"/>
        <v>10000</v>
      </c>
      <c r="AE34" s="119">
        <f t="shared" si="5"/>
        <v>5774.7508282180579</v>
      </c>
      <c r="AF34" s="39"/>
    </row>
    <row r="35" spans="3:32" ht="14.25" customHeight="1" x14ac:dyDescent="0.2">
      <c r="C35" s="13"/>
      <c r="D35" s="163"/>
      <c r="E35" s="167"/>
      <c r="F35" s="163"/>
      <c r="G35" s="164"/>
      <c r="H35" s="164"/>
      <c r="K35" s="157"/>
      <c r="L35" s="157"/>
      <c r="M35" s="163"/>
      <c r="N35" s="167"/>
      <c r="O35" s="167"/>
      <c r="P35" s="164"/>
      <c r="Q35" s="164"/>
      <c r="R35" s="140"/>
      <c r="U35" s="35"/>
      <c r="V35" s="152">
        <f t="shared" si="6"/>
        <v>2037</v>
      </c>
      <c r="W35" s="153"/>
      <c r="X35" s="154"/>
      <c r="Y35" s="155"/>
      <c r="Z35" s="145">
        <v>10</v>
      </c>
      <c r="AA35" s="709"/>
      <c r="AB35" s="711"/>
      <c r="AC35" s="156"/>
      <c r="AD35" s="118">
        <f t="shared" si="4"/>
        <v>10000</v>
      </c>
      <c r="AE35" s="119">
        <f t="shared" si="5"/>
        <v>5552.6450271327476</v>
      </c>
      <c r="AF35" s="39"/>
    </row>
    <row r="36" spans="3:32" ht="14.25" customHeight="1" x14ac:dyDescent="0.2">
      <c r="C36" s="169"/>
      <c r="D36" s="163"/>
      <c r="E36" s="167"/>
      <c r="F36" s="163"/>
      <c r="G36" s="164"/>
      <c r="H36" s="164"/>
      <c r="K36" s="157"/>
      <c r="L36" s="169"/>
      <c r="M36" s="163"/>
      <c r="N36" s="167"/>
      <c r="O36" s="167"/>
      <c r="P36" s="164"/>
      <c r="Q36" s="164"/>
      <c r="R36" s="140"/>
      <c r="U36" s="35"/>
      <c r="V36" s="152">
        <f t="shared" si="6"/>
        <v>2038</v>
      </c>
      <c r="W36" s="153"/>
      <c r="X36" s="154"/>
      <c r="Y36" s="155"/>
      <c r="Z36" s="145">
        <v>10</v>
      </c>
      <c r="AA36" s="709"/>
      <c r="AB36" s="711"/>
      <c r="AC36" s="156"/>
      <c r="AD36" s="118">
        <f t="shared" si="4"/>
        <v>10000</v>
      </c>
      <c r="AE36" s="119">
        <f t="shared" si="5"/>
        <v>5339.0817568584107</v>
      </c>
      <c r="AF36" s="39"/>
    </row>
    <row r="37" spans="3:32" ht="14.25" customHeight="1" x14ac:dyDescent="0.2">
      <c r="C37" s="169"/>
      <c r="D37" s="163"/>
      <c r="E37" s="167"/>
      <c r="F37" s="163"/>
      <c r="G37" s="164"/>
      <c r="H37" s="164"/>
      <c r="K37" s="1"/>
      <c r="L37" s="1"/>
      <c r="M37" s="1"/>
      <c r="N37" s="1"/>
      <c r="O37" s="1"/>
      <c r="P37" s="1"/>
      <c r="Q37" s="1"/>
      <c r="R37" s="1"/>
      <c r="U37" s="35"/>
      <c r="V37" s="152">
        <f t="shared" si="6"/>
        <v>2039</v>
      </c>
      <c r="W37" s="153"/>
      <c r="X37" s="154"/>
      <c r="Y37" s="155"/>
      <c r="Z37" s="145">
        <v>10</v>
      </c>
      <c r="AA37" s="709"/>
      <c r="AB37" s="711"/>
      <c r="AC37" s="156"/>
      <c r="AD37" s="118">
        <f t="shared" si="4"/>
        <v>10000</v>
      </c>
      <c r="AE37" s="119">
        <f t="shared" si="5"/>
        <v>5133.7324585177021</v>
      </c>
      <c r="AF37" s="39"/>
    </row>
    <row r="38" spans="3:32" ht="14.25" customHeight="1" x14ac:dyDescent="0.2">
      <c r="C38" s="169"/>
      <c r="D38" s="163"/>
      <c r="E38" s="167"/>
      <c r="F38" s="163"/>
      <c r="G38" s="164"/>
      <c r="H38" s="164"/>
      <c r="K38" s="157"/>
      <c r="L38" s="169"/>
      <c r="M38" s="163"/>
      <c r="N38" s="167"/>
      <c r="O38" s="167"/>
      <c r="P38" s="164"/>
      <c r="Q38" s="164"/>
      <c r="R38" s="140"/>
      <c r="U38" s="35"/>
      <c r="V38" s="152">
        <f t="shared" si="6"/>
        <v>2040</v>
      </c>
      <c r="W38" s="153"/>
      <c r="X38" s="154"/>
      <c r="Y38" s="155"/>
      <c r="Z38" s="145">
        <v>10</v>
      </c>
      <c r="AA38" s="709"/>
      <c r="AB38" s="711"/>
      <c r="AC38" s="156"/>
      <c r="AD38" s="118">
        <f t="shared" si="4"/>
        <v>10000</v>
      </c>
      <c r="AE38" s="119">
        <f t="shared" si="5"/>
        <v>4936.2812101131749</v>
      </c>
      <c r="AF38" s="39"/>
    </row>
    <row r="39" spans="3:32" ht="14.25" customHeight="1" x14ac:dyDescent="0.2">
      <c r="C39" s="169"/>
      <c r="D39" s="163"/>
      <c r="E39" s="167"/>
      <c r="F39" s="163"/>
      <c r="G39" s="164"/>
      <c r="H39" s="164"/>
      <c r="K39" s="157"/>
      <c r="L39" s="169"/>
      <c r="M39" s="17"/>
      <c r="N39" s="167"/>
      <c r="O39" s="167"/>
      <c r="P39" s="131"/>
      <c r="Q39" s="164"/>
      <c r="R39" s="140"/>
      <c r="U39" s="35"/>
      <c r="V39" s="152">
        <f t="shared" si="6"/>
        <v>2041</v>
      </c>
      <c r="W39" s="153"/>
      <c r="X39" s="154"/>
      <c r="Y39" s="155"/>
      <c r="Z39" s="145">
        <v>10</v>
      </c>
      <c r="AA39" s="709"/>
      <c r="AB39" s="711"/>
      <c r="AC39" s="156"/>
      <c r="AD39" s="118">
        <f t="shared" si="4"/>
        <v>10000</v>
      </c>
      <c r="AE39" s="119">
        <f t="shared" si="5"/>
        <v>4746.4242404934375</v>
      </c>
      <c r="AF39" s="39"/>
    </row>
    <row r="40" spans="3:32" ht="14.25" customHeight="1" x14ac:dyDescent="0.2">
      <c r="C40" s="169"/>
      <c r="D40" s="163"/>
      <c r="E40" s="167"/>
      <c r="F40" s="163"/>
      <c r="G40" s="164"/>
      <c r="H40" s="164"/>
      <c r="K40" s="171"/>
      <c r="L40" s="171"/>
      <c r="M40" s="171"/>
      <c r="N40" s="171"/>
      <c r="O40" s="171"/>
      <c r="P40" s="171"/>
      <c r="Q40" s="171"/>
      <c r="R40" s="171"/>
      <c r="U40" s="35"/>
      <c r="V40" s="152">
        <f t="shared" si="6"/>
        <v>2042</v>
      </c>
      <c r="W40" s="153"/>
      <c r="X40" s="154"/>
      <c r="Y40" s="155"/>
      <c r="Z40" s="145">
        <v>10</v>
      </c>
      <c r="AA40" s="709"/>
      <c r="AB40" s="711"/>
      <c r="AC40" s="156"/>
      <c r="AD40" s="118">
        <f t="shared" si="4"/>
        <v>10000</v>
      </c>
      <c r="AE40" s="119">
        <f t="shared" si="5"/>
        <v>4563.8694620129208</v>
      </c>
      <c r="AF40" s="39"/>
    </row>
    <row r="41" spans="3:32" ht="14.25" customHeight="1" x14ac:dyDescent="0.2">
      <c r="C41" s="169"/>
      <c r="D41" s="163"/>
      <c r="E41" s="167"/>
      <c r="F41" s="163"/>
      <c r="G41" s="164"/>
      <c r="H41" s="164"/>
      <c r="K41" s="171"/>
      <c r="L41" s="171"/>
      <c r="M41" s="171"/>
      <c r="N41" s="171"/>
      <c r="O41" s="171"/>
      <c r="P41" s="171"/>
      <c r="Q41" s="171"/>
      <c r="R41" s="171"/>
      <c r="U41" s="35"/>
      <c r="V41" s="152">
        <f t="shared" si="6"/>
        <v>2043</v>
      </c>
      <c r="W41" s="153"/>
      <c r="X41" s="154"/>
      <c r="Y41" s="155"/>
      <c r="Z41" s="145">
        <v>10</v>
      </c>
      <c r="AA41" s="709"/>
      <c r="AB41" s="711"/>
      <c r="AC41" s="156"/>
      <c r="AD41" s="118">
        <f>SUM(W41:AC41)*1000</f>
        <v>10000</v>
      </c>
      <c r="AE41" s="119">
        <f t="shared" si="5"/>
        <v>4388.3360211662684</v>
      </c>
      <c r="AF41" s="39"/>
    </row>
    <row r="42" spans="3:32" ht="14.25" customHeight="1" x14ac:dyDescent="0.2">
      <c r="C42" s="169"/>
      <c r="D42" s="163"/>
      <c r="E42" s="167"/>
      <c r="F42" s="163"/>
      <c r="G42" s="164"/>
      <c r="H42" s="164"/>
      <c r="K42" s="171"/>
      <c r="L42" s="171"/>
      <c r="M42" s="171"/>
      <c r="N42" s="171"/>
      <c r="O42" s="171"/>
      <c r="P42" s="171"/>
      <c r="Q42" s="171"/>
      <c r="R42" s="171"/>
      <c r="U42" s="35"/>
      <c r="V42" s="152">
        <f t="shared" si="6"/>
        <v>2044</v>
      </c>
      <c r="W42" s="153"/>
      <c r="X42" s="154"/>
      <c r="Y42" s="155"/>
      <c r="Z42" s="145">
        <v>10</v>
      </c>
      <c r="AA42" s="709"/>
      <c r="AB42" s="711"/>
      <c r="AC42" s="156"/>
      <c r="AD42" s="118">
        <f>SUM(W42:AC42)*1000</f>
        <v>10000</v>
      </c>
      <c r="AE42" s="119">
        <f t="shared" si="5"/>
        <v>4219.5538665060276</v>
      </c>
      <c r="AF42" s="39"/>
    </row>
    <row r="43" spans="3:32" ht="14.25" customHeight="1" x14ac:dyDescent="0.2">
      <c r="C43" s="169"/>
      <c r="D43" s="163"/>
      <c r="E43" s="167"/>
      <c r="F43" s="163"/>
      <c r="G43" s="164"/>
      <c r="H43" s="164"/>
      <c r="K43" s="171"/>
      <c r="L43" s="171"/>
      <c r="M43" s="171"/>
      <c r="N43" s="171"/>
      <c r="O43" s="171"/>
      <c r="P43" s="171"/>
      <c r="Q43" s="171"/>
      <c r="R43" s="171"/>
      <c r="U43" s="35"/>
      <c r="V43" s="152">
        <f t="shared" si="6"/>
        <v>2045</v>
      </c>
      <c r="W43" s="153"/>
      <c r="X43" s="154"/>
      <c r="Y43" s="155"/>
      <c r="Z43" s="145">
        <v>10</v>
      </c>
      <c r="AA43" s="709"/>
      <c r="AB43" s="711"/>
      <c r="AC43" s="156"/>
      <c r="AD43" s="118">
        <f>SUM(W43:AC43)*1000</f>
        <v>10000</v>
      </c>
      <c r="AE43" s="119">
        <f t="shared" si="5"/>
        <v>4057.2633331788734</v>
      </c>
      <c r="AF43" s="39"/>
    </row>
    <row r="44" spans="3:32" ht="14.25" customHeight="1" x14ac:dyDescent="0.2">
      <c r="C44" s="169"/>
      <c r="D44" s="163"/>
      <c r="E44" s="167"/>
      <c r="F44" s="163"/>
      <c r="G44" s="164"/>
      <c r="H44" s="164"/>
      <c r="K44" s="171"/>
      <c r="L44" s="171"/>
      <c r="M44" s="171"/>
      <c r="N44" s="171"/>
      <c r="O44" s="171"/>
      <c r="P44" s="171"/>
      <c r="Q44" s="171"/>
      <c r="R44" s="171"/>
      <c r="U44" s="35"/>
      <c r="V44" s="176" t="s">
        <v>56</v>
      </c>
      <c r="W44" s="177">
        <f t="shared" ref="W44:AE44" si="7">SUM(W15:W43)</f>
        <v>16600</v>
      </c>
      <c r="X44" s="177">
        <f t="shared" si="7"/>
        <v>3000</v>
      </c>
      <c r="Y44" s="178">
        <f t="shared" si="7"/>
        <v>48426.701000000001</v>
      </c>
      <c r="Z44" s="177">
        <f t="shared" si="7"/>
        <v>200</v>
      </c>
      <c r="AA44" s="178">
        <f t="shared" si="7"/>
        <v>0</v>
      </c>
      <c r="AB44" s="177">
        <f t="shared" si="7"/>
        <v>0</v>
      </c>
      <c r="AC44" s="177">
        <f t="shared" si="7"/>
        <v>0</v>
      </c>
      <c r="AD44" s="179">
        <f t="shared" si="7"/>
        <v>68226701</v>
      </c>
      <c r="AE44" s="180">
        <f t="shared" si="7"/>
        <v>63507582.437209889</v>
      </c>
      <c r="AF44" s="39"/>
    </row>
    <row r="45" spans="3:32" ht="14.25" customHeight="1" thickBot="1" x14ac:dyDescent="0.25">
      <c r="C45" s="169"/>
      <c r="D45" s="163"/>
      <c r="E45" s="167"/>
      <c r="F45" s="163"/>
      <c r="G45" s="164"/>
      <c r="H45" s="164"/>
      <c r="K45" s="171"/>
      <c r="L45" s="171"/>
      <c r="M45" s="171"/>
      <c r="N45" s="171"/>
      <c r="O45" s="171"/>
      <c r="P45" s="171"/>
      <c r="Q45" s="171"/>
      <c r="R45" s="171"/>
      <c r="U45" s="126"/>
      <c r="V45" s="127"/>
      <c r="W45" s="127"/>
      <c r="X45" s="127"/>
      <c r="Y45" s="127"/>
      <c r="Z45" s="127"/>
      <c r="AA45" s="127"/>
      <c r="AB45" s="127"/>
      <c r="AC45" s="127"/>
      <c r="AD45" s="127"/>
      <c r="AE45" s="127"/>
      <c r="AF45" s="128"/>
    </row>
    <row r="46" spans="3:32" ht="14.25" customHeight="1" thickTop="1" x14ac:dyDescent="0.2">
      <c r="C46" s="169"/>
      <c r="D46" s="163"/>
      <c r="E46" s="167"/>
      <c r="F46" s="163"/>
      <c r="G46" s="164"/>
      <c r="H46" s="164"/>
      <c r="K46" s="171"/>
      <c r="L46" s="171"/>
      <c r="M46" s="171"/>
      <c r="N46" s="171"/>
      <c r="O46" s="171"/>
      <c r="P46" s="171"/>
      <c r="Q46" s="171"/>
      <c r="R46" s="171"/>
      <c r="V46" s="36"/>
      <c r="W46" s="36"/>
      <c r="X46" s="154"/>
      <c r="Y46" s="154"/>
      <c r="Z46" s="154"/>
      <c r="AA46" s="154"/>
      <c r="AB46" s="154"/>
      <c r="AC46" s="154"/>
      <c r="AD46" s="154"/>
      <c r="AE46" s="154"/>
    </row>
    <row r="47" spans="3:32" ht="14.25" customHeight="1" x14ac:dyDescent="0.2">
      <c r="C47" s="169"/>
      <c r="D47" s="163"/>
      <c r="E47" s="167"/>
      <c r="F47" s="163"/>
      <c r="G47" s="164"/>
      <c r="H47" s="164"/>
      <c r="K47" s="171"/>
      <c r="L47" s="171"/>
      <c r="M47" s="171"/>
      <c r="N47" s="171"/>
      <c r="O47" s="171"/>
      <c r="P47" s="171"/>
      <c r="Q47" s="171"/>
      <c r="R47" s="171"/>
      <c r="V47" s="2"/>
      <c r="W47" s="2"/>
      <c r="X47" s="2"/>
      <c r="Y47" s="2"/>
      <c r="Z47" s="2"/>
      <c r="AA47" s="2"/>
      <c r="AB47" s="2"/>
      <c r="AC47" s="2"/>
      <c r="AD47" s="2"/>
      <c r="AE47" s="2"/>
    </row>
    <row r="48" spans="3:32" ht="14.25" customHeight="1" x14ac:dyDescent="0.2">
      <c r="C48" s="169"/>
      <c r="D48" s="163"/>
      <c r="E48" s="167"/>
      <c r="F48" s="163"/>
      <c r="G48" s="164"/>
      <c r="H48" s="164"/>
      <c r="K48" s="171"/>
      <c r="L48" s="171"/>
      <c r="M48" s="171"/>
      <c r="N48" s="171"/>
      <c r="O48" s="171"/>
      <c r="P48" s="171"/>
      <c r="Q48" s="171"/>
      <c r="R48" s="171"/>
      <c r="V48" s="2"/>
      <c r="W48" s="2"/>
      <c r="X48" s="2"/>
      <c r="Y48" s="2"/>
      <c r="Z48" s="2"/>
      <c r="AA48" s="2"/>
      <c r="AB48" s="31" t="s">
        <v>57</v>
      </c>
      <c r="AC48" s="32"/>
      <c r="AD48" s="33"/>
      <c r="AE48" s="34"/>
    </row>
    <row r="49" spans="3:31" ht="14.25" customHeight="1" x14ac:dyDescent="0.2">
      <c r="C49" s="169"/>
      <c r="D49" s="163"/>
      <c r="E49" s="167"/>
      <c r="F49" s="163"/>
      <c r="G49" s="164"/>
      <c r="H49" s="164"/>
      <c r="K49" s="171"/>
      <c r="L49" s="171"/>
      <c r="M49" s="171"/>
      <c r="N49" s="171"/>
      <c r="O49" s="171"/>
      <c r="P49" s="171"/>
      <c r="Q49" s="171"/>
      <c r="R49" s="171"/>
      <c r="V49" s="2"/>
      <c r="W49" s="2"/>
      <c r="X49" s="2"/>
      <c r="Y49" s="2"/>
      <c r="Z49" s="2"/>
      <c r="AA49" s="2"/>
      <c r="AB49" s="40"/>
      <c r="AC49" s="41" t="s">
        <v>58</v>
      </c>
      <c r="AD49" s="41"/>
      <c r="AE49" s="42"/>
    </row>
    <row r="50" spans="3:31" ht="14.25" customHeight="1" x14ac:dyDescent="0.2">
      <c r="C50" s="169"/>
      <c r="D50" s="163"/>
      <c r="E50" s="167"/>
      <c r="F50" s="163"/>
      <c r="G50" s="164"/>
      <c r="H50" s="164"/>
      <c r="K50" s="171"/>
      <c r="L50" s="171"/>
      <c r="M50" s="171"/>
      <c r="N50" s="171"/>
      <c r="O50" s="171"/>
      <c r="P50" s="171"/>
      <c r="Q50" s="171"/>
      <c r="R50" s="171"/>
    </row>
    <row r="51" spans="3:31" ht="14.25" customHeight="1" x14ac:dyDescent="0.2">
      <c r="C51" s="169"/>
      <c r="D51" s="163"/>
      <c r="E51" s="167"/>
      <c r="F51" s="163"/>
      <c r="G51" s="164"/>
      <c r="H51" s="164"/>
      <c r="K51" s="171"/>
      <c r="L51" s="171"/>
      <c r="M51" s="171"/>
      <c r="N51" s="171"/>
      <c r="O51" s="171"/>
      <c r="P51" s="171"/>
      <c r="Q51" s="171"/>
      <c r="R51" s="171"/>
    </row>
    <row r="52" spans="3:31" ht="14.25" customHeight="1" x14ac:dyDescent="0.2">
      <c r="C52" s="169"/>
      <c r="D52" s="163"/>
      <c r="E52" s="167"/>
      <c r="F52" s="163"/>
      <c r="G52" s="164"/>
      <c r="H52" s="164"/>
      <c r="K52" s="171"/>
      <c r="L52" s="171"/>
      <c r="M52" s="171"/>
      <c r="N52" s="171"/>
      <c r="O52" s="171"/>
      <c r="P52" s="171"/>
      <c r="Q52" s="171"/>
      <c r="R52" s="171"/>
    </row>
    <row r="53" spans="3:31" ht="14.25" customHeight="1" x14ac:dyDescent="0.2">
      <c r="C53" s="169"/>
      <c r="D53" s="163"/>
      <c r="E53" s="167"/>
      <c r="F53" s="163"/>
      <c r="G53" s="164"/>
      <c r="H53" s="164"/>
      <c r="K53" s="171"/>
      <c r="L53" s="171"/>
      <c r="M53" s="171"/>
      <c r="N53" s="171"/>
      <c r="O53" s="171"/>
      <c r="P53" s="171"/>
      <c r="Q53" s="171"/>
      <c r="R53" s="171"/>
      <c r="AB53" s="190"/>
    </row>
    <row r="54" spans="3:31" ht="14.25" customHeight="1" x14ac:dyDescent="0.2">
      <c r="C54" s="169"/>
      <c r="D54" s="163"/>
      <c r="E54" s="167"/>
      <c r="F54" s="163"/>
      <c r="G54" s="164"/>
      <c r="H54" s="164"/>
      <c r="K54" s="171"/>
      <c r="L54" s="171"/>
      <c r="M54" s="171"/>
      <c r="N54" s="171"/>
      <c r="O54" s="171"/>
      <c r="P54" s="171"/>
      <c r="Q54" s="171"/>
      <c r="R54" s="171"/>
    </row>
    <row r="55" spans="3:31" ht="14.25" customHeight="1" x14ac:dyDescent="0.2">
      <c r="C55" s="169"/>
      <c r="D55" s="163"/>
      <c r="E55" s="167"/>
      <c r="F55" s="163"/>
      <c r="G55" s="164"/>
      <c r="H55" s="164"/>
      <c r="K55" s="171"/>
      <c r="L55" s="171"/>
      <c r="M55" s="171"/>
      <c r="N55" s="171"/>
      <c r="O55" s="171"/>
      <c r="P55" s="171"/>
      <c r="Q55" s="171"/>
      <c r="R55" s="171"/>
    </row>
    <row r="56" spans="3:31" ht="14.25" customHeight="1" x14ac:dyDescent="0.2">
      <c r="C56" s="169"/>
      <c r="D56" s="163"/>
      <c r="E56" s="167"/>
      <c r="F56" s="163"/>
      <c r="G56" s="164"/>
      <c r="H56" s="164"/>
      <c r="K56" s="171"/>
      <c r="L56" s="171"/>
      <c r="M56" s="171"/>
      <c r="N56" s="171"/>
      <c r="O56" s="171"/>
      <c r="P56" s="171"/>
      <c r="Q56" s="171"/>
      <c r="R56" s="171"/>
    </row>
    <row r="57" spans="3:31" ht="14.25" customHeight="1" x14ac:dyDescent="0.2">
      <c r="C57" s="169"/>
      <c r="D57" s="163"/>
      <c r="E57" s="167"/>
      <c r="F57" s="163"/>
      <c r="G57" s="164"/>
      <c r="H57" s="164"/>
      <c r="K57" s="171"/>
      <c r="L57" s="171"/>
      <c r="M57" s="171"/>
      <c r="N57" s="171"/>
      <c r="O57" s="171"/>
      <c r="P57" s="171"/>
      <c r="Q57" s="171"/>
      <c r="R57" s="171"/>
    </row>
    <row r="58" spans="3:31" ht="14.25" customHeight="1" x14ac:dyDescent="0.2">
      <c r="C58" s="169"/>
      <c r="D58" s="163"/>
      <c r="E58" s="167"/>
      <c r="F58" s="163"/>
      <c r="G58" s="164"/>
      <c r="H58" s="164"/>
      <c r="K58" s="171"/>
      <c r="L58" s="171"/>
      <c r="M58" s="171"/>
      <c r="N58" s="171"/>
      <c r="O58" s="171"/>
      <c r="P58" s="171"/>
      <c r="Q58" s="171"/>
      <c r="R58" s="171"/>
    </row>
    <row r="59" spans="3:31" ht="14.25" customHeight="1" x14ac:dyDescent="0.2">
      <c r="C59" s="169"/>
      <c r="D59" s="163"/>
      <c r="E59" s="167"/>
      <c r="F59" s="163"/>
      <c r="G59" s="164"/>
      <c r="H59" s="164"/>
      <c r="K59" s="171"/>
      <c r="L59" s="171"/>
      <c r="M59" s="171"/>
      <c r="N59" s="171"/>
      <c r="O59" s="171"/>
      <c r="P59" s="171"/>
      <c r="Q59" s="171"/>
      <c r="R59" s="171"/>
    </row>
    <row r="60" spans="3:31" ht="14.25" customHeight="1" x14ac:dyDescent="0.2">
      <c r="C60" s="169"/>
      <c r="D60" s="163"/>
      <c r="E60" s="167"/>
      <c r="F60" s="163"/>
      <c r="G60" s="164"/>
      <c r="H60" s="164"/>
      <c r="K60" s="171"/>
      <c r="L60" s="171"/>
      <c r="M60" s="171"/>
      <c r="N60" s="171"/>
      <c r="O60" s="171"/>
      <c r="P60" s="171"/>
      <c r="Q60" s="171"/>
      <c r="R60" s="171"/>
    </row>
    <row r="61" spans="3:31" ht="14.25" customHeight="1" x14ac:dyDescent="0.2">
      <c r="C61" s="169"/>
      <c r="D61" s="163"/>
      <c r="E61" s="167"/>
      <c r="F61" s="163"/>
      <c r="G61" s="164"/>
      <c r="H61" s="164"/>
      <c r="K61" s="171"/>
      <c r="L61" s="171"/>
      <c r="M61" s="171"/>
      <c r="N61" s="171"/>
      <c r="O61" s="171"/>
      <c r="P61" s="171"/>
      <c r="Q61" s="171"/>
      <c r="R61" s="171"/>
    </row>
    <row r="62" spans="3:31" ht="14.25" customHeight="1" x14ac:dyDescent="0.2">
      <c r="C62" s="169"/>
      <c r="D62" s="163"/>
      <c r="E62" s="167"/>
      <c r="F62" s="163"/>
      <c r="G62" s="164"/>
      <c r="H62" s="164"/>
      <c r="K62" s="171"/>
      <c r="L62" s="171"/>
      <c r="M62" s="171"/>
      <c r="N62" s="171"/>
      <c r="O62" s="171"/>
      <c r="P62" s="171"/>
      <c r="Q62" s="171"/>
      <c r="R62" s="171"/>
    </row>
    <row r="63" spans="3:31" ht="14.25" customHeight="1" x14ac:dyDescent="0.2">
      <c r="C63" s="169"/>
      <c r="D63" s="163"/>
      <c r="E63" s="167"/>
      <c r="F63" s="163"/>
      <c r="G63" s="164"/>
      <c r="H63" s="164"/>
      <c r="K63" s="171"/>
      <c r="L63" s="171"/>
      <c r="M63" s="171"/>
      <c r="N63" s="171"/>
      <c r="O63" s="171"/>
      <c r="P63" s="171"/>
      <c r="Q63" s="171"/>
      <c r="R63" s="171"/>
    </row>
    <row r="64" spans="3:31" ht="14.25" customHeight="1" x14ac:dyDescent="0.2">
      <c r="C64" s="169"/>
      <c r="D64" s="163"/>
      <c r="E64" s="167"/>
      <c r="F64" s="163"/>
      <c r="G64" s="164"/>
      <c r="H64" s="164"/>
      <c r="K64" s="171"/>
      <c r="L64" s="171"/>
      <c r="M64" s="171"/>
      <c r="N64" s="171"/>
      <c r="O64" s="171"/>
      <c r="P64" s="171"/>
      <c r="Q64" s="171"/>
      <c r="R64" s="171"/>
    </row>
    <row r="65" spans="3:18" ht="14.25" customHeight="1" x14ac:dyDescent="0.2">
      <c r="C65" s="169"/>
      <c r="D65" s="163"/>
      <c r="E65" s="167"/>
      <c r="F65" s="163"/>
      <c r="G65" s="164"/>
      <c r="H65" s="164"/>
      <c r="K65" s="171"/>
      <c r="L65" s="171"/>
      <c r="M65" s="171"/>
      <c r="N65" s="171"/>
      <c r="O65" s="171"/>
      <c r="P65" s="171"/>
      <c r="Q65" s="171"/>
      <c r="R65" s="171"/>
    </row>
    <row r="66" spans="3:18" ht="14.25" customHeight="1" x14ac:dyDescent="0.2">
      <c r="C66" s="169"/>
      <c r="D66" s="163"/>
      <c r="E66" s="167"/>
      <c r="F66" s="163"/>
      <c r="G66" s="164"/>
      <c r="H66" s="164"/>
      <c r="K66" s="171"/>
      <c r="L66" s="171"/>
      <c r="M66" s="171"/>
      <c r="N66" s="171"/>
      <c r="O66" s="171"/>
      <c r="P66" s="171"/>
      <c r="Q66" s="171"/>
      <c r="R66" s="171"/>
    </row>
    <row r="67" spans="3:18" ht="14.25" customHeight="1" x14ac:dyDescent="0.2">
      <c r="C67" s="169"/>
      <c r="D67" s="163"/>
      <c r="E67" s="167"/>
      <c r="F67" s="163"/>
      <c r="G67" s="164"/>
      <c r="H67" s="164"/>
      <c r="K67" s="171"/>
      <c r="L67" s="171"/>
      <c r="M67" s="171"/>
      <c r="N67" s="171"/>
      <c r="O67" s="171"/>
      <c r="P67" s="171"/>
      <c r="Q67" s="171"/>
      <c r="R67" s="171"/>
    </row>
    <row r="68" spans="3:18" ht="14.25" customHeight="1" x14ac:dyDescent="0.2">
      <c r="C68" s="169"/>
      <c r="D68" s="163"/>
      <c r="E68" s="167"/>
      <c r="F68" s="163"/>
      <c r="G68" s="164"/>
      <c r="H68" s="164"/>
      <c r="K68" s="171"/>
      <c r="L68" s="171"/>
      <c r="M68" s="171"/>
      <c r="N68" s="171"/>
      <c r="O68" s="171"/>
      <c r="P68" s="171"/>
      <c r="Q68" s="171"/>
      <c r="R68" s="171"/>
    </row>
    <row r="69" spans="3:18" ht="14.25" customHeight="1" x14ac:dyDescent="0.2">
      <c r="C69" s="169"/>
      <c r="D69" s="163"/>
      <c r="E69" s="167"/>
      <c r="F69" s="163"/>
      <c r="G69" s="164"/>
      <c r="H69" s="164"/>
      <c r="K69" s="171"/>
      <c r="L69" s="171"/>
      <c r="M69" s="171"/>
      <c r="N69" s="171"/>
      <c r="O69" s="171"/>
      <c r="P69" s="171"/>
      <c r="Q69" s="171"/>
      <c r="R69" s="171"/>
    </row>
    <row r="70" spans="3:18" ht="14.25" customHeight="1" x14ac:dyDescent="0.2">
      <c r="C70" s="169"/>
      <c r="D70" s="163"/>
      <c r="E70" s="167"/>
      <c r="F70" s="163"/>
      <c r="G70" s="164"/>
      <c r="H70" s="164"/>
      <c r="K70" s="171"/>
      <c r="L70" s="171"/>
      <c r="M70" s="171"/>
      <c r="N70" s="171"/>
      <c r="O70" s="171"/>
      <c r="P70" s="171"/>
      <c r="Q70" s="171"/>
      <c r="R70" s="171"/>
    </row>
    <row r="71" spans="3:18" ht="14.25" customHeight="1" x14ac:dyDescent="0.2">
      <c r="C71" s="169"/>
      <c r="D71" s="163"/>
      <c r="E71" s="167"/>
      <c r="F71" s="163"/>
      <c r="G71" s="164"/>
      <c r="H71" s="164"/>
      <c r="K71" s="171"/>
      <c r="L71" s="171"/>
      <c r="M71" s="171"/>
      <c r="N71" s="171"/>
      <c r="O71" s="171"/>
      <c r="P71" s="171"/>
      <c r="Q71" s="171"/>
      <c r="R71" s="171"/>
    </row>
    <row r="72" spans="3:18" ht="14.25" customHeight="1" x14ac:dyDescent="0.2">
      <c r="C72" s="169"/>
      <c r="D72" s="163"/>
      <c r="E72" s="167"/>
      <c r="F72" s="163"/>
      <c r="G72" s="164"/>
      <c r="H72" s="164"/>
      <c r="K72" s="171"/>
      <c r="L72" s="171"/>
      <c r="M72" s="171"/>
      <c r="N72" s="171"/>
      <c r="O72" s="171"/>
      <c r="P72" s="171"/>
      <c r="Q72" s="171"/>
      <c r="R72" s="171"/>
    </row>
    <row r="73" spans="3:18" ht="14.25" customHeight="1" x14ac:dyDescent="0.2">
      <c r="C73" s="169"/>
      <c r="D73" s="163"/>
      <c r="E73" s="167"/>
      <c r="F73" s="163"/>
      <c r="G73" s="164"/>
      <c r="H73" s="164"/>
      <c r="K73" s="171"/>
      <c r="L73" s="171"/>
      <c r="M73" s="171"/>
      <c r="N73" s="171"/>
      <c r="O73" s="171"/>
      <c r="P73" s="171"/>
      <c r="Q73" s="171"/>
      <c r="R73" s="171"/>
    </row>
    <row r="74" spans="3:18" ht="14.25" customHeight="1" x14ac:dyDescent="0.2">
      <c r="C74" s="169"/>
      <c r="D74" s="163"/>
      <c r="E74" s="167"/>
      <c r="F74" s="163"/>
      <c r="G74" s="164"/>
      <c r="H74" s="164"/>
      <c r="K74" s="171"/>
      <c r="L74" s="171"/>
      <c r="M74" s="171"/>
      <c r="N74" s="171"/>
      <c r="O74" s="171"/>
      <c r="P74" s="171"/>
      <c r="Q74" s="171"/>
      <c r="R74" s="171"/>
    </row>
    <row r="75" spans="3:18" ht="14.25" customHeight="1" x14ac:dyDescent="0.2">
      <c r="C75" s="169"/>
      <c r="D75" s="163"/>
      <c r="E75" s="167"/>
      <c r="F75" s="163"/>
      <c r="G75" s="164"/>
      <c r="H75" s="164"/>
      <c r="K75" s="171"/>
      <c r="L75" s="171"/>
      <c r="M75" s="171"/>
      <c r="N75" s="171"/>
      <c r="O75" s="171"/>
      <c r="P75" s="171"/>
      <c r="Q75" s="171"/>
      <c r="R75" s="171"/>
    </row>
    <row r="76" spans="3:18" ht="14.25" customHeight="1" x14ac:dyDescent="0.2">
      <c r="C76" s="169"/>
      <c r="D76" s="163"/>
      <c r="E76" s="167"/>
      <c r="F76" s="163"/>
      <c r="G76" s="164"/>
      <c r="H76" s="164"/>
      <c r="K76" s="171"/>
      <c r="L76" s="171"/>
      <c r="M76" s="171"/>
      <c r="N76" s="171"/>
      <c r="O76" s="171"/>
      <c r="P76" s="171"/>
      <c r="Q76" s="171"/>
      <c r="R76" s="171"/>
    </row>
    <row r="77" spans="3:18" ht="14.25" customHeight="1" x14ac:dyDescent="0.2">
      <c r="C77" s="169"/>
      <c r="D77" s="163"/>
      <c r="E77" s="167"/>
      <c r="F77" s="163"/>
      <c r="G77" s="164"/>
      <c r="H77" s="164"/>
      <c r="K77" s="171"/>
      <c r="L77" s="171"/>
      <c r="M77" s="171"/>
      <c r="N77" s="171"/>
      <c r="O77" s="171"/>
      <c r="P77" s="171"/>
      <c r="Q77" s="171"/>
      <c r="R77" s="171"/>
    </row>
    <row r="78" spans="3:18" ht="14.25" customHeight="1" x14ac:dyDescent="0.2">
      <c r="C78" s="169"/>
      <c r="D78" s="163"/>
      <c r="E78" s="167"/>
      <c r="F78" s="163"/>
      <c r="G78" s="164"/>
      <c r="H78" s="164"/>
      <c r="K78" s="171"/>
      <c r="L78" s="171"/>
      <c r="M78" s="171"/>
      <c r="N78" s="171"/>
      <c r="O78" s="171"/>
      <c r="P78" s="171"/>
      <c r="Q78" s="171"/>
      <c r="R78" s="171"/>
    </row>
    <row r="79" spans="3:18" ht="14.25" customHeight="1" x14ac:dyDescent="0.2">
      <c r="C79" s="169"/>
      <c r="D79" s="163"/>
      <c r="E79" s="167"/>
      <c r="F79" s="163"/>
      <c r="G79" s="164"/>
      <c r="H79" s="164"/>
      <c r="K79" s="171"/>
      <c r="L79" s="171"/>
      <c r="M79" s="171"/>
      <c r="N79" s="171"/>
      <c r="O79" s="171"/>
      <c r="P79" s="171"/>
      <c r="Q79" s="171"/>
      <c r="R79" s="171"/>
    </row>
    <row r="80" spans="3:18" ht="14.25" customHeight="1" x14ac:dyDescent="0.2">
      <c r="C80" s="169"/>
      <c r="D80" s="163"/>
      <c r="E80" s="167"/>
      <c r="F80" s="163"/>
      <c r="G80" s="164"/>
      <c r="H80" s="164"/>
      <c r="K80" s="171"/>
      <c r="L80" s="171"/>
      <c r="M80" s="171"/>
      <c r="N80" s="171"/>
      <c r="O80" s="171"/>
      <c r="P80" s="171"/>
      <c r="Q80" s="171"/>
      <c r="R80" s="171"/>
    </row>
    <row r="81" spans="3:18" ht="14.25" customHeight="1" x14ac:dyDescent="0.2">
      <c r="C81" s="169"/>
      <c r="D81" s="163"/>
      <c r="E81" s="167"/>
      <c r="F81" s="163"/>
      <c r="G81" s="164"/>
      <c r="H81" s="164"/>
      <c r="K81" s="171"/>
      <c r="L81" s="171"/>
      <c r="M81" s="171"/>
      <c r="N81" s="171"/>
      <c r="O81" s="171"/>
      <c r="P81" s="171"/>
      <c r="Q81" s="171"/>
      <c r="R81" s="171"/>
    </row>
    <row r="82" spans="3:18" ht="14.25" customHeight="1" x14ac:dyDescent="0.2">
      <c r="C82" s="169"/>
      <c r="D82" s="163"/>
      <c r="E82" s="167"/>
      <c r="F82" s="163"/>
      <c r="G82" s="164"/>
      <c r="H82" s="164"/>
      <c r="K82" s="171"/>
      <c r="L82" s="171"/>
      <c r="M82" s="171"/>
      <c r="N82" s="171"/>
      <c r="O82" s="171"/>
      <c r="P82" s="171"/>
      <c r="Q82" s="171"/>
      <c r="R82" s="171"/>
    </row>
    <row r="83" spans="3:18" ht="14.25" customHeight="1" x14ac:dyDescent="0.2">
      <c r="C83" s="169"/>
      <c r="D83" s="163"/>
      <c r="E83" s="167"/>
      <c r="F83" s="163"/>
      <c r="G83" s="164"/>
      <c r="H83" s="164"/>
      <c r="K83" s="171"/>
      <c r="L83" s="171"/>
      <c r="M83" s="171"/>
      <c r="N83" s="171"/>
      <c r="O83" s="171"/>
      <c r="P83" s="171"/>
      <c r="Q83" s="171"/>
      <c r="R83" s="171"/>
    </row>
    <row r="84" spans="3:18" ht="14.25" customHeight="1" x14ac:dyDescent="0.2">
      <c r="C84" s="169"/>
      <c r="D84" s="163"/>
      <c r="E84" s="167"/>
      <c r="F84" s="163"/>
      <c r="G84" s="164"/>
      <c r="H84" s="164"/>
      <c r="K84" s="171"/>
      <c r="L84" s="171"/>
      <c r="M84" s="171"/>
      <c r="N84" s="171"/>
      <c r="O84" s="171"/>
      <c r="P84" s="171"/>
      <c r="Q84" s="171"/>
      <c r="R84" s="171"/>
    </row>
    <row r="85" spans="3:18" ht="14.25" customHeight="1" x14ac:dyDescent="0.2">
      <c r="C85" s="169"/>
      <c r="D85" s="163"/>
      <c r="E85" s="167"/>
      <c r="F85" s="163"/>
      <c r="G85" s="164"/>
      <c r="H85" s="164"/>
      <c r="K85" s="171"/>
      <c r="L85" s="171"/>
      <c r="M85" s="171"/>
      <c r="N85" s="171"/>
      <c r="O85" s="171"/>
      <c r="P85" s="171"/>
      <c r="Q85" s="171"/>
      <c r="R85" s="171"/>
    </row>
    <row r="86" spans="3:18" ht="14.25" customHeight="1" x14ac:dyDescent="0.2">
      <c r="C86" s="169"/>
      <c r="D86" s="163"/>
      <c r="E86" s="167"/>
      <c r="F86" s="163"/>
      <c r="G86" s="164"/>
      <c r="H86" s="164"/>
      <c r="K86" s="171"/>
      <c r="L86" s="171"/>
      <c r="M86" s="171"/>
      <c r="N86" s="171"/>
      <c r="O86" s="171"/>
      <c r="P86" s="171"/>
      <c r="Q86" s="171"/>
      <c r="R86" s="171"/>
    </row>
    <row r="87" spans="3:18" ht="14.25" customHeight="1" x14ac:dyDescent="0.2">
      <c r="C87" s="169"/>
      <c r="D87" s="163"/>
      <c r="E87" s="167"/>
      <c r="F87" s="163"/>
      <c r="G87" s="164"/>
      <c r="H87" s="164"/>
      <c r="K87" s="171"/>
      <c r="L87" s="171"/>
      <c r="M87" s="171"/>
      <c r="N87" s="171"/>
      <c r="O87" s="171"/>
      <c r="P87" s="171"/>
      <c r="Q87" s="171"/>
      <c r="R87" s="171"/>
    </row>
    <row r="88" spans="3:18" ht="14.25" customHeight="1" x14ac:dyDescent="0.2">
      <c r="C88" s="169"/>
      <c r="D88" s="163"/>
      <c r="E88" s="167"/>
      <c r="F88" s="163"/>
      <c r="G88" s="164"/>
      <c r="H88" s="164"/>
      <c r="K88" s="171"/>
      <c r="L88" s="171"/>
      <c r="M88" s="171"/>
      <c r="N88" s="171"/>
      <c r="O88" s="171"/>
      <c r="P88" s="171"/>
      <c r="Q88" s="171"/>
      <c r="R88" s="171"/>
    </row>
    <row r="89" spans="3:18" ht="14.25" customHeight="1" x14ac:dyDescent="0.2">
      <c r="C89" s="169"/>
      <c r="D89" s="163"/>
      <c r="E89" s="167"/>
      <c r="F89" s="163"/>
      <c r="G89" s="164"/>
      <c r="H89" s="164"/>
      <c r="K89" s="171"/>
      <c r="L89" s="171"/>
      <c r="M89" s="171"/>
      <c r="N89" s="171"/>
      <c r="O89" s="171"/>
      <c r="P89" s="171"/>
      <c r="Q89" s="171"/>
      <c r="R89" s="171"/>
    </row>
    <row r="90" spans="3:18" ht="14.25" customHeight="1" x14ac:dyDescent="0.2">
      <c r="C90" s="169"/>
      <c r="D90" s="163"/>
      <c r="E90" s="167"/>
      <c r="F90" s="163"/>
      <c r="G90" s="164"/>
      <c r="H90" s="164"/>
      <c r="K90" s="171"/>
      <c r="L90" s="171"/>
      <c r="M90" s="171"/>
      <c r="N90" s="171"/>
      <c r="O90" s="171"/>
      <c r="P90" s="171"/>
      <c r="Q90" s="171"/>
      <c r="R90" s="171"/>
    </row>
    <row r="91" spans="3:18" ht="14.25" customHeight="1" x14ac:dyDescent="0.2">
      <c r="C91" s="169"/>
      <c r="D91" s="163"/>
      <c r="E91" s="167"/>
      <c r="F91" s="163"/>
      <c r="G91" s="164"/>
      <c r="H91" s="164"/>
      <c r="K91" s="171"/>
      <c r="L91" s="171"/>
      <c r="M91" s="171"/>
      <c r="N91" s="171"/>
      <c r="O91" s="171"/>
      <c r="P91" s="171"/>
      <c r="Q91" s="171"/>
      <c r="R91" s="171"/>
    </row>
    <row r="92" spans="3:18" ht="14.25" customHeight="1" x14ac:dyDescent="0.2">
      <c r="C92" s="169"/>
      <c r="D92" s="163"/>
      <c r="E92" s="167"/>
      <c r="F92" s="163"/>
      <c r="G92" s="164"/>
      <c r="H92" s="164"/>
      <c r="K92" s="171"/>
      <c r="L92" s="171"/>
      <c r="M92" s="171"/>
      <c r="N92" s="171"/>
      <c r="O92" s="171"/>
      <c r="P92" s="171"/>
      <c r="Q92" s="171"/>
      <c r="R92" s="171"/>
    </row>
    <row r="93" spans="3:18" ht="14.25" customHeight="1" x14ac:dyDescent="0.2">
      <c r="C93" s="169"/>
      <c r="D93" s="163"/>
      <c r="E93" s="167"/>
      <c r="F93" s="163"/>
      <c r="G93" s="164"/>
      <c r="H93" s="164"/>
      <c r="K93" s="171"/>
      <c r="L93" s="171"/>
      <c r="M93" s="171"/>
      <c r="N93" s="171"/>
      <c r="O93" s="171"/>
      <c r="P93" s="171"/>
      <c r="Q93" s="171"/>
      <c r="R93" s="171"/>
    </row>
    <row r="94" spans="3:18" ht="14.25" customHeight="1" x14ac:dyDescent="0.2">
      <c r="C94" s="169"/>
      <c r="D94" s="163"/>
      <c r="E94" s="167"/>
      <c r="F94" s="163"/>
      <c r="G94" s="164"/>
      <c r="H94" s="164"/>
      <c r="K94" s="171"/>
      <c r="L94" s="171"/>
      <c r="M94" s="171"/>
      <c r="N94" s="171"/>
      <c r="O94" s="171"/>
      <c r="P94" s="171"/>
      <c r="Q94" s="171"/>
      <c r="R94" s="171"/>
    </row>
    <row r="95" spans="3:18" ht="14.25" customHeight="1" x14ac:dyDescent="0.2">
      <c r="C95" s="169"/>
      <c r="D95" s="163"/>
      <c r="E95" s="167"/>
      <c r="F95" s="163"/>
      <c r="G95" s="164"/>
      <c r="H95" s="164"/>
      <c r="K95" s="171"/>
      <c r="L95" s="171"/>
      <c r="M95" s="171"/>
      <c r="N95" s="171"/>
      <c r="O95" s="171"/>
      <c r="P95" s="171"/>
      <c r="Q95" s="171"/>
      <c r="R95" s="171"/>
    </row>
    <row r="96" spans="3:18" ht="14.25" customHeight="1" x14ac:dyDescent="0.2">
      <c r="C96" s="169"/>
      <c r="D96" s="163"/>
      <c r="E96" s="167"/>
      <c r="F96" s="163"/>
      <c r="G96" s="164"/>
      <c r="H96" s="164"/>
      <c r="K96" s="171"/>
      <c r="L96" s="171"/>
      <c r="M96" s="171"/>
      <c r="N96" s="171"/>
      <c r="O96" s="171"/>
      <c r="P96" s="171"/>
      <c r="Q96" s="171"/>
      <c r="R96" s="171"/>
    </row>
    <row r="97" spans="3:18" ht="14.25" customHeight="1" x14ac:dyDescent="0.2">
      <c r="C97" s="169"/>
      <c r="D97" s="63"/>
      <c r="E97" s="167"/>
      <c r="F97" s="163"/>
      <c r="G97" s="164"/>
      <c r="H97" s="131"/>
      <c r="K97" s="171"/>
      <c r="L97" s="171"/>
      <c r="M97" s="171"/>
      <c r="N97" s="171"/>
      <c r="O97" s="171"/>
      <c r="P97" s="171"/>
      <c r="Q97" s="171"/>
      <c r="R97" s="171"/>
    </row>
    <row r="98" spans="3:18" ht="14.25" customHeight="1" x14ac:dyDescent="0.2">
      <c r="C98" s="169"/>
      <c r="D98" s="163"/>
      <c r="E98" s="167"/>
      <c r="F98" s="163"/>
      <c r="G98" s="174"/>
      <c r="H98" s="174"/>
      <c r="K98" s="171"/>
      <c r="L98" s="171"/>
      <c r="M98" s="171"/>
      <c r="N98" s="171"/>
      <c r="O98" s="171"/>
      <c r="P98" s="171"/>
      <c r="Q98" s="171"/>
      <c r="R98" s="171"/>
    </row>
    <row r="99" spans="3:18" ht="14.25" customHeight="1" x14ac:dyDescent="0.2">
      <c r="C99" s="160"/>
      <c r="D99" s="163"/>
      <c r="E99" s="167"/>
      <c r="F99" s="163"/>
      <c r="G99" s="131"/>
      <c r="H99" s="131"/>
      <c r="K99" s="171"/>
      <c r="L99" s="171"/>
      <c r="M99" s="171"/>
      <c r="N99" s="171"/>
      <c r="O99" s="171"/>
      <c r="P99" s="171"/>
      <c r="Q99" s="171"/>
      <c r="R99" s="171"/>
    </row>
    <row r="100" spans="3:18" ht="14.25" customHeight="1" x14ac:dyDescent="0.2">
      <c r="C100" s="160"/>
      <c r="D100" s="163"/>
      <c r="E100" s="167"/>
      <c r="F100" s="163"/>
      <c r="G100" s="96"/>
      <c r="H100" s="131"/>
      <c r="K100" s="171"/>
      <c r="L100" s="171"/>
      <c r="M100" s="171"/>
      <c r="N100" s="171"/>
      <c r="O100" s="171"/>
      <c r="P100" s="171"/>
      <c r="Q100" s="171"/>
      <c r="R100" s="171"/>
    </row>
    <row r="101" spans="3:18" ht="14.25" customHeight="1" x14ac:dyDescent="0.2">
      <c r="C101" s="160"/>
      <c r="D101" s="163"/>
      <c r="E101" s="167"/>
      <c r="F101" s="163"/>
      <c r="G101" s="96"/>
      <c r="H101" s="131"/>
      <c r="K101" s="1"/>
      <c r="L101" s="160"/>
      <c r="M101" s="1"/>
      <c r="N101" s="101"/>
      <c r="O101" s="101"/>
      <c r="P101" s="46"/>
      <c r="Q101" s="46"/>
      <c r="R101" s="1"/>
    </row>
    <row r="102" spans="3:18" ht="14.25" customHeight="1" x14ac:dyDescent="0.2">
      <c r="C102" s="160"/>
      <c r="D102" s="163"/>
      <c r="E102" s="167"/>
      <c r="F102" s="163"/>
      <c r="G102" s="46"/>
      <c r="H102" s="46"/>
      <c r="K102" s="1"/>
      <c r="L102" s="1"/>
      <c r="M102" s="63"/>
      <c r="N102" s="101"/>
      <c r="O102" s="101"/>
      <c r="P102" s="170"/>
      <c r="Q102" s="170"/>
      <c r="R102" s="1"/>
    </row>
    <row r="103" spans="3:18" ht="14.25" customHeight="1" x14ac:dyDescent="0.2">
      <c r="C103" s="160"/>
      <c r="D103" s="17"/>
      <c r="E103" s="167"/>
      <c r="F103" s="163"/>
      <c r="G103" s="96"/>
      <c r="H103" s="181"/>
      <c r="K103" s="1"/>
      <c r="L103" s="1"/>
      <c r="M103" s="175"/>
      <c r="N103" s="101"/>
      <c r="O103" s="101"/>
      <c r="P103" s="170"/>
      <c r="Q103" s="170"/>
      <c r="R103" s="1"/>
    </row>
    <row r="104" spans="3:18" ht="14.25" customHeight="1" x14ac:dyDescent="0.2">
      <c r="C104" s="160"/>
      <c r="D104" s="17"/>
      <c r="E104" s="167"/>
      <c r="F104" s="163"/>
      <c r="G104" s="148"/>
      <c r="H104" s="182"/>
      <c r="K104" s="1"/>
      <c r="L104" s="1"/>
      <c r="M104" s="63"/>
      <c r="N104" s="101"/>
      <c r="O104" s="101"/>
      <c r="P104" s="170"/>
      <c r="Q104" s="170"/>
      <c r="R104" s="1"/>
    </row>
    <row r="105" spans="3:18" ht="14.25" customHeight="1" x14ac:dyDescent="0.2">
      <c r="C105" s="160"/>
      <c r="D105" s="163"/>
      <c r="E105" s="167"/>
      <c r="F105" s="163"/>
      <c r="G105" s="96"/>
      <c r="H105" s="131"/>
      <c r="K105" s="1"/>
      <c r="L105" s="1"/>
      <c r="M105" s="175"/>
      <c r="N105" s="101"/>
      <c r="O105" s="101"/>
      <c r="P105" s="170"/>
      <c r="Q105" s="170"/>
      <c r="R105" s="1"/>
    </row>
    <row r="106" spans="3:18" ht="14.25" customHeight="1" x14ac:dyDescent="0.2">
      <c r="C106" s="138"/>
      <c r="D106" s="17"/>
      <c r="E106" s="167"/>
      <c r="F106" s="163"/>
      <c r="G106" s="46"/>
      <c r="H106" s="46"/>
      <c r="K106" s="1"/>
      <c r="L106" s="1"/>
      <c r="M106" s="175"/>
      <c r="N106" s="101"/>
      <c r="O106" s="101"/>
      <c r="P106" s="170"/>
      <c r="Q106" s="170"/>
      <c r="R106" s="1"/>
    </row>
    <row r="107" spans="3:18" ht="14.25" customHeight="1" x14ac:dyDescent="0.2">
      <c r="C107" s="160"/>
      <c r="D107" s="17"/>
      <c r="E107" s="167"/>
      <c r="F107" s="163"/>
      <c r="G107" s="164"/>
      <c r="H107" s="164"/>
      <c r="K107" s="1"/>
      <c r="L107" s="160"/>
      <c r="M107" s="175"/>
      <c r="N107" s="101"/>
      <c r="O107" s="46"/>
      <c r="P107" s="46"/>
      <c r="Q107" s="46"/>
      <c r="R107" s="1"/>
    </row>
    <row r="108" spans="3:18" ht="14.25" customHeight="1" x14ac:dyDescent="0.2">
      <c r="C108" s="160"/>
      <c r="D108" s="17"/>
      <c r="E108" s="167"/>
      <c r="F108" s="163"/>
      <c r="G108" s="164"/>
      <c r="H108" s="164"/>
      <c r="K108" s="1"/>
      <c r="L108" s="1"/>
      <c r="M108" s="63"/>
      <c r="N108" s="101"/>
      <c r="O108" s="164"/>
      <c r="P108" s="164"/>
      <c r="Q108" s="183"/>
      <c r="R108" s="1"/>
    </row>
    <row r="109" spans="3:18" ht="14.25" customHeight="1" x14ac:dyDescent="0.2">
      <c r="K109" s="1"/>
      <c r="L109" s="1"/>
      <c r="M109" s="63"/>
      <c r="N109" s="101"/>
      <c r="O109" s="185"/>
      <c r="P109" s="185"/>
      <c r="Q109" s="186"/>
      <c r="R109" s="1"/>
    </row>
    <row r="110" spans="3:18" ht="14.25" customHeight="1" x14ac:dyDescent="0.2">
      <c r="C110" s="138"/>
      <c r="G110" s="46"/>
      <c r="H110" s="46"/>
      <c r="K110" s="1"/>
      <c r="L110" s="1"/>
      <c r="M110" s="175"/>
      <c r="N110" s="101"/>
      <c r="O110" s="101"/>
      <c r="P110" s="187"/>
      <c r="Q110" s="187"/>
      <c r="R110" s="1"/>
    </row>
    <row r="111" spans="3:18" ht="14.25" customHeight="1" x14ac:dyDescent="0.2">
      <c r="D111" s="63"/>
      <c r="E111" s="19"/>
      <c r="G111" s="187"/>
      <c r="H111" s="187"/>
      <c r="K111" s="1"/>
      <c r="L111" s="160"/>
      <c r="M111" s="175"/>
      <c r="N111" s="101"/>
      <c r="O111" s="101"/>
      <c r="P111" s="46"/>
      <c r="Q111" s="46"/>
      <c r="R111" s="1"/>
    </row>
    <row r="112" spans="3:18" ht="14.25" customHeight="1" x14ac:dyDescent="0.2">
      <c r="E112" s="167"/>
      <c r="G112" s="187"/>
      <c r="H112" s="187"/>
      <c r="K112" s="1"/>
      <c r="L112" s="1"/>
      <c r="M112" s="63"/>
      <c r="N112" s="101"/>
      <c r="O112" s="101"/>
      <c r="P112" s="188"/>
      <c r="Q112" s="189"/>
      <c r="R112" s="1"/>
    </row>
    <row r="113" spans="3:18" ht="14.25" customHeight="1" x14ac:dyDescent="0.2">
      <c r="E113" s="101"/>
      <c r="G113" s="170"/>
      <c r="H113" s="170"/>
      <c r="K113" s="1"/>
      <c r="L113" s="1"/>
      <c r="M113" s="63"/>
      <c r="N113" s="101"/>
      <c r="O113" s="101"/>
      <c r="P113" s="188"/>
      <c r="Q113" s="189"/>
      <c r="R113" s="1"/>
    </row>
    <row r="114" spans="3:18" ht="15" x14ac:dyDescent="0.2">
      <c r="C114" s="160"/>
      <c r="E114" s="101"/>
      <c r="G114" s="192"/>
      <c r="H114" s="192"/>
      <c r="L114" s="1"/>
      <c r="M114" s="1"/>
      <c r="N114" s="1"/>
      <c r="O114" s="1"/>
      <c r="P114" s="1"/>
      <c r="Q114" s="1"/>
      <c r="R114" s="191"/>
    </row>
    <row r="115" spans="3:18" ht="15" x14ac:dyDescent="0.2">
      <c r="D115" s="63"/>
      <c r="E115" s="101"/>
      <c r="G115" s="193"/>
      <c r="H115" s="193"/>
    </row>
    <row r="116" spans="3:18" ht="15" x14ac:dyDescent="0.2">
      <c r="D116" s="21"/>
      <c r="E116" s="101"/>
      <c r="G116" s="193"/>
      <c r="H116" s="193"/>
      <c r="K116" s="14"/>
    </row>
    <row r="117" spans="3:18" ht="15" x14ac:dyDescent="0.2">
      <c r="D117" s="63"/>
      <c r="E117" s="101"/>
      <c r="G117" s="193"/>
      <c r="H117" s="193"/>
      <c r="K117" s="14"/>
    </row>
    <row r="118" spans="3:18" ht="12.75" customHeight="1" x14ac:dyDescent="0.2">
      <c r="E118" s="101"/>
      <c r="G118" s="170"/>
      <c r="H118" s="170"/>
      <c r="K118" s="14"/>
    </row>
    <row r="119" spans="3:18" ht="12.75" customHeight="1" x14ac:dyDescent="0.2">
      <c r="L119" s="1"/>
      <c r="M119" s="1"/>
      <c r="N119" s="1"/>
      <c r="O119" s="1"/>
      <c r="P119" s="1"/>
      <c r="Q119" s="1"/>
      <c r="R119" s="191"/>
    </row>
    <row r="120" spans="3:18" ht="12.75" customHeight="1" x14ac:dyDescent="0.2">
      <c r="M120" s="191"/>
      <c r="N120" s="191"/>
      <c r="O120" s="191"/>
      <c r="P120" s="191"/>
      <c r="Q120" s="191"/>
      <c r="R120" s="191"/>
    </row>
    <row r="121" spans="3:18" ht="12.75" customHeight="1" x14ac:dyDescent="0.2">
      <c r="M121" s="191"/>
      <c r="N121" s="191"/>
      <c r="O121" s="191"/>
      <c r="P121" s="191"/>
      <c r="Q121" s="191"/>
      <c r="R121" s="191"/>
    </row>
    <row r="122" spans="3:18" ht="12.75" customHeight="1" x14ac:dyDescent="0.2">
      <c r="M122" s="1"/>
      <c r="N122" s="1"/>
      <c r="O122" s="1"/>
      <c r="P122" s="1"/>
      <c r="Q122" s="1"/>
      <c r="R122" s="194"/>
    </row>
    <row r="123" spans="3:18" ht="12.75" customHeight="1" x14ac:dyDescent="0.2">
      <c r="M123" s="1"/>
      <c r="N123" s="1"/>
      <c r="O123" s="1"/>
      <c r="P123" s="1"/>
      <c r="Q123" s="1"/>
      <c r="R123" s="1"/>
    </row>
    <row r="124" spans="3:18" ht="12.75" customHeight="1" x14ac:dyDescent="0.2">
      <c r="M124" s="195"/>
      <c r="N124" s="195"/>
      <c r="O124" s="195"/>
      <c r="P124" s="195"/>
      <c r="Q124" s="195"/>
      <c r="R124" s="1"/>
    </row>
    <row r="125" spans="3:18" ht="12.75" customHeight="1" x14ac:dyDescent="0.2">
      <c r="M125" s="195"/>
      <c r="N125" s="195"/>
      <c r="O125" s="195"/>
      <c r="P125" s="195"/>
      <c r="Q125" s="195"/>
      <c r="R125" s="1"/>
    </row>
    <row r="126" spans="3:18" ht="12.75" customHeight="1" x14ac:dyDescent="0.2">
      <c r="M126" s="195"/>
      <c r="N126" s="195"/>
      <c r="O126" s="195"/>
      <c r="P126" s="195"/>
      <c r="Q126" s="195"/>
      <c r="R126" s="1"/>
    </row>
  </sheetData>
  <mergeCells count="2">
    <mergeCell ref="E4:M4"/>
    <mergeCell ref="F10:H10"/>
  </mergeCells>
  <dataValidations count="5">
    <dataValidation type="whole" showInputMessage="1" showErrorMessage="1" sqref="N12" xr:uid="{00000000-0002-0000-0200-000000000000}">
      <formula1>1</formula1>
      <formula2>500</formula2>
    </dataValidation>
    <dataValidation type="whole" allowBlank="1" showInputMessage="1" showErrorMessage="1" sqref="N14" xr:uid="{00000000-0002-0000-0200-000001000000}">
      <formula1>2</formula1>
      <formula2>50</formula2>
    </dataValidation>
    <dataValidation type="whole" allowBlank="1" showInputMessage="1" showErrorMessage="1" sqref="N11 N13" xr:uid="{00000000-0002-0000-0200-000002000000}">
      <formula1>1</formula1>
      <formula2>500</formula2>
    </dataValidation>
    <dataValidation type="list" allowBlank="1" showInputMessage="1" showErrorMessage="1" sqref="H12" xr:uid="{00000000-0002-0000-0200-000003000000}">
      <formula1>"1,2,3"</formula1>
    </dataValidation>
    <dataValidation type="whole" allowBlank="1" showInputMessage="1" showErrorMessage="1" sqref="F16 F18 F20" xr:uid="{00000000-0002-0000-0200-000004000000}">
      <formula1>2000</formula1>
      <formula2>2100</formula2>
    </dataValidation>
  </dataValidations>
  <printOptions horizontalCentered="1" verticalCentered="1"/>
  <pageMargins left="0.75" right="0.75" top="0" bottom="0.75" header="0.5" footer="0.5"/>
  <pageSetup scale="61" fitToWidth="2" orientation="landscape" r:id="rId1"/>
  <headerFooter alignWithMargins="0">
    <oddFooter>&amp;L&amp;8Transportation Economics
Caltrans DOTP&amp;C&amp;8Cal-B/C - &amp;A
&amp;F&amp;R&amp;8Page &amp;P
&amp;D</oddFooter>
  </headerFooter>
  <colBreaks count="1" manualBreakCount="1">
    <brk id="19" max="104857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CCFFCC"/>
  </sheetPr>
  <dimension ref="A1:DM122"/>
  <sheetViews>
    <sheetView showGridLines="0" topLeftCell="A22" zoomScale="85" zoomScaleNormal="85" zoomScalePageLayoutView="70" workbookViewId="0">
      <selection activeCell="L34" sqref="L34"/>
    </sheetView>
  </sheetViews>
  <sheetFormatPr defaultColWidth="8.5703125" defaultRowHeight="12.75" x14ac:dyDescent="0.2"/>
  <cols>
    <col min="1" max="1" width="5.42578125" style="1" customWidth="1"/>
    <col min="2" max="3" width="2.5703125" style="1" customWidth="1"/>
    <col min="4" max="4" width="7.42578125" style="1" customWidth="1"/>
    <col min="5" max="5" width="22.5703125" style="1" customWidth="1"/>
    <col min="6" max="6" width="18.5703125" style="1" bestFit="1" customWidth="1"/>
    <col min="7" max="7" width="18.42578125" style="1" customWidth="1"/>
    <col min="8" max="8" width="16.5703125" style="1" customWidth="1"/>
    <col min="9" max="10" width="17.42578125" style="1" customWidth="1"/>
    <col min="11" max="11" width="16.42578125" style="1" customWidth="1"/>
    <col min="12" max="12" width="13" style="1" customWidth="1"/>
    <col min="13" max="13" width="13.5703125" style="1" customWidth="1"/>
    <col min="14" max="14" width="13.42578125" style="1" customWidth="1"/>
    <col min="15" max="16" width="2.42578125" style="1" customWidth="1"/>
    <col min="17" max="17" width="5.42578125" style="1" customWidth="1"/>
    <col min="18" max="18" width="14.5703125" style="1" customWidth="1"/>
    <col min="19" max="19" width="3.5703125" style="1" customWidth="1"/>
    <col min="20" max="20" width="13.140625" style="1" customWidth="1"/>
    <col min="21" max="21" width="31.42578125" style="1" customWidth="1"/>
    <col min="22" max="22" width="18" style="1" customWidth="1"/>
    <col min="23" max="30" width="17.42578125" style="1" customWidth="1"/>
    <col min="31" max="31" width="16.42578125" style="1" customWidth="1"/>
    <col min="32" max="32" width="5.85546875" style="1" customWidth="1"/>
    <col min="33" max="33" width="16.42578125" style="1" customWidth="1"/>
    <col min="34" max="34" width="18" style="1" customWidth="1"/>
    <col min="35" max="35" width="15.5703125" style="1" customWidth="1"/>
    <col min="36" max="36" width="6.5703125" style="1" customWidth="1"/>
    <col min="37" max="37" width="20.5703125" style="1" customWidth="1"/>
    <col min="38" max="45" width="15.5703125" style="1" customWidth="1"/>
    <col min="46" max="50" width="13.85546875" style="1" customWidth="1"/>
    <col min="51" max="51" width="5.5703125" style="1" customWidth="1"/>
    <col min="52" max="52" width="20.5703125" style="1" customWidth="1"/>
    <col min="53" max="59" width="15.5703125" style="1" customWidth="1"/>
    <col min="60" max="60" width="3.5703125" style="1" customWidth="1"/>
    <col min="61" max="61" width="2.5703125" style="1" customWidth="1"/>
    <col min="62" max="63" width="3" style="1" customWidth="1"/>
    <col min="64" max="65" width="3.5703125" style="1" customWidth="1"/>
    <col min="66" max="66" width="6.5703125" style="1" customWidth="1"/>
    <col min="67" max="67" width="26.5703125" style="1" customWidth="1"/>
    <col min="68" max="72" width="16.5703125" style="1" customWidth="1"/>
    <col min="73" max="77" width="3.5703125" style="1" customWidth="1"/>
    <col min="78" max="79" width="6.5703125" style="1" customWidth="1"/>
    <col min="80" max="80" width="16.5703125" style="1" customWidth="1"/>
    <col min="81" max="81" width="6.5703125" style="1" customWidth="1"/>
    <col min="82" max="86" width="16.5703125" style="1" customWidth="1"/>
    <col min="87" max="88" width="3.5703125" style="1" customWidth="1"/>
    <col min="89" max="93" width="16.5703125" style="1" customWidth="1"/>
    <col min="94" max="94" width="13.140625" style="1" customWidth="1"/>
    <col min="95" max="95" width="6.5703125" style="1" customWidth="1"/>
    <col min="96" max="96" width="3.42578125" style="1" customWidth="1"/>
    <col min="97" max="97" width="7" style="1" customWidth="1"/>
    <col min="98" max="98" width="8.5703125" style="1" customWidth="1"/>
    <col min="99" max="99" width="16.42578125" style="1" bestFit="1" customWidth="1"/>
    <col min="100" max="100" width="11.42578125" style="1" bestFit="1" customWidth="1"/>
    <col min="101" max="101" width="14" style="1" customWidth="1"/>
    <col min="102" max="102" width="11.5703125" style="1" customWidth="1"/>
    <col min="103" max="103" width="15.85546875" style="1" customWidth="1"/>
    <col min="104" max="104" width="4.85546875" style="1" customWidth="1"/>
    <col min="105" max="105" width="8.5703125" style="1"/>
    <col min="106" max="106" width="3.85546875" style="1" customWidth="1"/>
    <col min="107" max="107" width="8.5703125" style="1"/>
    <col min="108" max="108" width="9" style="1" customWidth="1"/>
    <col min="109" max="110" width="8.5703125" style="1"/>
    <col min="111" max="111" width="14.85546875" style="1" customWidth="1"/>
    <col min="112" max="112" width="11.42578125" style="1" customWidth="1"/>
    <col min="113" max="113" width="14.85546875" style="1" customWidth="1"/>
    <col min="114" max="114" width="15.42578125" style="1" customWidth="1"/>
    <col min="115" max="115" width="13.85546875" style="1" customWidth="1"/>
    <col min="116" max="116" width="8.5703125" style="1"/>
    <col min="117" max="117" width="1.5703125" style="1" customWidth="1"/>
    <col min="118" max="16384" width="8.5703125" style="1"/>
  </cols>
  <sheetData>
    <row r="1" spans="2:117" ht="15" x14ac:dyDescent="0.25">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L1"/>
      <c r="BM1"/>
      <c r="BN1"/>
      <c r="BO1"/>
      <c r="BP1"/>
      <c r="BQ1"/>
      <c r="BR1"/>
      <c r="BS1"/>
      <c r="BT1"/>
      <c r="BU1"/>
      <c r="BV1"/>
      <c r="BW1"/>
      <c r="BX1"/>
      <c r="BY1"/>
      <c r="BZ1"/>
      <c r="CA1"/>
      <c r="CB1"/>
      <c r="CC1"/>
      <c r="CD1"/>
      <c r="CE1"/>
      <c r="CF1"/>
      <c r="CG1"/>
      <c r="CH1"/>
      <c r="CI1"/>
      <c r="CJ1"/>
      <c r="CK1"/>
      <c r="CL1"/>
      <c r="CM1"/>
      <c r="CN1"/>
    </row>
    <row r="2" spans="2:117" ht="15" x14ac:dyDescent="0.25">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L2"/>
      <c r="BM2"/>
      <c r="BN2"/>
      <c r="BO2"/>
      <c r="BP2"/>
      <c r="BQ2"/>
      <c r="BR2"/>
      <c r="BS2"/>
      <c r="BT2"/>
      <c r="BU2"/>
      <c r="BV2"/>
      <c r="BW2"/>
      <c r="BX2"/>
      <c r="BY2"/>
      <c r="BZ2"/>
      <c r="CA2"/>
      <c r="CB2"/>
      <c r="CC2"/>
      <c r="CD2"/>
      <c r="CE2"/>
      <c r="CF2"/>
      <c r="CG2"/>
      <c r="CH2"/>
      <c r="CI2"/>
      <c r="CJ2"/>
      <c r="CK2"/>
      <c r="CL2"/>
      <c r="CM2"/>
      <c r="CN2"/>
    </row>
    <row r="3" spans="2:117" ht="13.5" thickBot="1" x14ac:dyDescent="0.25">
      <c r="R3" s="758"/>
    </row>
    <row r="4" spans="2:117" ht="15.75" thickTop="1" x14ac:dyDescent="0.25">
      <c r="B4" s="25"/>
      <c r="C4" s="27"/>
      <c r="D4" s="27"/>
      <c r="E4" s="27"/>
      <c r="F4" s="27"/>
      <c r="G4" s="27"/>
      <c r="H4" s="27"/>
      <c r="I4" s="27"/>
      <c r="J4" s="27"/>
      <c r="K4" s="27"/>
      <c r="L4" s="27"/>
      <c r="M4" s="27"/>
      <c r="N4" s="27"/>
      <c r="O4" s="27"/>
      <c r="P4" s="28"/>
      <c r="R4" s="759"/>
      <c r="S4" s="27"/>
      <c r="T4" s="27"/>
      <c r="U4" s="27"/>
      <c r="V4" s="27"/>
      <c r="W4" s="27"/>
      <c r="X4" s="27"/>
      <c r="Y4" s="27"/>
      <c r="Z4" s="27"/>
      <c r="AA4" s="27"/>
      <c r="AB4" s="27"/>
      <c r="AC4" s="27"/>
      <c r="AD4" s="27"/>
      <c r="AE4" s="27"/>
      <c r="AF4" s="28"/>
      <c r="AH4" s="25"/>
      <c r="AI4" s="27"/>
      <c r="AJ4" s="27"/>
      <c r="AK4" s="27"/>
      <c r="AL4" s="27"/>
      <c r="AM4" s="27"/>
      <c r="AN4" s="27"/>
      <c r="AO4" s="27"/>
      <c r="AP4" s="27"/>
      <c r="AQ4" s="27"/>
      <c r="AR4" s="27"/>
      <c r="AS4" s="27"/>
      <c r="AT4" s="27"/>
      <c r="AU4" s="28"/>
      <c r="BL4" s="25"/>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8"/>
      <c r="CR4" s="1168"/>
      <c r="CS4" s="1169"/>
      <c r="CT4" s="1169"/>
      <c r="CU4" s="1169"/>
      <c r="CV4" s="1169"/>
      <c r="CW4" s="1169"/>
      <c r="CX4" s="1169"/>
      <c r="CY4" s="1169"/>
      <c r="CZ4" s="1169"/>
      <c r="DA4" s="1169"/>
      <c r="DB4" s="1169"/>
      <c r="DC4" s="1169"/>
      <c r="DD4" s="1169"/>
      <c r="DE4" s="1169"/>
      <c r="DF4" s="1169"/>
      <c r="DG4" s="1169"/>
      <c r="DH4" s="1169"/>
      <c r="DI4" s="1169"/>
      <c r="DJ4" s="1169"/>
      <c r="DK4" s="1169"/>
      <c r="DL4" s="1169"/>
      <c r="DM4" s="1170"/>
    </row>
    <row r="5" spans="2:117" ht="18" x14ac:dyDescent="0.25">
      <c r="B5" s="35"/>
      <c r="D5" s="36" t="s">
        <v>59</v>
      </c>
      <c r="E5" s="757" t="s">
        <v>60</v>
      </c>
      <c r="F5" s="37"/>
      <c r="G5" s="37"/>
      <c r="H5" s="37"/>
      <c r="I5" s="37"/>
      <c r="J5" s="37"/>
      <c r="K5" s="37"/>
      <c r="L5" s="38"/>
      <c r="M5" s="38"/>
      <c r="N5" s="38"/>
      <c r="P5" s="39"/>
      <c r="R5" s="35"/>
      <c r="T5" s="36" t="s">
        <v>61</v>
      </c>
      <c r="Y5" s="761" t="s">
        <v>62</v>
      </c>
      <c r="AF5" s="39"/>
      <c r="AH5" s="35"/>
      <c r="AJ5" s="36" t="s">
        <v>63</v>
      </c>
      <c r="AK5" s="37" t="s">
        <v>64</v>
      </c>
      <c r="AL5" s="37"/>
      <c r="AM5" s="37"/>
      <c r="AN5" s="37"/>
      <c r="AO5" s="37"/>
      <c r="AP5" s="38"/>
      <c r="AQ5" s="38"/>
      <c r="AR5" s="38"/>
      <c r="AU5" s="39"/>
      <c r="BL5" s="35"/>
      <c r="BN5" s="36" t="s">
        <v>834</v>
      </c>
      <c r="BO5" s="37" t="s">
        <v>835</v>
      </c>
      <c r="BP5" s="37"/>
      <c r="BQ5" s="37"/>
      <c r="BR5" s="37"/>
      <c r="BS5" s="37"/>
      <c r="BT5" s="37"/>
      <c r="BU5" s="37"/>
      <c r="BV5" s="37"/>
      <c r="BW5" s="37"/>
      <c r="BX5" s="37"/>
      <c r="BY5" s="37"/>
      <c r="BZ5" s="37"/>
      <c r="CA5" s="37"/>
      <c r="CB5" s="38"/>
      <c r="CC5" s="162"/>
      <c r="CD5" s="162"/>
      <c r="CE5" s="38"/>
      <c r="CF5" s="38"/>
      <c r="CG5" s="38"/>
      <c r="CH5" s="162"/>
      <c r="CI5" s="38"/>
      <c r="CJ5" s="38"/>
      <c r="CK5" s="38"/>
      <c r="CL5" s="38"/>
      <c r="CM5" s="38"/>
      <c r="CN5" s="38"/>
      <c r="CO5" s="162"/>
      <c r="CP5" s="39"/>
      <c r="CR5" s="1171"/>
      <c r="CS5"/>
      <c r="CT5" s="520" t="s">
        <v>856</v>
      </c>
      <c r="CU5" s="1759" t="s">
        <v>857</v>
      </c>
      <c r="CV5" s="1759"/>
      <c r="CW5" s="1759"/>
      <c r="CX5" s="1759"/>
      <c r="CY5" s="1759"/>
      <c r="CZ5" s="1759"/>
      <c r="DA5" s="1759"/>
      <c r="DB5" s="1759"/>
      <c r="DC5" s="1759"/>
      <c r="DD5" s="1759"/>
      <c r="DE5" s="1759"/>
      <c r="DF5" s="1759"/>
      <c r="DG5" s="1759"/>
      <c r="DH5" s="1759"/>
      <c r="DI5" s="1759"/>
      <c r="DJ5" s="1759"/>
      <c r="DK5" s="1759"/>
      <c r="DM5" s="1172"/>
    </row>
    <row r="6" spans="2:117" ht="18.75" customHeight="1" x14ac:dyDescent="0.25">
      <c r="B6" s="35"/>
      <c r="P6" s="39"/>
      <c r="R6" s="35"/>
      <c r="U6" s="760"/>
      <c r="Y6" s="1024" t="s">
        <v>65</v>
      </c>
      <c r="AF6" s="39"/>
      <c r="AH6" s="35"/>
      <c r="AU6" s="39"/>
      <c r="BL6" s="35"/>
      <c r="CP6" s="39"/>
      <c r="CR6" s="1171"/>
      <c r="CS6"/>
      <c r="CT6"/>
      <c r="CU6" s="1760" t="s">
        <v>858</v>
      </c>
      <c r="CV6" s="1760"/>
      <c r="CW6" s="1760"/>
      <c r="CX6" s="1760"/>
      <c r="CY6" s="1760"/>
      <c r="CZ6" s="1760"/>
      <c r="DA6" s="1760"/>
      <c r="DB6" s="1760"/>
      <c r="DC6" s="1760"/>
      <c r="DD6" s="1760"/>
      <c r="DE6" s="1760"/>
      <c r="DF6" s="1760"/>
      <c r="DG6" s="1760"/>
      <c r="DH6" s="1760"/>
      <c r="DI6" s="1760"/>
      <c r="DJ6" s="1760"/>
      <c r="DK6" s="1760"/>
      <c r="DM6" s="1172"/>
    </row>
    <row r="7" spans="2:117" ht="15" x14ac:dyDescent="0.25">
      <c r="B7" s="35"/>
      <c r="D7"/>
      <c r="E7"/>
      <c r="F7"/>
      <c r="G7"/>
      <c r="H7"/>
      <c r="I7"/>
      <c r="J7"/>
      <c r="K7"/>
      <c r="L7"/>
      <c r="P7" s="39"/>
      <c r="R7" s="35"/>
      <c r="Y7" s="1025" t="s">
        <v>66</v>
      </c>
      <c r="AF7" s="39"/>
      <c r="AH7" s="35"/>
      <c r="AU7" s="39"/>
      <c r="BL7" s="35"/>
      <c r="CP7" s="39"/>
      <c r="CR7" s="1171"/>
      <c r="CS7"/>
      <c r="CT7"/>
      <c r="CU7" s="1187"/>
      <c r="CV7" s="1187"/>
      <c r="CW7" s="1187"/>
      <c r="CX7" s="1187"/>
      <c r="CY7" s="1187"/>
      <c r="CZ7" s="1187"/>
      <c r="DA7" s="1187"/>
      <c r="DB7" s="1187"/>
      <c r="DC7" s="1187"/>
      <c r="DD7" s="1187"/>
      <c r="DE7" s="1187"/>
      <c r="DF7" s="1187"/>
      <c r="DG7" s="1187"/>
      <c r="DH7" s="1187"/>
      <c r="DI7" s="1187"/>
      <c r="DJ7" s="1187"/>
      <c r="DK7" s="1187"/>
      <c r="DM7" s="1172"/>
    </row>
    <row r="8" spans="2:117" ht="15" x14ac:dyDescent="0.25">
      <c r="B8" s="35"/>
      <c r="C8" s="746"/>
      <c r="D8"/>
      <c r="E8"/>
      <c r="F8"/>
      <c r="G8"/>
      <c r="H8"/>
      <c r="P8" s="39"/>
      <c r="R8" s="35"/>
      <c r="AF8" s="39"/>
      <c r="AH8" s="35"/>
      <c r="AU8" s="39"/>
      <c r="BL8" s="35"/>
      <c r="CP8" s="39"/>
      <c r="CR8" s="1171"/>
      <c r="CS8"/>
      <c r="CT8"/>
      <c r="CU8" s="1187"/>
      <c r="CV8" s="1187"/>
      <c r="CW8" s="1187"/>
      <c r="CX8" s="1187"/>
      <c r="CY8" s="1187"/>
      <c r="CZ8" s="1187"/>
      <c r="DA8" s="1187"/>
      <c r="DB8" s="1187"/>
      <c r="DC8" s="1187"/>
      <c r="DD8" s="1187"/>
      <c r="DE8" s="1187"/>
      <c r="DF8" s="1187"/>
      <c r="DG8" s="1187"/>
      <c r="DH8" s="1187"/>
      <c r="DI8" s="1187"/>
      <c r="DJ8" s="1187"/>
      <c r="DK8" s="1187"/>
      <c r="DM8" s="1172"/>
    </row>
    <row r="9" spans="2:117" ht="26.25" x14ac:dyDescent="0.25">
      <c r="B9" s="35"/>
      <c r="I9" s="744"/>
      <c r="P9" s="39"/>
      <c r="R9" s="35"/>
      <c r="T9" s="194"/>
      <c r="V9" s="1764" t="s">
        <v>67</v>
      </c>
      <c r="W9" s="1764"/>
      <c r="X9" s="1764"/>
      <c r="Y9" s="1764"/>
      <c r="AA9" s="1764" t="s">
        <v>68</v>
      </c>
      <c r="AB9" s="1764"/>
      <c r="AC9" s="1764"/>
      <c r="AD9" s="1764"/>
      <c r="AF9" s="39"/>
      <c r="AH9" s="35"/>
      <c r="AU9" s="39"/>
      <c r="BL9" s="35"/>
      <c r="BQ9" s="1029" t="s">
        <v>836</v>
      </c>
      <c r="BR9" s="1029"/>
      <c r="BS9" s="1029"/>
      <c r="BT9" s="1029"/>
      <c r="BU9" s="1029"/>
      <c r="BV9" s="1029"/>
      <c r="BW9" s="1029"/>
      <c r="BX9" s="1029"/>
      <c r="BY9" s="1029"/>
      <c r="BZ9" s="1029"/>
      <c r="CA9" s="1029"/>
      <c r="CB9" s="162"/>
      <c r="CD9" s="1029" t="s">
        <v>837</v>
      </c>
      <c r="CE9" s="1029"/>
      <c r="CF9" s="1029"/>
      <c r="CG9" s="1029"/>
      <c r="CH9" s="162"/>
      <c r="CK9" s="1029" t="s">
        <v>125</v>
      </c>
      <c r="CL9" s="1029"/>
      <c r="CM9" s="1029"/>
      <c r="CN9" s="1029"/>
      <c r="CO9" s="162"/>
      <c r="CP9" s="39"/>
      <c r="CR9" s="1171"/>
      <c r="CS9"/>
      <c r="CT9"/>
      <c r="CU9"/>
      <c r="CV9"/>
      <c r="CW9" s="1173" t="s">
        <v>863</v>
      </c>
      <c r="CX9" s="1173" t="s">
        <v>864</v>
      </c>
      <c r="CY9" s="1173" t="s">
        <v>865</v>
      </c>
      <c r="CZ9" s="1197" t="s">
        <v>859</v>
      </c>
      <c r="DA9" s="1196"/>
      <c r="DB9" s="1196"/>
      <c r="DC9" s="1196"/>
      <c r="DD9" s="1196"/>
      <c r="DE9"/>
      <c r="DF9"/>
      <c r="DG9" s="1173" t="s">
        <v>863</v>
      </c>
      <c r="DH9" s="1173" t="s">
        <v>864</v>
      </c>
      <c r="DI9" s="1173" t="s">
        <v>865</v>
      </c>
      <c r="DJ9" s="1197" t="s">
        <v>859</v>
      </c>
      <c r="DK9" s="1196"/>
      <c r="DM9" s="1172"/>
    </row>
    <row r="10" spans="2:117" ht="51.75" x14ac:dyDescent="0.25">
      <c r="B10" s="35"/>
      <c r="C10"/>
      <c r="F10" s="745" t="s">
        <v>69</v>
      </c>
      <c r="G10" s="745" t="s">
        <v>70</v>
      </c>
      <c r="I10" s="756" t="s">
        <v>71</v>
      </c>
      <c r="K10" s="744"/>
      <c r="M10" s="196" t="s">
        <v>72</v>
      </c>
      <c r="N10" s="196" t="s">
        <v>73</v>
      </c>
      <c r="P10" s="39"/>
      <c r="R10" s="35"/>
      <c r="S10" s="194" t="s">
        <v>74</v>
      </c>
      <c r="U10" s="194"/>
      <c r="V10" s="196" t="str">
        <f>"Average Speed in Year "&amp;YearFirst&amp;" (mph)"</f>
        <v>Average Speed in Year 2026 (mph)</v>
      </c>
      <c r="W10" s="196" t="str">
        <f>"Average Trip Length in Year "&amp;YearFirst&amp;" (miles)"</f>
        <v>Average Trip Length in Year 2026 (miles)</v>
      </c>
      <c r="X10" s="196" t="str">
        <f>"Average Speed in Year "&amp;YearLast&amp;" (mph)"</f>
        <v>Average Speed in Year 2046 (mph)</v>
      </c>
      <c r="Y10" s="196" t="str">
        <f>"Average Trip Length in Year "&amp;YearLast&amp;" (miles)"</f>
        <v>Average Trip Length in Year 2046 (miles)</v>
      </c>
      <c r="Z10" s="196"/>
      <c r="AA10" s="196" t="str">
        <f>"Average Speed in Year "&amp;YearFirst&amp;" (mph)"</f>
        <v>Average Speed in Year 2026 (mph)</v>
      </c>
      <c r="AB10" s="196" t="str">
        <f>"Average Trip Length in Year "&amp;YearFirst&amp;" (miles)"</f>
        <v>Average Trip Length in Year 2026 (miles)</v>
      </c>
      <c r="AC10" s="196" t="str">
        <f>"Average Speed in Year "&amp;YearLast&amp;" (mph)"</f>
        <v>Average Speed in Year 2046 (mph)</v>
      </c>
      <c r="AD10" s="196" t="str">
        <f>"Average Trip Length in Year "&amp;YearLast&amp;" (miles)"</f>
        <v>Average Trip Length in Year 2046 (miles)</v>
      </c>
      <c r="AF10" s="39"/>
      <c r="AH10" s="35"/>
      <c r="AL10" s="745" t="s">
        <v>69</v>
      </c>
      <c r="AM10" s="196" t="s">
        <v>70</v>
      </c>
      <c r="AN10" s="1765" t="s">
        <v>71</v>
      </c>
      <c r="AO10" s="1766"/>
      <c r="AP10" s="1766"/>
      <c r="AQ10" s="196" t="s">
        <v>75</v>
      </c>
      <c r="AR10" s="196" t="s">
        <v>76</v>
      </c>
      <c r="AS10" s="196" t="s">
        <v>77</v>
      </c>
      <c r="AT10" s="196"/>
      <c r="AU10" s="39"/>
      <c r="BL10" s="35"/>
      <c r="BP10" s="745"/>
      <c r="BQ10" s="1765" t="s">
        <v>70</v>
      </c>
      <c r="BR10" s="1765"/>
      <c r="BS10" s="1765" t="s">
        <v>838</v>
      </c>
      <c r="BT10" s="1765"/>
      <c r="BU10" s="1765"/>
      <c r="BV10" s="1765"/>
      <c r="BW10" s="1765"/>
      <c r="BX10" s="1765"/>
      <c r="BY10" s="1765"/>
      <c r="BZ10" s="1765"/>
      <c r="CA10" s="1765"/>
      <c r="CB10" s="1163" t="s">
        <v>839</v>
      </c>
      <c r="CD10" s="1164" t="s">
        <v>840</v>
      </c>
      <c r="CE10" s="196" t="s">
        <v>841</v>
      </c>
      <c r="CF10" s="196" t="s">
        <v>842</v>
      </c>
      <c r="CG10" s="196" t="s">
        <v>843</v>
      </c>
      <c r="CH10" s="196" t="s">
        <v>844</v>
      </c>
      <c r="CI10" s="196"/>
      <c r="CJ10" s="196"/>
      <c r="CK10" s="1165" t="s">
        <v>840</v>
      </c>
      <c r="CL10" s="196" t="s">
        <v>845</v>
      </c>
      <c r="CM10" s="196" t="s">
        <v>842</v>
      </c>
      <c r="CN10" s="196" t="s">
        <v>846</v>
      </c>
      <c r="CO10" s="196" t="s">
        <v>844</v>
      </c>
      <c r="CP10" s="39"/>
      <c r="CR10" s="1171"/>
      <c r="CS10" s="1174" t="s">
        <v>860</v>
      </c>
      <c r="CT10" s="1175"/>
      <c r="CU10" s="1175"/>
      <c r="CV10" s="1175"/>
      <c r="CW10" s="959"/>
      <c r="CX10" s="959"/>
      <c r="CY10" s="959"/>
      <c r="CZ10" s="959"/>
      <c r="DA10" s="959"/>
      <c r="DB10" s="528"/>
      <c r="DC10" s="528"/>
      <c r="DD10" s="528"/>
      <c r="DE10" s="1175"/>
      <c r="DF10" s="1175"/>
      <c r="DG10" s="959"/>
      <c r="DH10" s="959"/>
      <c r="DI10" s="959"/>
      <c r="DJ10" s="959"/>
      <c r="DK10" s="959"/>
      <c r="DL10" s="957"/>
      <c r="DM10" s="1172"/>
    </row>
    <row r="11" spans="2:117" ht="15" x14ac:dyDescent="0.25">
      <c r="B11" s="35"/>
      <c r="C11"/>
      <c r="D11" s="197" t="s">
        <v>78</v>
      </c>
      <c r="E11" s="200"/>
      <c r="F11" s="1660" t="s">
        <v>80</v>
      </c>
      <c r="G11" s="1646" t="s">
        <v>943</v>
      </c>
      <c r="H11" s="1648"/>
      <c r="I11" s="1649"/>
      <c r="J11" s="1650"/>
      <c r="K11" s="1650"/>
      <c r="L11" s="1651"/>
      <c r="M11" s="1664">
        <v>1.45</v>
      </c>
      <c r="N11" s="1667">
        <v>0.24</v>
      </c>
      <c r="P11" s="39"/>
      <c r="R11" s="35"/>
      <c r="S11" s="194"/>
      <c r="T11" s="1691" t="str">
        <f t="shared" ref="T11:T16" si="0">D11</f>
        <v>Model Group 1</v>
      </c>
      <c r="U11" s="1692"/>
      <c r="V11" s="1596"/>
      <c r="W11" s="1596"/>
      <c r="X11" s="1693"/>
      <c r="Y11" s="1693"/>
      <c r="Z11"/>
      <c r="AA11" s="1693"/>
      <c r="AB11" s="1693"/>
      <c r="AC11" s="1693"/>
      <c r="AD11" s="1596"/>
      <c r="AF11" s="39"/>
      <c r="AH11" s="35"/>
      <c r="AJ11" s="197" t="s">
        <v>79</v>
      </c>
      <c r="AK11" s="1595"/>
      <c r="AL11" s="1596" t="s">
        <v>80</v>
      </c>
      <c r="AM11" s="1646" t="s">
        <v>943</v>
      </c>
      <c r="AN11" s="1597"/>
      <c r="AO11" s="1598"/>
      <c r="AP11" s="1599"/>
      <c r="AQ11" s="1600">
        <v>0.9</v>
      </c>
      <c r="AR11" s="1600">
        <v>0.76</v>
      </c>
      <c r="AS11" s="1600">
        <v>0.27</v>
      </c>
      <c r="AT11"/>
      <c r="AU11" s="39"/>
      <c r="BL11" s="35"/>
      <c r="BN11" s="500" t="s">
        <v>847</v>
      </c>
      <c r="BO11" s="1033"/>
      <c r="BP11" s="1545" t="s">
        <v>80</v>
      </c>
      <c r="BQ11" s="1646" t="s">
        <v>943</v>
      </c>
      <c r="BR11" s="1646"/>
      <c r="BS11" s="1767" t="s">
        <v>949</v>
      </c>
      <c r="BT11" s="1768"/>
      <c r="BU11" s="1768"/>
      <c r="BV11" s="1768"/>
      <c r="BW11" s="1768"/>
      <c r="BX11" s="1768"/>
      <c r="BY11" s="1768"/>
      <c r="BZ11" s="1768"/>
      <c r="CA11" s="1769"/>
      <c r="CB11" s="1546">
        <v>2</v>
      </c>
      <c r="CD11" s="1551">
        <v>0.28000000000000003</v>
      </c>
      <c r="CE11" s="1552">
        <v>1</v>
      </c>
      <c r="CF11" s="1553">
        <f t="shared" ref="CF11:CF16" si="1">CD11*CE11</f>
        <v>0.28000000000000003</v>
      </c>
      <c r="CG11" s="1554">
        <v>30</v>
      </c>
      <c r="CH11" s="1718">
        <f t="shared" ref="CH11:CH16" si="2">M11</f>
        <v>1.45</v>
      </c>
      <c r="CI11"/>
      <c r="CJ11"/>
      <c r="CK11" s="1555">
        <v>0.31</v>
      </c>
      <c r="CL11" s="1552">
        <v>1</v>
      </c>
      <c r="CM11" s="1553">
        <f t="shared" ref="CM11:CM16" si="3">CK11*CL11</f>
        <v>0.31</v>
      </c>
      <c r="CN11" s="1554">
        <v>35</v>
      </c>
      <c r="CO11" s="1718">
        <f t="shared" ref="CO11:CO16" si="4">M11</f>
        <v>1.45</v>
      </c>
      <c r="CP11" s="39"/>
      <c r="CR11" s="1171"/>
      <c r="CS11" s="1176"/>
      <c r="CT11" s="1177"/>
      <c r="CU11" s="1064" t="str">
        <f t="shared" ref="CU11:CU16" si="5">BN11</f>
        <v>Reliability Group 1</v>
      </c>
      <c r="CV11" s="1178" t="s">
        <v>588</v>
      </c>
      <c r="CW11" s="1566">
        <f>1</f>
        <v>1</v>
      </c>
      <c r="CX11" s="1567"/>
      <c r="CY11" s="1568">
        <f t="shared" ref="CY11:CY16" si="6">IF(ISNUMBER(CX11),CX11,CW11)</f>
        <v>1</v>
      </c>
      <c r="CZ11" s="1761"/>
      <c r="DA11" s="1762"/>
      <c r="DB11" s="1762"/>
      <c r="DC11" s="1762"/>
      <c r="DD11" s="1763"/>
      <c r="DE11" s="1177"/>
      <c r="DF11" s="1178" t="s">
        <v>463</v>
      </c>
      <c r="DG11" s="1566">
        <f>1</f>
        <v>1</v>
      </c>
      <c r="DH11" s="1567"/>
      <c r="DI11" s="1575">
        <f t="shared" ref="DI11:DI16" si="7">IF(ISNUMBER(DH11),DH11,DG11)</f>
        <v>1</v>
      </c>
      <c r="DJ11" s="1576"/>
      <c r="DK11" s="1577"/>
      <c r="DL11" s="961"/>
      <c r="DM11" s="1172"/>
    </row>
    <row r="12" spans="2:117" ht="15" x14ac:dyDescent="0.25">
      <c r="B12" s="35"/>
      <c r="C12"/>
      <c r="D12" s="1601" t="s">
        <v>938</v>
      </c>
      <c r="E12" s="1663"/>
      <c r="F12" s="1661" t="s">
        <v>80</v>
      </c>
      <c r="G12" s="1647" t="s">
        <v>944</v>
      </c>
      <c r="H12" s="1652"/>
      <c r="I12" s="1653"/>
      <c r="J12" s="1654"/>
      <c r="K12" s="1654"/>
      <c r="L12" s="1655"/>
      <c r="M12" s="1665">
        <v>1.45</v>
      </c>
      <c r="N12" s="1668">
        <v>0.24</v>
      </c>
      <c r="P12" s="39"/>
      <c r="R12" s="35"/>
      <c r="S12" s="194"/>
      <c r="T12" s="1694" t="str">
        <f t="shared" si="0"/>
        <v>Model Group 2</v>
      </c>
      <c r="U12" s="1695"/>
      <c r="V12" s="1603"/>
      <c r="W12" s="1603"/>
      <c r="X12" s="1696"/>
      <c r="Y12" s="1696"/>
      <c r="Z12"/>
      <c r="AA12" s="1696"/>
      <c r="AB12" s="1696"/>
      <c r="AC12" s="1696"/>
      <c r="AD12" s="1603"/>
      <c r="AF12" s="39"/>
      <c r="AH12" s="35"/>
      <c r="AJ12" s="1601" t="s">
        <v>933</v>
      </c>
      <c r="AK12" s="1602"/>
      <c r="AL12" s="1603" t="s">
        <v>80</v>
      </c>
      <c r="AM12" s="1647" t="s">
        <v>944</v>
      </c>
      <c r="AN12" s="1604"/>
      <c r="AO12" s="423"/>
      <c r="AP12" s="1605"/>
      <c r="AQ12" s="1606">
        <v>0.9</v>
      </c>
      <c r="AR12" s="1606">
        <v>0.76</v>
      </c>
      <c r="AS12" s="1606">
        <v>0.27</v>
      </c>
      <c r="AT12"/>
      <c r="AU12" s="39"/>
      <c r="BL12" s="35"/>
      <c r="BN12" s="500" t="s">
        <v>928</v>
      </c>
      <c r="BO12" s="1033"/>
      <c r="BP12" s="1547" t="s">
        <v>80</v>
      </c>
      <c r="BQ12" s="1647" t="s">
        <v>944</v>
      </c>
      <c r="BR12" s="1647"/>
      <c r="BS12" s="1767" t="s">
        <v>949</v>
      </c>
      <c r="BT12" s="1768"/>
      <c r="BU12" s="1768"/>
      <c r="BV12" s="1768"/>
      <c r="BW12" s="1768"/>
      <c r="BX12" s="1768"/>
      <c r="BY12" s="1768"/>
      <c r="BZ12" s="1768"/>
      <c r="CA12" s="1769"/>
      <c r="CB12" s="1548">
        <v>2</v>
      </c>
      <c r="CD12" s="1556">
        <v>0.24</v>
      </c>
      <c r="CE12" s="1557">
        <v>1</v>
      </c>
      <c r="CF12" s="1558">
        <f t="shared" si="1"/>
        <v>0.24</v>
      </c>
      <c r="CG12" s="1559">
        <v>30</v>
      </c>
      <c r="CH12" s="1719">
        <f t="shared" si="2"/>
        <v>1.45</v>
      </c>
      <c r="CI12"/>
      <c r="CJ12"/>
      <c r="CK12" s="1560">
        <v>0.24</v>
      </c>
      <c r="CL12" s="1557">
        <v>1</v>
      </c>
      <c r="CM12" s="1558">
        <f t="shared" si="3"/>
        <v>0.24</v>
      </c>
      <c r="CN12" s="1559">
        <v>35</v>
      </c>
      <c r="CO12" s="1719">
        <f t="shared" si="4"/>
        <v>1.45</v>
      </c>
      <c r="CP12" s="39"/>
      <c r="CR12" s="1171"/>
      <c r="CS12" s="1176"/>
      <c r="CT12" s="1177"/>
      <c r="CU12" s="1064" t="str">
        <f t="shared" si="5"/>
        <v>Reliability Group 2</v>
      </c>
      <c r="CV12" s="1178" t="s">
        <v>588</v>
      </c>
      <c r="CW12" s="1569">
        <f>1</f>
        <v>1</v>
      </c>
      <c r="CX12" s="1570"/>
      <c r="CY12" s="1571">
        <f t="shared" si="6"/>
        <v>1</v>
      </c>
      <c r="CZ12" s="1770"/>
      <c r="DA12" s="1771"/>
      <c r="DB12" s="1771"/>
      <c r="DC12" s="1771"/>
      <c r="DD12" s="1772"/>
      <c r="DE12" s="1177"/>
      <c r="DF12" s="1178" t="s">
        <v>463</v>
      </c>
      <c r="DG12" s="1569">
        <f>1</f>
        <v>1</v>
      </c>
      <c r="DH12" s="1570"/>
      <c r="DI12" s="1578">
        <f t="shared" si="7"/>
        <v>1</v>
      </c>
      <c r="DJ12" s="1579"/>
      <c r="DK12" s="1580"/>
      <c r="DL12" s="961"/>
      <c r="DM12" s="1172"/>
    </row>
    <row r="13" spans="2:117" ht="15" x14ac:dyDescent="0.25">
      <c r="B13" s="35"/>
      <c r="C13"/>
      <c r="D13" s="1601" t="s">
        <v>939</v>
      </c>
      <c r="E13" s="1663"/>
      <c r="F13" s="1661" t="s">
        <v>80</v>
      </c>
      <c r="G13" s="1647" t="s">
        <v>945</v>
      </c>
      <c r="H13" s="1652"/>
      <c r="I13" s="1653"/>
      <c r="J13" s="1654"/>
      <c r="K13" s="1654"/>
      <c r="L13" s="1655"/>
      <c r="M13" s="1665">
        <v>1.45</v>
      </c>
      <c r="N13" s="1668">
        <v>0.24</v>
      </c>
      <c r="P13" s="39"/>
      <c r="R13" s="35"/>
      <c r="S13" s="194"/>
      <c r="T13" s="1694" t="str">
        <f t="shared" si="0"/>
        <v>Model Group 3</v>
      </c>
      <c r="U13" s="1695"/>
      <c r="V13" s="1603"/>
      <c r="W13" s="1603"/>
      <c r="X13" s="1696"/>
      <c r="Y13" s="1696"/>
      <c r="Z13"/>
      <c r="AA13" s="1696"/>
      <c r="AB13" s="1696"/>
      <c r="AC13" s="1696"/>
      <c r="AD13" s="1603"/>
      <c r="AF13" s="39"/>
      <c r="AH13" s="35"/>
      <c r="AJ13" s="1601" t="s">
        <v>934</v>
      </c>
      <c r="AK13" s="1602"/>
      <c r="AL13" s="1603" t="s">
        <v>80</v>
      </c>
      <c r="AM13" s="1647" t="s">
        <v>945</v>
      </c>
      <c r="AN13" s="1604"/>
      <c r="AO13" s="423"/>
      <c r="AP13" s="1605"/>
      <c r="AQ13" s="1606">
        <v>0.9</v>
      </c>
      <c r="AR13" s="1606">
        <v>0.76</v>
      </c>
      <c r="AS13" s="1606">
        <v>0.27</v>
      </c>
      <c r="AT13"/>
      <c r="AU13" s="39"/>
      <c r="BL13" s="35"/>
      <c r="BN13" s="500" t="s">
        <v>929</v>
      </c>
      <c r="BO13" s="1033"/>
      <c r="BP13" s="1547" t="s">
        <v>80</v>
      </c>
      <c r="BQ13" s="1647" t="s">
        <v>945</v>
      </c>
      <c r="BR13" s="1647"/>
      <c r="BS13" s="1767" t="s">
        <v>949</v>
      </c>
      <c r="BT13" s="1768"/>
      <c r="BU13" s="1768"/>
      <c r="BV13" s="1768"/>
      <c r="BW13" s="1768"/>
      <c r="BX13" s="1768"/>
      <c r="BY13" s="1768"/>
      <c r="BZ13" s="1768"/>
      <c r="CA13" s="1769"/>
      <c r="CB13" s="1548">
        <v>2</v>
      </c>
      <c r="CD13" s="1556">
        <v>0.24</v>
      </c>
      <c r="CE13" s="1557">
        <v>1</v>
      </c>
      <c r="CF13" s="1558">
        <f t="shared" si="1"/>
        <v>0.24</v>
      </c>
      <c r="CG13" s="1559">
        <v>20</v>
      </c>
      <c r="CH13" s="1719">
        <f t="shared" si="2"/>
        <v>1.45</v>
      </c>
      <c r="CI13"/>
      <c r="CJ13"/>
      <c r="CK13" s="1560">
        <v>0.24</v>
      </c>
      <c r="CL13" s="1557">
        <v>1</v>
      </c>
      <c r="CM13" s="1558">
        <f t="shared" si="3"/>
        <v>0.24</v>
      </c>
      <c r="CN13" s="1559">
        <v>35</v>
      </c>
      <c r="CO13" s="1719">
        <f t="shared" si="4"/>
        <v>1.45</v>
      </c>
      <c r="CP13" s="39"/>
      <c r="CR13" s="1171"/>
      <c r="CS13" s="1176"/>
      <c r="CT13" s="1177"/>
      <c r="CU13" s="1064" t="str">
        <f t="shared" si="5"/>
        <v>Reliability Group 3</v>
      </c>
      <c r="CV13" s="1178" t="s">
        <v>588</v>
      </c>
      <c r="CW13" s="1569">
        <f>1</f>
        <v>1</v>
      </c>
      <c r="CX13" s="1570"/>
      <c r="CY13" s="1571">
        <f t="shared" si="6"/>
        <v>1</v>
      </c>
      <c r="CZ13" s="1770"/>
      <c r="DA13" s="1771"/>
      <c r="DB13" s="1771"/>
      <c r="DC13" s="1771"/>
      <c r="DD13" s="1772"/>
      <c r="DE13" s="1177"/>
      <c r="DF13" s="1178" t="s">
        <v>463</v>
      </c>
      <c r="DG13" s="1569">
        <f>1</f>
        <v>1</v>
      </c>
      <c r="DH13" s="1570"/>
      <c r="DI13" s="1578">
        <f t="shared" si="7"/>
        <v>1</v>
      </c>
      <c r="DJ13" s="1579"/>
      <c r="DK13" s="1580"/>
      <c r="DL13" s="961"/>
      <c r="DM13" s="1172"/>
    </row>
    <row r="14" spans="2:117" ht="15" x14ac:dyDescent="0.25">
      <c r="B14" s="35"/>
      <c r="C14"/>
      <c r="D14" s="1601" t="s">
        <v>940</v>
      </c>
      <c r="E14" s="1663"/>
      <c r="F14" s="1661" t="s">
        <v>80</v>
      </c>
      <c r="G14" s="1647" t="s">
        <v>946</v>
      </c>
      <c r="H14" s="1652"/>
      <c r="I14" s="1653"/>
      <c r="J14" s="1654"/>
      <c r="K14" s="1654"/>
      <c r="L14" s="1655"/>
      <c r="M14" s="1665">
        <v>1.45</v>
      </c>
      <c r="N14" s="1668">
        <v>0.24</v>
      </c>
      <c r="P14" s="39"/>
      <c r="R14" s="35"/>
      <c r="S14" s="194"/>
      <c r="T14" s="1694" t="str">
        <f t="shared" si="0"/>
        <v>Model Group 4</v>
      </c>
      <c r="U14" s="1695"/>
      <c r="V14" s="1603"/>
      <c r="W14" s="1603"/>
      <c r="X14" s="1696"/>
      <c r="Y14" s="1696"/>
      <c r="Z14"/>
      <c r="AA14" s="1696"/>
      <c r="AB14" s="1696"/>
      <c r="AC14" s="1696"/>
      <c r="AD14" s="1603"/>
      <c r="AF14" s="39"/>
      <c r="AH14" s="35"/>
      <c r="AJ14" s="1601" t="s">
        <v>935</v>
      </c>
      <c r="AK14" s="1602"/>
      <c r="AL14" s="1603" t="s">
        <v>80</v>
      </c>
      <c r="AM14" s="1647" t="s">
        <v>946</v>
      </c>
      <c r="AN14" s="1604"/>
      <c r="AO14" s="423"/>
      <c r="AP14" s="1605"/>
      <c r="AQ14" s="1606">
        <v>0.9</v>
      </c>
      <c r="AR14" s="1606">
        <v>0.76</v>
      </c>
      <c r="AS14" s="1606">
        <v>0.27</v>
      </c>
      <c r="AT14"/>
      <c r="AU14" s="39"/>
      <c r="BL14" s="35"/>
      <c r="BN14" s="500" t="s">
        <v>930</v>
      </c>
      <c r="BO14" s="1033"/>
      <c r="BP14" s="1547" t="s">
        <v>80</v>
      </c>
      <c r="BQ14" s="1647" t="s">
        <v>946</v>
      </c>
      <c r="BR14" s="1647"/>
      <c r="BS14" s="1767" t="s">
        <v>949</v>
      </c>
      <c r="BT14" s="1768"/>
      <c r="BU14" s="1768"/>
      <c r="BV14" s="1768"/>
      <c r="BW14" s="1768"/>
      <c r="BX14" s="1768"/>
      <c r="BY14" s="1768"/>
      <c r="BZ14" s="1768"/>
      <c r="CA14" s="1769"/>
      <c r="CB14" s="1548">
        <v>2</v>
      </c>
      <c r="CD14" s="1556">
        <v>0.35</v>
      </c>
      <c r="CE14" s="1557">
        <v>1</v>
      </c>
      <c r="CF14" s="1558">
        <f t="shared" si="1"/>
        <v>0.35</v>
      </c>
      <c r="CG14" s="1559">
        <v>20</v>
      </c>
      <c r="CH14" s="1719">
        <f t="shared" si="2"/>
        <v>1.45</v>
      </c>
      <c r="CI14"/>
      <c r="CJ14"/>
      <c r="CK14" s="1560">
        <v>0.28999999999999998</v>
      </c>
      <c r="CL14" s="1557">
        <v>1</v>
      </c>
      <c r="CM14" s="1558">
        <f t="shared" si="3"/>
        <v>0.28999999999999998</v>
      </c>
      <c r="CN14" s="1559">
        <v>35</v>
      </c>
      <c r="CO14" s="1719">
        <f t="shared" si="4"/>
        <v>1.45</v>
      </c>
      <c r="CP14" s="39"/>
      <c r="CR14" s="1171"/>
      <c r="CS14" s="1176"/>
      <c r="CT14" s="1177"/>
      <c r="CU14" s="1064" t="str">
        <f t="shared" si="5"/>
        <v>Reliability Group 4</v>
      </c>
      <c r="CV14" s="1178" t="s">
        <v>588</v>
      </c>
      <c r="CW14" s="1569">
        <f>1</f>
        <v>1</v>
      </c>
      <c r="CX14" s="1570"/>
      <c r="CY14" s="1571">
        <f t="shared" si="6"/>
        <v>1</v>
      </c>
      <c r="CZ14" s="1770"/>
      <c r="DA14" s="1771"/>
      <c r="DB14" s="1771"/>
      <c r="DC14" s="1771"/>
      <c r="DD14" s="1772"/>
      <c r="DE14" s="1177"/>
      <c r="DF14" s="1178" t="s">
        <v>463</v>
      </c>
      <c r="DG14" s="1569">
        <f>1</f>
        <v>1</v>
      </c>
      <c r="DH14" s="1570"/>
      <c r="DI14" s="1578">
        <f t="shared" si="7"/>
        <v>1</v>
      </c>
      <c r="DJ14" s="1579"/>
      <c r="DK14" s="1580"/>
      <c r="DL14" s="961"/>
      <c r="DM14" s="1172"/>
    </row>
    <row r="15" spans="2:117" ht="15" x14ac:dyDescent="0.25">
      <c r="B15" s="35"/>
      <c r="C15"/>
      <c r="D15" s="1601" t="s">
        <v>941</v>
      </c>
      <c r="E15" s="1663"/>
      <c r="F15" s="1661" t="s">
        <v>80</v>
      </c>
      <c r="G15" s="1647" t="s">
        <v>947</v>
      </c>
      <c r="H15" s="1652"/>
      <c r="I15" s="1653"/>
      <c r="J15" s="1654"/>
      <c r="K15" s="1654"/>
      <c r="L15" s="1655"/>
      <c r="M15" s="1665">
        <v>1.45</v>
      </c>
      <c r="N15" s="1668">
        <v>0.24</v>
      </c>
      <c r="P15" s="39"/>
      <c r="R15" s="35"/>
      <c r="S15" s="194"/>
      <c r="T15" s="1694" t="str">
        <f t="shared" si="0"/>
        <v>Model Group 5</v>
      </c>
      <c r="U15" s="1695"/>
      <c r="V15" s="1603"/>
      <c r="W15" s="1603"/>
      <c r="X15" s="1696"/>
      <c r="Y15" s="1696"/>
      <c r="Z15"/>
      <c r="AA15" s="1696"/>
      <c r="AB15" s="1696"/>
      <c r="AC15" s="1696"/>
      <c r="AD15" s="1603"/>
      <c r="AF15" s="39"/>
      <c r="AH15" s="35"/>
      <c r="AJ15" s="1601" t="s">
        <v>936</v>
      </c>
      <c r="AK15" s="1602"/>
      <c r="AL15" s="1603" t="s">
        <v>80</v>
      </c>
      <c r="AM15" s="1647" t="s">
        <v>947</v>
      </c>
      <c r="AN15" s="1604"/>
      <c r="AO15" s="423"/>
      <c r="AP15" s="1605"/>
      <c r="AQ15" s="1606">
        <v>0.25</v>
      </c>
      <c r="AR15" s="1606">
        <v>0.25</v>
      </c>
      <c r="AS15" s="1606">
        <v>0.25</v>
      </c>
      <c r="AT15"/>
      <c r="AU15" s="39"/>
      <c r="BL15" s="35"/>
      <c r="BN15" s="500" t="s">
        <v>931</v>
      </c>
      <c r="BO15" s="1033"/>
      <c r="BP15" s="1547" t="s">
        <v>80</v>
      </c>
      <c r="BQ15" s="1647" t="s">
        <v>947</v>
      </c>
      <c r="BR15" s="1647"/>
      <c r="BS15" s="1767" t="s">
        <v>949</v>
      </c>
      <c r="BT15" s="1768"/>
      <c r="BU15" s="1768"/>
      <c r="BV15" s="1768"/>
      <c r="BW15" s="1768"/>
      <c r="BX15" s="1768"/>
      <c r="BY15" s="1768"/>
      <c r="BZ15" s="1768"/>
      <c r="CA15" s="1769"/>
      <c r="CB15" s="1548">
        <v>2</v>
      </c>
      <c r="CD15" s="1556">
        <v>1.31</v>
      </c>
      <c r="CE15" s="1557">
        <v>3</v>
      </c>
      <c r="CF15" s="1558">
        <f t="shared" si="1"/>
        <v>3.93</v>
      </c>
      <c r="CG15" s="1559">
        <v>60</v>
      </c>
      <c r="CH15" s="1719">
        <f t="shared" si="2"/>
        <v>1.45</v>
      </c>
      <c r="CI15"/>
      <c r="CJ15"/>
      <c r="CK15" s="1560">
        <v>1.31</v>
      </c>
      <c r="CL15" s="1557">
        <v>3</v>
      </c>
      <c r="CM15" s="1558">
        <f t="shared" si="3"/>
        <v>3.93</v>
      </c>
      <c r="CN15" s="1559">
        <v>65</v>
      </c>
      <c r="CO15" s="1719">
        <f t="shared" si="4"/>
        <v>1.45</v>
      </c>
      <c r="CP15" s="39"/>
      <c r="CR15" s="1171"/>
      <c r="CS15" s="1176"/>
      <c r="CT15" s="1177"/>
      <c r="CU15" s="1064" t="str">
        <f t="shared" si="5"/>
        <v>Reliability Group 5</v>
      </c>
      <c r="CV15" s="1178" t="s">
        <v>588</v>
      </c>
      <c r="CW15" s="1569">
        <f>1</f>
        <v>1</v>
      </c>
      <c r="CX15" s="1570"/>
      <c r="CY15" s="1571">
        <f t="shared" si="6"/>
        <v>1</v>
      </c>
      <c r="CZ15" s="1770"/>
      <c r="DA15" s="1771"/>
      <c r="DB15" s="1771"/>
      <c r="DC15" s="1771"/>
      <c r="DD15" s="1772"/>
      <c r="DE15" s="1177"/>
      <c r="DF15" s="1178" t="s">
        <v>463</v>
      </c>
      <c r="DG15" s="1569">
        <f>1</f>
        <v>1</v>
      </c>
      <c r="DH15" s="1570"/>
      <c r="DI15" s="1578">
        <f t="shared" si="7"/>
        <v>1</v>
      </c>
      <c r="DJ15" s="1579"/>
      <c r="DK15" s="1580"/>
      <c r="DL15" s="961"/>
      <c r="DM15" s="1172"/>
    </row>
    <row r="16" spans="2:117" ht="15" x14ac:dyDescent="0.25">
      <c r="B16" s="35"/>
      <c r="C16"/>
      <c r="D16" s="201" t="s">
        <v>942</v>
      </c>
      <c r="E16" s="202"/>
      <c r="F16" s="1662" t="s">
        <v>80</v>
      </c>
      <c r="G16" s="1647" t="s">
        <v>948</v>
      </c>
      <c r="H16" s="1656"/>
      <c r="I16" s="1657"/>
      <c r="J16" s="1658"/>
      <c r="K16" s="1658"/>
      <c r="L16" s="1659"/>
      <c r="M16" s="1666">
        <v>1.45</v>
      </c>
      <c r="N16" s="1669">
        <v>0.24</v>
      </c>
      <c r="P16" s="39"/>
      <c r="R16" s="35"/>
      <c r="S16" s="194"/>
      <c r="T16" s="1697" t="str">
        <f t="shared" si="0"/>
        <v>Model Group 6</v>
      </c>
      <c r="U16" s="1698"/>
      <c r="V16" s="1608"/>
      <c r="W16" s="1608"/>
      <c r="X16" s="1699"/>
      <c r="Y16" s="1699"/>
      <c r="Z16"/>
      <c r="AA16" s="1699"/>
      <c r="AB16" s="1699"/>
      <c r="AC16" s="1699"/>
      <c r="AD16" s="1608"/>
      <c r="AF16" s="39"/>
      <c r="AH16" s="35"/>
      <c r="AJ16" s="201" t="s">
        <v>937</v>
      </c>
      <c r="AK16" s="1607"/>
      <c r="AL16" s="1608" t="s">
        <v>80</v>
      </c>
      <c r="AM16" s="1647" t="s">
        <v>948</v>
      </c>
      <c r="AN16" s="1609"/>
      <c r="AO16" s="1610"/>
      <c r="AP16" s="1611"/>
      <c r="AQ16" s="1612">
        <v>0.25</v>
      </c>
      <c r="AR16" s="1612">
        <v>0.25</v>
      </c>
      <c r="AS16" s="1612">
        <v>0.25</v>
      </c>
      <c r="AT16"/>
      <c r="AU16" s="39"/>
      <c r="BL16" s="35"/>
      <c r="BN16" s="500" t="s">
        <v>932</v>
      </c>
      <c r="BO16" s="1033"/>
      <c r="BP16" s="1549" t="s">
        <v>80</v>
      </c>
      <c r="BQ16" s="1647" t="s">
        <v>948</v>
      </c>
      <c r="BR16" s="1647"/>
      <c r="BS16" s="1767" t="s">
        <v>949</v>
      </c>
      <c r="BT16" s="1768"/>
      <c r="BU16" s="1768"/>
      <c r="BV16" s="1768"/>
      <c r="BW16" s="1768"/>
      <c r="BX16" s="1768"/>
      <c r="BY16" s="1768"/>
      <c r="BZ16" s="1768"/>
      <c r="CA16" s="1769"/>
      <c r="CB16" s="1550">
        <v>2</v>
      </c>
      <c r="CD16" s="1561">
        <v>1.31</v>
      </c>
      <c r="CE16" s="1562">
        <v>3</v>
      </c>
      <c r="CF16" s="1563">
        <f t="shared" si="1"/>
        <v>3.93</v>
      </c>
      <c r="CG16" s="1564">
        <v>65</v>
      </c>
      <c r="CH16" s="1720">
        <f t="shared" si="2"/>
        <v>1.45</v>
      </c>
      <c r="CI16"/>
      <c r="CJ16"/>
      <c r="CK16" s="1565">
        <v>1.31</v>
      </c>
      <c r="CL16" s="1562">
        <v>3</v>
      </c>
      <c r="CM16" s="1563">
        <f t="shared" si="3"/>
        <v>3.93</v>
      </c>
      <c r="CN16" s="1564">
        <v>65</v>
      </c>
      <c r="CO16" s="1720">
        <f t="shared" si="4"/>
        <v>1.45</v>
      </c>
      <c r="CP16" s="39"/>
      <c r="CR16" s="1171"/>
      <c r="CS16" s="1176"/>
      <c r="CT16" s="1177"/>
      <c r="CU16" s="1064" t="str">
        <f t="shared" si="5"/>
        <v>Reliability Group 6</v>
      </c>
      <c r="CV16" s="1178" t="s">
        <v>588</v>
      </c>
      <c r="CW16" s="1572">
        <f>1</f>
        <v>1</v>
      </c>
      <c r="CX16" s="1573"/>
      <c r="CY16" s="1574">
        <f t="shared" si="6"/>
        <v>1</v>
      </c>
      <c r="CZ16" s="1773"/>
      <c r="DA16" s="1774"/>
      <c r="DB16" s="1774"/>
      <c r="DC16" s="1774"/>
      <c r="DD16" s="1775"/>
      <c r="DE16" s="1177"/>
      <c r="DF16" s="1178" t="s">
        <v>463</v>
      </c>
      <c r="DG16" s="1572">
        <f>1</f>
        <v>1</v>
      </c>
      <c r="DH16" s="1573"/>
      <c r="DI16" s="1581">
        <f t="shared" si="7"/>
        <v>1</v>
      </c>
      <c r="DJ16" s="1582"/>
      <c r="DK16" s="1583"/>
      <c r="DL16" s="961"/>
      <c r="DM16" s="1172"/>
    </row>
    <row r="17" spans="2:117" ht="15" x14ac:dyDescent="0.25">
      <c r="B17" s="35"/>
      <c r="D17" s="21"/>
      <c r="M17" s="753"/>
      <c r="N17" s="199"/>
      <c r="P17" s="39"/>
      <c r="R17" s="35"/>
      <c r="AF17" s="39"/>
      <c r="AH17" s="35"/>
      <c r="AJ17" s="21"/>
      <c r="AQ17" s="198"/>
      <c r="AR17" s="199"/>
      <c r="AU17" s="39"/>
      <c r="BL17" s="35"/>
      <c r="BN17" s="21"/>
      <c r="CE17" s="198"/>
      <c r="CF17" s="199"/>
      <c r="CG17" s="199"/>
      <c r="CL17" s="198"/>
      <c r="CM17" s="199"/>
      <c r="CN17" s="199"/>
      <c r="CP17" s="39"/>
      <c r="CR17" s="1171"/>
      <c r="CS17" s="954"/>
      <c r="CT17" s="955"/>
      <c r="CU17" s="955"/>
      <c r="CV17" s="955"/>
      <c r="CW17" s="955"/>
      <c r="CX17" s="1179"/>
      <c r="CY17" s="955"/>
      <c r="CZ17" s="955"/>
      <c r="DA17" s="955"/>
      <c r="DB17" s="537"/>
      <c r="DC17" s="537"/>
      <c r="DD17" s="537"/>
      <c r="DE17" s="955"/>
      <c r="DF17" s="955"/>
      <c r="DG17" s="955"/>
      <c r="DH17" s="1179"/>
      <c r="DI17" s="955"/>
      <c r="DJ17" s="955"/>
      <c r="DK17" s="955"/>
      <c r="DL17" s="956"/>
      <c r="DM17" s="1172"/>
    </row>
    <row r="18" spans="2:117" ht="15" x14ac:dyDescent="0.25">
      <c r="B18" s="35"/>
      <c r="D18" s="197" t="s">
        <v>81</v>
      </c>
      <c r="E18" s="200"/>
      <c r="F18" s="754">
        <v>2026</v>
      </c>
      <c r="M18" s="753"/>
      <c r="N18" s="199"/>
      <c r="P18" s="39"/>
      <c r="R18" s="35"/>
      <c r="AF18" s="39"/>
      <c r="AH18" s="35"/>
      <c r="AJ18" s="197" t="s">
        <v>82</v>
      </c>
      <c r="AK18" s="200"/>
      <c r="AL18" s="719">
        <f>YearFirst</f>
        <v>2026</v>
      </c>
      <c r="AQ18" s="198"/>
      <c r="AR18" s="199"/>
      <c r="AU18" s="39"/>
      <c r="BL18" s="35"/>
      <c r="BN18" s="197" t="s">
        <v>848</v>
      </c>
      <c r="BO18" s="200"/>
      <c r="BP18" s="719">
        <f>YearFirst</f>
        <v>2026</v>
      </c>
      <c r="CE18" s="198"/>
      <c r="CF18" s="199"/>
      <c r="CG18" s="199"/>
      <c r="CI18" s="196"/>
      <c r="CJ18" s="196"/>
      <c r="CL18" s="198"/>
      <c r="CM18" s="199"/>
      <c r="CN18" s="199"/>
      <c r="CP18" s="39"/>
      <c r="CR18" s="1171"/>
      <c r="DM18" s="1172"/>
    </row>
    <row r="19" spans="2:117" ht="15.75" customHeight="1" x14ac:dyDescent="0.25">
      <c r="B19" s="35"/>
      <c r="D19" s="201" t="s">
        <v>83</v>
      </c>
      <c r="E19" s="202"/>
      <c r="F19" s="755">
        <v>2046</v>
      </c>
      <c r="M19" s="753"/>
      <c r="N19" s="199"/>
      <c r="P19" s="39"/>
      <c r="R19" s="35"/>
      <c r="AF19" s="39"/>
      <c r="AH19" s="35"/>
      <c r="AJ19" s="201" t="s">
        <v>84</v>
      </c>
      <c r="AK19" s="202"/>
      <c r="AL19" s="720">
        <f>YearLast</f>
        <v>2046</v>
      </c>
      <c r="AQ19" s="198"/>
      <c r="AR19" s="199"/>
      <c r="AU19" s="39"/>
      <c r="BL19" s="35"/>
      <c r="BN19" s="201" t="s">
        <v>849</v>
      </c>
      <c r="BO19" s="202"/>
      <c r="BP19" s="720">
        <f>YearLast</f>
        <v>2046</v>
      </c>
      <c r="CE19" s="198"/>
      <c r="CF19" s="199"/>
      <c r="CG19" s="199"/>
      <c r="CL19" s="198"/>
      <c r="CM19" s="199"/>
      <c r="CN19" s="199"/>
      <c r="CP19" s="39"/>
      <c r="CR19" s="1171"/>
      <c r="DM19" s="1172"/>
    </row>
    <row r="20" spans="2:117" ht="15.75" thickBot="1" x14ac:dyDescent="0.3">
      <c r="B20" s="126"/>
      <c r="C20" s="127"/>
      <c r="D20" s="127"/>
      <c r="E20" s="127"/>
      <c r="F20" s="127"/>
      <c r="G20" s="127"/>
      <c r="H20" s="127"/>
      <c r="I20" s="127"/>
      <c r="J20" s="127"/>
      <c r="K20" s="127"/>
      <c r="L20" s="127"/>
      <c r="M20" s="127"/>
      <c r="N20" s="127"/>
      <c r="O20" s="127"/>
      <c r="P20" s="128"/>
      <c r="R20" s="126"/>
      <c r="S20" s="127"/>
      <c r="T20" s="127"/>
      <c r="U20" s="127"/>
      <c r="V20" s="127"/>
      <c r="W20" s="127"/>
      <c r="X20" s="127"/>
      <c r="Y20" s="127"/>
      <c r="Z20" s="127"/>
      <c r="AA20" s="127"/>
      <c r="AB20" s="127"/>
      <c r="AC20" s="127"/>
      <c r="AD20" s="127"/>
      <c r="AE20" s="127"/>
      <c r="AF20" s="128"/>
      <c r="AH20" s="126"/>
      <c r="AI20" s="127"/>
      <c r="AJ20" s="127"/>
      <c r="AK20" s="127"/>
      <c r="AL20" s="127"/>
      <c r="AM20" s="127"/>
      <c r="AN20" s="127"/>
      <c r="AO20" s="127"/>
      <c r="AP20" s="127"/>
      <c r="AQ20" s="127"/>
      <c r="AR20" s="127"/>
      <c r="AS20" s="127"/>
      <c r="AT20" s="127"/>
      <c r="AU20" s="128"/>
      <c r="BL20" s="126"/>
      <c r="BM20" s="127"/>
      <c r="BN20" s="127"/>
      <c r="BO20" s="127"/>
      <c r="BP20" s="127"/>
      <c r="BQ20" s="127"/>
      <c r="BR20" s="127"/>
      <c r="BS20" s="127"/>
      <c r="BT20" s="127"/>
      <c r="BU20" s="127"/>
      <c r="BV20" s="127"/>
      <c r="BW20" s="127"/>
      <c r="BX20" s="127"/>
      <c r="BY20" s="127"/>
      <c r="BZ20" s="127"/>
      <c r="CA20" s="127"/>
      <c r="CE20" s="127"/>
      <c r="CF20" s="127"/>
      <c r="CG20" s="127"/>
      <c r="CH20" s="127"/>
      <c r="CI20" s="127"/>
      <c r="CJ20" s="127"/>
      <c r="CK20" s="127"/>
      <c r="CL20" s="127"/>
      <c r="CM20" s="127"/>
      <c r="CN20" s="127"/>
      <c r="CO20" s="127"/>
      <c r="CP20" s="128"/>
      <c r="CR20" s="1180"/>
      <c r="CS20" s="1181"/>
      <c r="CT20" s="1181"/>
      <c r="CU20" s="1181"/>
      <c r="CV20" s="1181"/>
      <c r="CW20" s="1181"/>
      <c r="CX20" s="1181"/>
      <c r="CY20" s="1181"/>
      <c r="CZ20" s="1181"/>
      <c r="DA20" s="1181"/>
      <c r="DB20" s="1181"/>
      <c r="DC20" s="1181"/>
      <c r="DD20" s="1181"/>
      <c r="DE20" s="1181"/>
      <c r="DF20" s="1181"/>
      <c r="DG20" s="1181"/>
      <c r="DH20" s="1181"/>
      <c r="DI20" s="1181"/>
      <c r="DJ20" s="1181"/>
      <c r="DK20" s="1181"/>
      <c r="DL20" s="1181"/>
      <c r="DM20" s="1182"/>
    </row>
    <row r="21" spans="2:117" ht="13.5" thickTop="1" x14ac:dyDescent="0.2">
      <c r="CB21" s="27"/>
      <c r="CC21" s="27"/>
      <c r="CD21" s="27"/>
    </row>
    <row r="22" spans="2:117" ht="13.5" thickBot="1" x14ac:dyDescent="0.25"/>
    <row r="23" spans="2:117" ht="13.5" thickTop="1" x14ac:dyDescent="0.2">
      <c r="B23" s="747"/>
      <c r="C23" s="27"/>
      <c r="D23" s="26"/>
      <c r="E23" s="26"/>
      <c r="F23" s="26"/>
      <c r="G23" s="26"/>
      <c r="H23" s="26"/>
      <c r="I23" s="26"/>
      <c r="J23" s="26"/>
      <c r="K23" s="26"/>
      <c r="L23" s="26"/>
      <c r="M23" s="26"/>
      <c r="N23" s="26"/>
      <c r="O23" s="27"/>
      <c r="P23" s="28"/>
      <c r="R23" s="25"/>
      <c r="S23" s="27"/>
      <c r="T23" s="26"/>
      <c r="U23" s="26"/>
      <c r="V23" s="26"/>
      <c r="W23" s="26"/>
      <c r="X23" s="26"/>
      <c r="Y23" s="26"/>
      <c r="Z23" s="26"/>
      <c r="AA23" s="26"/>
      <c r="AB23" s="26"/>
      <c r="AC23" s="26"/>
      <c r="AD23" s="26"/>
      <c r="AE23" s="27"/>
      <c r="AF23" s="28"/>
      <c r="AH23" s="25"/>
      <c r="AI23" s="27"/>
      <c r="AJ23" s="26"/>
      <c r="AK23" s="26"/>
      <c r="AL23" s="26"/>
      <c r="AM23" s="26"/>
      <c r="AN23" s="26"/>
      <c r="AO23" s="26"/>
      <c r="AP23" s="26"/>
      <c r="AQ23" s="26"/>
      <c r="AR23" s="26"/>
      <c r="AS23" s="27"/>
      <c r="AT23" s="27"/>
      <c r="AU23" s="28"/>
      <c r="AW23" s="25"/>
      <c r="AX23" s="27"/>
      <c r="AY23" s="26"/>
      <c r="AZ23" s="26"/>
      <c r="BA23" s="26"/>
      <c r="BB23" s="26"/>
      <c r="BC23" s="26"/>
      <c r="BD23" s="26"/>
      <c r="BE23" s="26"/>
      <c r="BF23" s="26"/>
      <c r="BG23" s="27"/>
      <c r="BH23" s="27"/>
      <c r="BI23" s="28"/>
      <c r="BL23" s="25"/>
      <c r="BM23" s="27"/>
      <c r="BN23" s="26"/>
      <c r="BO23" s="26"/>
      <c r="BP23" s="26"/>
      <c r="BQ23" s="26"/>
      <c r="BR23" s="26"/>
      <c r="BS23" s="26"/>
      <c r="BT23" s="26"/>
      <c r="BU23" s="26"/>
      <c r="BV23" s="28"/>
      <c r="BX23" s="25"/>
      <c r="BY23" s="27"/>
      <c r="BZ23" s="26"/>
      <c r="CA23" s="26"/>
      <c r="CB23" s="26"/>
      <c r="CC23" s="26"/>
      <c r="CD23" s="26"/>
      <c r="CE23" s="26"/>
      <c r="CF23" s="26"/>
      <c r="CG23" s="26"/>
      <c r="CH23" s="26"/>
      <c r="CI23" s="27"/>
      <c r="CJ23" s="28"/>
    </row>
    <row r="24" spans="2:117" x14ac:dyDescent="0.2">
      <c r="B24" s="748"/>
      <c r="D24" s="2"/>
      <c r="E24" s="2"/>
      <c r="F24" s="2"/>
      <c r="G24" s="2"/>
      <c r="H24" s="2"/>
      <c r="I24" s="2"/>
      <c r="J24" s="2"/>
      <c r="K24" s="2"/>
      <c r="L24" s="2"/>
      <c r="M24" s="2"/>
      <c r="N24" s="2"/>
      <c r="P24" s="39"/>
      <c r="R24" s="35"/>
      <c r="T24" s="2"/>
      <c r="U24" s="2"/>
      <c r="V24" s="2"/>
      <c r="W24" s="2"/>
      <c r="X24" s="2"/>
      <c r="Y24" s="2"/>
      <c r="Z24" s="2"/>
      <c r="AA24" s="2"/>
      <c r="AB24" s="2"/>
      <c r="AC24" s="2"/>
      <c r="AD24" s="2"/>
      <c r="AF24" s="39"/>
      <c r="AH24" s="35"/>
      <c r="AJ24" s="2"/>
      <c r="AK24" s="2"/>
      <c r="AL24" s="2"/>
      <c r="AM24" s="2"/>
      <c r="AN24" s="2"/>
      <c r="AO24" s="2"/>
      <c r="AP24" s="2"/>
      <c r="AQ24" s="2"/>
      <c r="AR24" s="2"/>
      <c r="AU24" s="39"/>
      <c r="AW24" s="35"/>
      <c r="AY24" s="2"/>
      <c r="AZ24" s="2"/>
      <c r="BA24" s="2"/>
      <c r="BB24" s="2"/>
      <c r="BC24" s="2"/>
      <c r="BD24" s="2"/>
      <c r="BE24" s="2"/>
      <c r="BF24" s="2"/>
      <c r="BI24" s="39"/>
      <c r="BL24" s="35"/>
      <c r="BN24" s="2"/>
      <c r="BO24" s="2"/>
      <c r="BP24" s="2"/>
      <c r="BQ24" s="2"/>
      <c r="BR24" s="2"/>
      <c r="BS24" s="2"/>
      <c r="BT24" s="2"/>
      <c r="BU24" s="2"/>
      <c r="BV24" s="39"/>
      <c r="BX24" s="35"/>
      <c r="BZ24" s="2"/>
      <c r="CA24" s="2"/>
      <c r="CE24" s="2"/>
      <c r="CF24" s="2"/>
      <c r="CG24" s="2"/>
      <c r="CH24" s="2"/>
      <c r="CJ24" s="39"/>
    </row>
    <row r="25" spans="2:117" ht="18" x14ac:dyDescent="0.2">
      <c r="B25" s="35"/>
      <c r="D25" s="36" t="s">
        <v>85</v>
      </c>
      <c r="E25" s="37" t="str">
        <f>"MODEL DATA - YEAR " &amp; YearFirst</f>
        <v>MODEL DATA - YEAR 2026</v>
      </c>
      <c r="F25" s="37"/>
      <c r="G25" s="37"/>
      <c r="H25" s="37"/>
      <c r="I25" s="37"/>
      <c r="J25" s="37"/>
      <c r="K25" s="37"/>
      <c r="L25" s="38"/>
      <c r="M25" s="38"/>
      <c r="N25" s="38"/>
      <c r="P25" s="39"/>
      <c r="R25" s="35"/>
      <c r="T25" s="36" t="s">
        <v>86</v>
      </c>
      <c r="U25" s="37" t="str">
        <f>"MODEL DATA - YEAR " &amp; YearLast</f>
        <v>MODEL DATA - YEAR 2046</v>
      </c>
      <c r="V25" s="37"/>
      <c r="W25" s="37"/>
      <c r="X25" s="37"/>
      <c r="Y25" s="37"/>
      <c r="Z25" s="37"/>
      <c r="AA25" s="37"/>
      <c r="AB25" s="38"/>
      <c r="AC25" s="38"/>
      <c r="AD25" s="38"/>
      <c r="AF25" s="39"/>
      <c r="AH25" s="35"/>
      <c r="AJ25" s="36" t="s">
        <v>87</v>
      </c>
      <c r="AK25" s="37" t="str">
        <f>"SAFETY DATA - YEAR " &amp; SafetyYearFirst</f>
        <v>SAFETY DATA - YEAR 2026</v>
      </c>
      <c r="AL25" s="37"/>
      <c r="AM25" s="37"/>
      <c r="AN25" s="37"/>
      <c r="AO25" s="37"/>
      <c r="AP25" s="38"/>
      <c r="AQ25" s="38"/>
      <c r="AR25" s="38"/>
      <c r="AU25" s="39"/>
      <c r="AW25" s="35"/>
      <c r="AY25" s="36" t="s">
        <v>88</v>
      </c>
      <c r="AZ25" s="37" t="str">
        <f>"SAFETY DATA - YEAR " &amp; SafetyYearLast</f>
        <v>SAFETY DATA - YEAR 2046</v>
      </c>
      <c r="BA25" s="37"/>
      <c r="BB25" s="37"/>
      <c r="BC25" s="37"/>
      <c r="BD25" s="38"/>
      <c r="BE25" s="38"/>
      <c r="BF25" s="38"/>
      <c r="BI25" s="39"/>
      <c r="BL25" s="35"/>
      <c r="BN25" s="36" t="s">
        <v>850</v>
      </c>
      <c r="BO25" s="37" t="str">
        <f>"RELIABILITY DATA - YEAR " &amp; $BP$18</f>
        <v>RELIABILITY DATA - YEAR 2026</v>
      </c>
      <c r="BP25" s="37"/>
      <c r="BQ25" s="37"/>
      <c r="BR25" s="37"/>
      <c r="BS25" s="37"/>
      <c r="BT25" s="37"/>
      <c r="BU25" s="37"/>
      <c r="BV25" s="39"/>
      <c r="BX25" s="35"/>
      <c r="BZ25" s="36" t="s">
        <v>851</v>
      </c>
      <c r="CA25" s="37" t="str">
        <f>"RELIABILITY DATA - YEAR " &amp; $BP$19</f>
        <v>RELIABILITY DATA - YEAR 2046</v>
      </c>
      <c r="CB25" s="162"/>
      <c r="CC25" s="162"/>
      <c r="CD25" s="162"/>
      <c r="CE25" s="37"/>
      <c r="CF25" s="37"/>
      <c r="CG25" s="37"/>
      <c r="CH25" s="37"/>
      <c r="CI25" s="37"/>
      <c r="CJ25" s="39"/>
    </row>
    <row r="26" spans="2:117" x14ac:dyDescent="0.2">
      <c r="B26" s="35"/>
      <c r="F26" s="762" t="s">
        <v>89</v>
      </c>
      <c r="P26" s="39"/>
      <c r="R26" s="35"/>
      <c r="V26" s="762" t="s">
        <v>89</v>
      </c>
      <c r="AF26" s="39"/>
      <c r="AH26" s="35"/>
      <c r="AL26" s="744"/>
      <c r="AU26" s="39"/>
      <c r="AW26" s="35"/>
      <c r="BI26" s="39"/>
      <c r="BL26" s="35"/>
      <c r="BP26" s="744"/>
      <c r="BV26" s="39"/>
      <c r="BX26" s="35"/>
      <c r="CJ26" s="39"/>
    </row>
    <row r="27" spans="2:117" x14ac:dyDescent="0.2">
      <c r="B27" s="35"/>
      <c r="F27" s="762" t="s">
        <v>90</v>
      </c>
      <c r="P27" s="39"/>
      <c r="R27" s="35"/>
      <c r="V27" s="762" t="s">
        <v>90</v>
      </c>
      <c r="AF27" s="39"/>
      <c r="AH27" s="35"/>
      <c r="AU27" s="39"/>
      <c r="AW27" s="35"/>
      <c r="BI27" s="39"/>
      <c r="BL27" s="35"/>
      <c r="BV27" s="39"/>
      <c r="BX27" s="35"/>
      <c r="CJ27" s="39"/>
    </row>
    <row r="28" spans="2:117" x14ac:dyDescent="0.2">
      <c r="B28" s="35"/>
      <c r="F28" s="762"/>
      <c r="G28" s="196" t="s">
        <v>91</v>
      </c>
      <c r="H28" s="196" t="s">
        <v>91</v>
      </c>
      <c r="I28" s="196" t="s">
        <v>92</v>
      </c>
      <c r="J28" s="196" t="s">
        <v>92</v>
      </c>
      <c r="K28" s="196" t="s">
        <v>93</v>
      </c>
      <c r="L28" s="196"/>
      <c r="M28" s="196" t="s">
        <v>94</v>
      </c>
      <c r="N28" s="196"/>
      <c r="P28" s="39"/>
      <c r="R28" s="35"/>
      <c r="V28" s="762"/>
      <c r="W28" s="196" t="s">
        <v>91</v>
      </c>
      <c r="X28" s="196" t="s">
        <v>91</v>
      </c>
      <c r="Y28" s="196" t="s">
        <v>92</v>
      </c>
      <c r="Z28" s="196" t="s">
        <v>92</v>
      </c>
      <c r="AA28" s="196" t="s">
        <v>93</v>
      </c>
      <c r="AB28" s="196"/>
      <c r="AC28" s="196" t="s">
        <v>94</v>
      </c>
      <c r="AD28" s="196"/>
      <c r="AF28" s="39"/>
      <c r="AH28" s="35"/>
      <c r="AM28" s="196" t="s">
        <v>91</v>
      </c>
      <c r="AN28" s="196" t="s">
        <v>95</v>
      </c>
      <c r="AO28" s="196" t="s">
        <v>96</v>
      </c>
      <c r="AP28" s="196" t="s">
        <v>97</v>
      </c>
      <c r="AQ28" s="196" t="s">
        <v>98</v>
      </c>
      <c r="AR28" s="196" t="s">
        <v>98</v>
      </c>
      <c r="AS28" s="196" t="s">
        <v>98</v>
      </c>
      <c r="AU28" s="39"/>
      <c r="AW28" s="35"/>
      <c r="BA28" s="196" t="s">
        <v>91</v>
      </c>
      <c r="BB28" s="196" t="s">
        <v>95</v>
      </c>
      <c r="BC28" s="196" t="s">
        <v>96</v>
      </c>
      <c r="BD28" s="196" t="s">
        <v>97</v>
      </c>
      <c r="BE28" s="196" t="s">
        <v>98</v>
      </c>
      <c r="BF28" s="196" t="s">
        <v>98</v>
      </c>
      <c r="BG28" s="196" t="s">
        <v>98</v>
      </c>
      <c r="BI28" s="39"/>
      <c r="BL28" s="35"/>
      <c r="BQ28" s="196"/>
      <c r="BR28" s="196"/>
      <c r="BS28" s="196"/>
      <c r="BT28" s="196"/>
      <c r="BU28" s="196"/>
      <c r="BV28" s="39"/>
      <c r="BX28" s="35"/>
      <c r="CA28" s="196"/>
      <c r="CE28" s="196"/>
      <c r="CF28" s="196"/>
      <c r="CG28" s="196"/>
      <c r="CH28" s="196"/>
      <c r="CJ28" s="39"/>
    </row>
    <row r="29" spans="2:117" x14ac:dyDescent="0.2">
      <c r="B29" s="35"/>
      <c r="F29" s="196" t="s">
        <v>99</v>
      </c>
      <c r="G29" s="196" t="s">
        <v>100</v>
      </c>
      <c r="H29" s="196" t="s">
        <v>101</v>
      </c>
      <c r="I29" s="196" t="s">
        <v>100</v>
      </c>
      <c r="J29" s="196" t="s">
        <v>101</v>
      </c>
      <c r="K29" s="196" t="s">
        <v>102</v>
      </c>
      <c r="L29" s="196"/>
      <c r="M29" s="196" t="s">
        <v>91</v>
      </c>
      <c r="N29" s="196"/>
      <c r="P29" s="39"/>
      <c r="R29" s="35"/>
      <c r="V29" s="196" t="s">
        <v>99</v>
      </c>
      <c r="W29" s="196" t="s">
        <v>100</v>
      </c>
      <c r="X29" s="196" t="s">
        <v>101</v>
      </c>
      <c r="Y29" s="196" t="s">
        <v>100</v>
      </c>
      <c r="Z29" s="196" t="s">
        <v>101</v>
      </c>
      <c r="AA29" s="196" t="s">
        <v>102</v>
      </c>
      <c r="AB29" s="196"/>
      <c r="AC29" s="196" t="s">
        <v>91</v>
      </c>
      <c r="AD29" s="196"/>
      <c r="AF29" s="39"/>
      <c r="AH29" s="35"/>
      <c r="AM29" s="196" t="s">
        <v>100</v>
      </c>
      <c r="AN29" s="196" t="s">
        <v>872</v>
      </c>
      <c r="AO29" s="196" t="s">
        <v>872</v>
      </c>
      <c r="AP29" s="196" t="s">
        <v>872</v>
      </c>
      <c r="AQ29" s="196" t="s">
        <v>104</v>
      </c>
      <c r="AR29" s="196" t="s">
        <v>104</v>
      </c>
      <c r="AS29" s="196" t="s">
        <v>104</v>
      </c>
      <c r="AU29" s="39"/>
      <c r="AW29" s="35"/>
      <c r="BA29" s="196" t="s">
        <v>100</v>
      </c>
      <c r="BB29" s="196" t="s">
        <v>872</v>
      </c>
      <c r="BC29" s="196" t="s">
        <v>872</v>
      </c>
      <c r="BD29" s="196" t="s">
        <v>872</v>
      </c>
      <c r="BE29" s="196" t="s">
        <v>104</v>
      </c>
      <c r="BF29" s="196" t="s">
        <v>104</v>
      </c>
      <c r="BG29" s="196" t="s">
        <v>104</v>
      </c>
      <c r="BI29" s="39"/>
      <c r="BL29" s="35"/>
      <c r="BQ29" s="196"/>
      <c r="BR29" s="196"/>
      <c r="BS29" s="196"/>
      <c r="BT29" s="196"/>
      <c r="BU29" s="196"/>
      <c r="BV29" s="39"/>
      <c r="BX29" s="35"/>
      <c r="CA29" s="196"/>
      <c r="CE29" s="196"/>
      <c r="CF29" s="196"/>
      <c r="CG29" s="196"/>
      <c r="CH29" s="196"/>
      <c r="CJ29" s="39"/>
    </row>
    <row r="30" spans="2:117" x14ac:dyDescent="0.2">
      <c r="B30" s="35"/>
      <c r="F30" s="196" t="s">
        <v>105</v>
      </c>
      <c r="G30" s="196" t="s">
        <v>106</v>
      </c>
      <c r="H30" s="196" t="s">
        <v>106</v>
      </c>
      <c r="I30" s="196" t="s">
        <v>107</v>
      </c>
      <c r="J30" s="196" t="s">
        <v>106</v>
      </c>
      <c r="K30" s="196" t="s">
        <v>37</v>
      </c>
      <c r="L30" s="196"/>
      <c r="M30" s="196" t="s">
        <v>108</v>
      </c>
      <c r="N30" s="196" t="s">
        <v>109</v>
      </c>
      <c r="P30" s="39"/>
      <c r="R30" s="35"/>
      <c r="V30" s="196" t="s">
        <v>105</v>
      </c>
      <c r="W30" s="196" t="s">
        <v>106</v>
      </c>
      <c r="X30" s="196" t="s">
        <v>106</v>
      </c>
      <c r="Y30" s="196" t="s">
        <v>107</v>
      </c>
      <c r="Z30" s="196" t="s">
        <v>106</v>
      </c>
      <c r="AA30" s="196" t="s">
        <v>110</v>
      </c>
      <c r="AB30" s="196"/>
      <c r="AC30" s="196" t="s">
        <v>108</v>
      </c>
      <c r="AD30" s="196" t="s">
        <v>109</v>
      </c>
      <c r="AF30" s="39"/>
      <c r="AH30" s="35"/>
      <c r="AM30" s="196" t="s">
        <v>106</v>
      </c>
      <c r="AN30" s="196" t="s">
        <v>111</v>
      </c>
      <c r="AO30" s="196" t="s">
        <v>111</v>
      </c>
      <c r="AP30" s="196" t="s">
        <v>111</v>
      </c>
      <c r="AQ30" s="196" t="s">
        <v>112</v>
      </c>
      <c r="AR30" s="196" t="s">
        <v>96</v>
      </c>
      <c r="AS30" s="196" t="s">
        <v>97</v>
      </c>
      <c r="AU30" s="39"/>
      <c r="AW30" s="35"/>
      <c r="BA30" s="196" t="s">
        <v>106</v>
      </c>
      <c r="BB30" s="196" t="s">
        <v>111</v>
      </c>
      <c r="BC30" s="196" t="s">
        <v>111</v>
      </c>
      <c r="BD30" s="196" t="s">
        <v>111</v>
      </c>
      <c r="BE30" s="196" t="s">
        <v>112</v>
      </c>
      <c r="BF30" s="196" t="s">
        <v>96</v>
      </c>
      <c r="BG30" s="196" t="s">
        <v>97</v>
      </c>
      <c r="BI30" s="39"/>
      <c r="BL30" s="35"/>
      <c r="BQ30" s="196"/>
      <c r="BR30" s="196"/>
      <c r="BS30" s="196"/>
      <c r="BT30" s="196"/>
      <c r="BU30" s="196"/>
      <c r="BV30" s="39"/>
      <c r="BX30" s="35"/>
      <c r="CA30" s="196"/>
      <c r="CE30" s="196"/>
      <c r="CF30" s="196"/>
      <c r="CG30" s="196"/>
      <c r="CH30" s="196"/>
      <c r="CJ30" s="39"/>
    </row>
    <row r="31" spans="2:117" x14ac:dyDescent="0.2">
      <c r="B31" s="35"/>
      <c r="C31" s="203"/>
      <c r="D31" s="203"/>
      <c r="E31" s="203"/>
      <c r="F31" s="196" t="s">
        <v>113</v>
      </c>
      <c r="G31" s="196" t="s">
        <v>114</v>
      </c>
      <c r="H31" s="196" t="s">
        <v>115</v>
      </c>
      <c r="I31" s="196" t="s">
        <v>116</v>
      </c>
      <c r="J31" s="196" t="s">
        <v>117</v>
      </c>
      <c r="K31" s="196" t="s">
        <v>118</v>
      </c>
      <c r="L31" s="196" t="s">
        <v>119</v>
      </c>
      <c r="M31" s="196" t="s">
        <v>120</v>
      </c>
      <c r="N31" s="196" t="s">
        <v>121</v>
      </c>
      <c r="P31" s="39"/>
      <c r="R31" s="35"/>
      <c r="S31" s="203"/>
      <c r="T31" s="203"/>
      <c r="U31" s="203"/>
      <c r="V31" s="196" t="s">
        <v>113</v>
      </c>
      <c r="W31" s="196" t="s">
        <v>114</v>
      </c>
      <c r="X31" s="196" t="s">
        <v>115</v>
      </c>
      <c r="Y31" s="196" t="s">
        <v>116</v>
      </c>
      <c r="Z31" s="196" t="s">
        <v>117</v>
      </c>
      <c r="AA31" s="196" t="s">
        <v>118</v>
      </c>
      <c r="AB31" s="196" t="s">
        <v>119</v>
      </c>
      <c r="AC31" s="196" t="s">
        <v>120</v>
      </c>
      <c r="AD31" s="196" t="s">
        <v>121</v>
      </c>
      <c r="AF31" s="39"/>
      <c r="AH31" s="35"/>
      <c r="AI31" s="203"/>
      <c r="AJ31" s="203"/>
      <c r="AK31" s="203"/>
      <c r="AL31" s="203"/>
      <c r="AM31" s="196" t="s">
        <v>122</v>
      </c>
      <c r="AN31" s="196" t="s">
        <v>123</v>
      </c>
      <c r="AO31" s="196" t="s">
        <v>123</v>
      </c>
      <c r="AP31" s="196" t="s">
        <v>123</v>
      </c>
      <c r="AQ31" s="196" t="s">
        <v>873</v>
      </c>
      <c r="AR31" s="196" t="s">
        <v>873</v>
      </c>
      <c r="AS31" s="196" t="s">
        <v>873</v>
      </c>
      <c r="AT31" s="196"/>
      <c r="AU31" s="39"/>
      <c r="AW31" s="35"/>
      <c r="AX31" s="203"/>
      <c r="AY31" s="203"/>
      <c r="AZ31" s="203"/>
      <c r="BA31" s="196" t="s">
        <v>122</v>
      </c>
      <c r="BB31" s="196" t="s">
        <v>123</v>
      </c>
      <c r="BC31" s="196" t="s">
        <v>123</v>
      </c>
      <c r="BD31" s="196" t="s">
        <v>123</v>
      </c>
      <c r="BE31" s="196" t="s">
        <v>873</v>
      </c>
      <c r="BF31" s="196" t="s">
        <v>873</v>
      </c>
      <c r="BG31" s="196" t="s">
        <v>873</v>
      </c>
      <c r="BH31" s="196"/>
      <c r="BI31" s="39"/>
      <c r="BL31" s="35"/>
      <c r="BM31" s="203"/>
      <c r="BN31" s="203"/>
      <c r="BO31" s="203"/>
      <c r="BP31" s="203"/>
      <c r="BQ31" s="196"/>
      <c r="BR31" s="196"/>
      <c r="BS31" s="196"/>
      <c r="BT31" s="196"/>
      <c r="BU31" s="196"/>
      <c r="BV31" s="39"/>
      <c r="BX31" s="35"/>
      <c r="BY31" s="203"/>
      <c r="BZ31" s="203"/>
      <c r="CA31" s="196"/>
      <c r="CE31" s="196"/>
      <c r="CF31" s="196"/>
      <c r="CG31" s="196"/>
      <c r="CH31" s="196"/>
      <c r="CI31" s="196"/>
      <c r="CJ31" s="39"/>
    </row>
    <row r="32" spans="2:117" x14ac:dyDescent="0.2">
      <c r="B32" s="35"/>
      <c r="C32" s="204" t="s">
        <v>74</v>
      </c>
      <c r="D32" s="43"/>
      <c r="E32" s="43"/>
      <c r="F32" s="43"/>
      <c r="G32" s="43"/>
      <c r="H32" s="43"/>
      <c r="I32" s="43"/>
      <c r="J32" s="43"/>
      <c r="K32" s="43"/>
      <c r="L32" s="43"/>
      <c r="M32" s="43"/>
      <c r="N32" s="43"/>
      <c r="O32" s="205"/>
      <c r="P32" s="39"/>
      <c r="R32" s="35"/>
      <c r="S32" s="204" t="s">
        <v>74</v>
      </c>
      <c r="T32" s="43"/>
      <c r="U32" s="43"/>
      <c r="V32" s="43"/>
      <c r="W32" s="43"/>
      <c r="X32" s="43"/>
      <c r="Y32" s="43"/>
      <c r="Z32" s="43"/>
      <c r="AA32" s="43"/>
      <c r="AB32" s="43"/>
      <c r="AC32" s="43"/>
      <c r="AD32" s="43"/>
      <c r="AE32" s="205"/>
      <c r="AF32" s="39"/>
      <c r="AH32" s="35"/>
      <c r="AI32" s="204" t="s">
        <v>74</v>
      </c>
      <c r="AJ32" s="43"/>
      <c r="AK32" s="43"/>
      <c r="AL32" s="43"/>
      <c r="AM32" s="43"/>
      <c r="AN32" s="43"/>
      <c r="AO32" s="43"/>
      <c r="AP32" s="43"/>
      <c r="AQ32" s="43"/>
      <c r="AR32" s="43"/>
      <c r="AS32" s="43"/>
      <c r="AT32" s="205"/>
      <c r="AU32" s="39"/>
      <c r="AW32" s="35"/>
      <c r="AX32" s="204" t="s">
        <v>74</v>
      </c>
      <c r="AY32" s="43"/>
      <c r="AZ32" s="43"/>
      <c r="BA32" s="43"/>
      <c r="BB32" s="43"/>
      <c r="BC32" s="43"/>
      <c r="BD32" s="43"/>
      <c r="BE32" s="43"/>
      <c r="BF32" s="43"/>
      <c r="BG32" s="43"/>
      <c r="BH32" s="205"/>
      <c r="BI32" s="39"/>
      <c r="BL32" s="35"/>
      <c r="BM32" s="204" t="s">
        <v>74</v>
      </c>
      <c r="BN32" s="43"/>
      <c r="BO32" s="43"/>
      <c r="BP32" s="43"/>
      <c r="BQ32" s="43"/>
      <c r="BR32" s="43"/>
      <c r="BS32" s="43"/>
      <c r="BT32" s="43"/>
      <c r="BU32" s="205"/>
      <c r="BV32" s="39"/>
      <c r="BX32" s="35"/>
      <c r="BY32" s="204" t="s">
        <v>74</v>
      </c>
      <c r="BZ32" s="43"/>
      <c r="CA32" s="43"/>
      <c r="CB32" s="43"/>
      <c r="CC32" s="43"/>
      <c r="CD32" s="43"/>
      <c r="CE32" s="43"/>
      <c r="CF32" s="43"/>
      <c r="CG32" s="43"/>
      <c r="CH32" s="43"/>
      <c r="CI32" s="205"/>
      <c r="CJ32" s="39"/>
    </row>
    <row r="33" spans="2:88" x14ac:dyDescent="0.2">
      <c r="B33" s="35"/>
      <c r="C33" s="49"/>
      <c r="D33" s="51"/>
      <c r="E33" s="51"/>
      <c r="F33" s="51"/>
      <c r="G33" s="51"/>
      <c r="H33" s="51"/>
      <c r="I33" s="51"/>
      <c r="J33" s="51"/>
      <c r="K33" s="51"/>
      <c r="L33" s="51"/>
      <c r="M33" s="51"/>
      <c r="N33" s="51"/>
      <c r="O33" s="62"/>
      <c r="P33" s="39"/>
      <c r="R33" s="35"/>
      <c r="S33" s="49"/>
      <c r="T33" s="51"/>
      <c r="U33" s="51"/>
      <c r="V33" s="51"/>
      <c r="W33" s="51"/>
      <c r="X33" s="51"/>
      <c r="Y33" s="51"/>
      <c r="Z33" s="51"/>
      <c r="AA33" s="51"/>
      <c r="AB33" s="51"/>
      <c r="AC33" s="51"/>
      <c r="AD33" s="51"/>
      <c r="AE33" s="62"/>
      <c r="AF33" s="39"/>
      <c r="AH33" s="35"/>
      <c r="AI33" s="49"/>
      <c r="AJ33" s="51"/>
      <c r="AK33" s="51"/>
      <c r="AL33" s="51"/>
      <c r="AM33" s="51"/>
      <c r="AN33" s="51"/>
      <c r="AO33" s="51"/>
      <c r="AP33" s="51"/>
      <c r="AQ33" s="51"/>
      <c r="AR33" s="51"/>
      <c r="AS33" s="51"/>
      <c r="AT33" s="62"/>
      <c r="AU33" s="39"/>
      <c r="AW33" s="35"/>
      <c r="AX33" s="49"/>
      <c r="AY33" s="51"/>
      <c r="AZ33" s="51"/>
      <c r="BA33" s="51"/>
      <c r="BB33" s="51"/>
      <c r="BC33" s="51"/>
      <c r="BD33" s="51"/>
      <c r="BE33" s="51"/>
      <c r="BF33" s="51"/>
      <c r="BG33" s="51"/>
      <c r="BH33" s="62"/>
      <c r="BI33" s="39"/>
      <c r="BL33" s="35"/>
      <c r="BM33" s="49"/>
      <c r="BN33" s="51"/>
      <c r="BO33" s="51"/>
      <c r="BP33" s="1166" t="s">
        <v>852</v>
      </c>
      <c r="BQ33" s="1167" t="s">
        <v>853</v>
      </c>
      <c r="BR33" s="1166" t="s">
        <v>854</v>
      </c>
      <c r="BS33" s="1167" t="s">
        <v>855</v>
      </c>
      <c r="BT33" s="1166" t="s">
        <v>504</v>
      </c>
      <c r="BU33" s="62"/>
      <c r="BV33" s="39"/>
      <c r="BX33" s="35"/>
      <c r="BY33" s="49"/>
      <c r="BZ33" s="51"/>
      <c r="CA33" s="51"/>
      <c r="CB33" s="51"/>
      <c r="CC33" s="51"/>
      <c r="CD33" s="1166" t="s">
        <v>852</v>
      </c>
      <c r="CE33" s="1167" t="s">
        <v>853</v>
      </c>
      <c r="CF33" s="1166" t="s">
        <v>854</v>
      </c>
      <c r="CG33" s="1167" t="s">
        <v>855</v>
      </c>
      <c r="CH33" s="1166" t="s">
        <v>504</v>
      </c>
      <c r="CI33" s="62"/>
      <c r="CJ33" s="39"/>
    </row>
    <row r="34" spans="2:88" x14ac:dyDescent="0.2">
      <c r="B34" s="766"/>
      <c r="C34" s="49"/>
      <c r="D34" s="51">
        <v>1</v>
      </c>
      <c r="E34" s="206" t="str">
        <f t="shared" ref="E34:E39" si="8">IF(ISBLANK(INDEX(HwyTransitModelGroup,D34,2)),"Not Used",INDEX(HwyTransitModelGroup,D34,2))</f>
        <v>SB Off-ramp to Ave 280</v>
      </c>
      <c r="F34" s="1670"/>
      <c r="G34" s="1671">
        <v>2059</v>
      </c>
      <c r="H34" s="1671">
        <v>48</v>
      </c>
      <c r="I34" s="1671"/>
      <c r="J34" s="1671"/>
      <c r="K34" s="1672"/>
      <c r="L34" s="1673">
        <f t="shared" ref="L34:L39" si="9">IFERROR(IF($F11=Hwy,G34/H34,I34/J34),55)</f>
        <v>42.895833333333336</v>
      </c>
      <c r="M34" s="1674">
        <f t="shared" ref="M34:M39" si="10">INDEX(HwyTransitModelGroup,D34,8)</f>
        <v>1.45</v>
      </c>
      <c r="N34" s="1675">
        <f t="shared" ref="N34:N39" si="11">INDEX(HwyTransitModelGroup,D34,9)</f>
        <v>0.24</v>
      </c>
      <c r="O34" s="62"/>
      <c r="P34" s="39"/>
      <c r="R34" s="766"/>
      <c r="S34" s="49"/>
      <c r="T34" s="51">
        <v>1</v>
      </c>
      <c r="U34" s="206" t="str">
        <f t="shared" ref="U34:U39" si="12">IF(ISBLANK(INDEX(HwyTransitModelGroup,T34,2)),"Not Used",INDEX(HwyTransitModelGroup,T34,2))</f>
        <v>SB Off-ramp to Ave 280</v>
      </c>
      <c r="V34" s="1670"/>
      <c r="W34" s="1671">
        <v>2589</v>
      </c>
      <c r="X34" s="1671">
        <v>62</v>
      </c>
      <c r="Y34" s="1671"/>
      <c r="Z34" s="1671"/>
      <c r="AA34" s="1672"/>
      <c r="AB34" s="1688">
        <f t="shared" ref="AB34:AB39" si="13">IFERROR(IF($F11=Hwy,W34/X34,Y34/Z34),55)</f>
        <v>41.758064516129032</v>
      </c>
      <c r="AC34" s="1674">
        <f t="shared" ref="AC34:AC39" si="14">INDEX(HwyTransitModelGroup,T34,8)</f>
        <v>1.45</v>
      </c>
      <c r="AD34" s="1675">
        <f t="shared" ref="AD34:AD39" si="15">INDEX(HwyTransitModelGroup,T34,9)</f>
        <v>0.24</v>
      </c>
      <c r="AE34" s="62"/>
      <c r="AF34" s="39"/>
      <c r="AH34" s="35"/>
      <c r="AI34" s="49"/>
      <c r="AJ34" s="51">
        <v>1</v>
      </c>
      <c r="AK34" s="206" t="str">
        <f t="shared" ref="AK34:AK39" si="16">IF(ISBLANK(INDEX(SafetyGroup,AJ34,2)),"Not Used",INDEX(SafetyGroup,AJ34,2))</f>
        <v>SB Off-ramp to Ave 280</v>
      </c>
      <c r="AL34" s="206"/>
      <c r="AM34" s="1613">
        <f t="shared" ref="AM34:AM39" si="17">G34</f>
        <v>2059</v>
      </c>
      <c r="AN34" s="1634">
        <v>0</v>
      </c>
      <c r="AO34" s="1635">
        <v>0.92</v>
      </c>
      <c r="AP34" s="1636">
        <v>1.83</v>
      </c>
      <c r="AQ34" s="1637">
        <f t="shared" ref="AQ34:AQ39" si="18">AM34*AN34/10^6</f>
        <v>0</v>
      </c>
      <c r="AR34" s="1618">
        <f t="shared" ref="AR34:AR39" si="19">AM34*AO34/10^6</f>
        <v>1.8942799999999999E-3</v>
      </c>
      <c r="AS34" s="1619">
        <f t="shared" ref="AS34:AS39" si="20">AM34*AP34/10^6</f>
        <v>3.7679700000000003E-3</v>
      </c>
      <c r="AT34" s="62"/>
      <c r="AU34" s="39"/>
      <c r="AW34" s="35"/>
      <c r="AX34" s="49"/>
      <c r="AY34" s="51">
        <v>1</v>
      </c>
      <c r="AZ34" s="206" t="str">
        <f t="shared" ref="AZ34:AZ39" si="21">IF(ISBLANK(INDEX(SafetyGroup,AY34,2)),"Not Used",INDEX(SafetyGroup,AY34,2))</f>
        <v>SB Off-ramp to Ave 280</v>
      </c>
      <c r="BA34" s="1613">
        <f t="shared" ref="BA34:BA39" si="22">W34</f>
        <v>2589</v>
      </c>
      <c r="BB34" s="1614">
        <f t="shared" ref="BB34:BD39" si="23">AN34</f>
        <v>0</v>
      </c>
      <c r="BC34" s="1615">
        <f t="shared" si="23"/>
        <v>0.92</v>
      </c>
      <c r="BD34" s="1616">
        <f t="shared" si="23"/>
        <v>1.83</v>
      </c>
      <c r="BE34" s="1617">
        <f t="shared" ref="BE34:BE39" si="24">BA34*BB34/10^6</f>
        <v>0</v>
      </c>
      <c r="BF34" s="1618">
        <f t="shared" ref="BF34:BF39" si="25">BA34*BC34/10^6</f>
        <v>2.3818800000000003E-3</v>
      </c>
      <c r="BG34" s="1619">
        <f t="shared" ref="BG34:BG39" si="26">BA34*BD34/10^6</f>
        <v>4.7378699999999999E-3</v>
      </c>
      <c r="BH34" s="62"/>
      <c r="BI34" s="39"/>
      <c r="BL34" s="35"/>
      <c r="BM34" s="49"/>
      <c r="BN34" s="51">
        <v>1</v>
      </c>
      <c r="BO34" s="206" t="str">
        <f t="shared" ref="BO34:BO39" si="27">IF(ISBLANK(INDEX(ReliabilityGroup,BN34,2)),"Not Used",INDEX(ReliabilityGroup,BN34,2))</f>
        <v>SB Off-ramp to Ave 280</v>
      </c>
      <c r="BP34" s="1584">
        <f t="shared" ref="BP34:BQ39" si="28">G34</f>
        <v>2059</v>
      </c>
      <c r="BQ34" s="1585">
        <f t="shared" si="28"/>
        <v>48</v>
      </c>
      <c r="BR34" s="1586">
        <f t="shared" ref="BR34:BR39" si="29">N11</f>
        <v>0.24</v>
      </c>
      <c r="BS34" s="1587">
        <f t="shared" ref="BS34:BS39" si="30">IFERROR(BP34/BQ34,0)</f>
        <v>42.895833333333336</v>
      </c>
      <c r="BT34" s="1587">
        <f t="shared" ref="BT34:BT39" si="31">IFERROR(BP34/$CF11/$CB11,"")</f>
        <v>3676.7857142857138</v>
      </c>
      <c r="BU34" s="62"/>
      <c r="BV34" s="39"/>
      <c r="BX34" s="35"/>
      <c r="BY34" s="49"/>
      <c r="BZ34" s="51">
        <v>1</v>
      </c>
      <c r="CA34" s="206" t="str">
        <f t="shared" ref="CA34:CA39" si="32">IF(ISBLANK(INDEX(ReliabilityGroup,BZ34,2)),"Not Used",INDEX(ReliabilityGroup,BZ34,2))</f>
        <v>SB Off-ramp to Ave 280</v>
      </c>
      <c r="CB34" s="206"/>
      <c r="CC34" s="206"/>
      <c r="CD34" s="1584">
        <f>W34</f>
        <v>2589</v>
      </c>
      <c r="CE34" s="1584">
        <f>X34</f>
        <v>62</v>
      </c>
      <c r="CF34" s="1586">
        <f t="shared" ref="CF34:CF39" si="33">N11</f>
        <v>0.24</v>
      </c>
      <c r="CG34" s="1587">
        <f t="shared" ref="CG34:CG39" si="34">IFERROR(CD34/CE34,0)</f>
        <v>41.758064516129032</v>
      </c>
      <c r="CH34" s="1587">
        <f t="shared" ref="CH34:CH39" si="35">IFERROR(CD34/$CF11/$CB11,"")</f>
        <v>4623.2142857142853</v>
      </c>
      <c r="CI34" s="62"/>
      <c r="CJ34" s="39"/>
    </row>
    <row r="35" spans="2:88" x14ac:dyDescent="0.2">
      <c r="B35" s="766"/>
      <c r="C35" s="49"/>
      <c r="D35" s="51">
        <v>2</v>
      </c>
      <c r="E35" s="206" t="str">
        <f t="shared" si="8"/>
        <v>SB On-ramp from Ave 280</v>
      </c>
      <c r="F35" s="1676"/>
      <c r="G35" s="1677">
        <v>1486</v>
      </c>
      <c r="H35" s="1677">
        <v>28</v>
      </c>
      <c r="I35" s="1677"/>
      <c r="J35" s="1677"/>
      <c r="K35" s="1678"/>
      <c r="L35" s="1679">
        <f t="shared" si="9"/>
        <v>53.071428571428569</v>
      </c>
      <c r="M35" s="1680">
        <f t="shared" si="10"/>
        <v>1.45</v>
      </c>
      <c r="N35" s="1681">
        <f t="shared" si="11"/>
        <v>0.24</v>
      </c>
      <c r="O35" s="62"/>
      <c r="P35" s="39"/>
      <c r="R35" s="766"/>
      <c r="S35" s="49"/>
      <c r="T35" s="51">
        <v>2</v>
      </c>
      <c r="U35" s="206" t="str">
        <f t="shared" si="12"/>
        <v>SB On-ramp from Ave 280</v>
      </c>
      <c r="V35" s="1676"/>
      <c r="W35" s="1677">
        <v>2056</v>
      </c>
      <c r="X35" s="1677">
        <v>39</v>
      </c>
      <c r="Y35" s="1677"/>
      <c r="Z35" s="1677"/>
      <c r="AA35" s="1678"/>
      <c r="AB35" s="1689">
        <f t="shared" si="13"/>
        <v>52.717948717948715</v>
      </c>
      <c r="AC35" s="1680">
        <f t="shared" si="14"/>
        <v>1.45</v>
      </c>
      <c r="AD35" s="1681">
        <f t="shared" si="15"/>
        <v>0.24</v>
      </c>
      <c r="AE35" s="62"/>
      <c r="AF35" s="39"/>
      <c r="AH35" s="35"/>
      <c r="AI35" s="49"/>
      <c r="AJ35" s="51">
        <v>2</v>
      </c>
      <c r="AK35" s="206" t="str">
        <f t="shared" si="16"/>
        <v>SB On-ramp from Ave 280</v>
      </c>
      <c r="AL35" s="206"/>
      <c r="AM35" s="1620">
        <f t="shared" si="17"/>
        <v>1486</v>
      </c>
      <c r="AN35" s="1638">
        <v>0</v>
      </c>
      <c r="AO35" s="1639">
        <v>0.44</v>
      </c>
      <c r="AP35" s="1640">
        <v>0.57999999999999996</v>
      </c>
      <c r="AQ35" s="1641">
        <f t="shared" si="18"/>
        <v>0</v>
      </c>
      <c r="AR35" s="1625">
        <f t="shared" si="19"/>
        <v>6.5384000000000004E-4</v>
      </c>
      <c r="AS35" s="1626">
        <f t="shared" si="20"/>
        <v>8.6187999999999998E-4</v>
      </c>
      <c r="AT35" s="62"/>
      <c r="AU35" s="39"/>
      <c r="AW35" s="35"/>
      <c r="AX35" s="49"/>
      <c r="AY35" s="51">
        <v>2</v>
      </c>
      <c r="AZ35" s="206" t="str">
        <f t="shared" si="21"/>
        <v>SB On-ramp from Ave 280</v>
      </c>
      <c r="BA35" s="1620">
        <f t="shared" si="22"/>
        <v>2056</v>
      </c>
      <c r="BB35" s="1621">
        <f t="shared" si="23"/>
        <v>0</v>
      </c>
      <c r="BC35" s="1622">
        <f t="shared" si="23"/>
        <v>0.44</v>
      </c>
      <c r="BD35" s="1623">
        <f t="shared" si="23"/>
        <v>0.57999999999999996</v>
      </c>
      <c r="BE35" s="1624">
        <f t="shared" si="24"/>
        <v>0</v>
      </c>
      <c r="BF35" s="1625">
        <f t="shared" si="25"/>
        <v>9.0463999999999996E-4</v>
      </c>
      <c r="BG35" s="1626">
        <f t="shared" si="26"/>
        <v>1.1924800000000001E-3</v>
      </c>
      <c r="BH35" s="62"/>
      <c r="BI35" s="39"/>
      <c r="BL35" s="35"/>
      <c r="BM35" s="49"/>
      <c r="BN35" s="51">
        <v>2</v>
      </c>
      <c r="BO35" s="206" t="str">
        <f t="shared" si="27"/>
        <v>SB On-ramp from Ave 280</v>
      </c>
      <c r="BP35" s="1588">
        <f t="shared" si="28"/>
        <v>1486</v>
      </c>
      <c r="BQ35" s="1589">
        <f t="shared" si="28"/>
        <v>28</v>
      </c>
      <c r="BR35" s="1590">
        <f t="shared" si="29"/>
        <v>0.24</v>
      </c>
      <c r="BS35" s="1591">
        <f t="shared" si="30"/>
        <v>53.071428571428569</v>
      </c>
      <c r="BT35" s="1591">
        <f t="shared" si="31"/>
        <v>3095.8333333333335</v>
      </c>
      <c r="BU35" s="62"/>
      <c r="BV35" s="39"/>
      <c r="BX35" s="35"/>
      <c r="BY35" s="49"/>
      <c r="BZ35" s="51">
        <v>2</v>
      </c>
      <c r="CA35" s="206" t="str">
        <f t="shared" si="32"/>
        <v>SB On-ramp from Ave 280</v>
      </c>
      <c r="CB35" s="206"/>
      <c r="CC35" s="206"/>
      <c r="CD35" s="1588">
        <f>W35</f>
        <v>2056</v>
      </c>
      <c r="CE35" s="1588">
        <f>X35</f>
        <v>39</v>
      </c>
      <c r="CF35" s="1590">
        <f t="shared" si="33"/>
        <v>0.24</v>
      </c>
      <c r="CG35" s="1591">
        <f t="shared" si="34"/>
        <v>52.717948717948715</v>
      </c>
      <c r="CH35" s="1591">
        <f t="shared" si="35"/>
        <v>4283.3333333333339</v>
      </c>
      <c r="CI35" s="62"/>
      <c r="CJ35" s="39"/>
    </row>
    <row r="36" spans="2:88" x14ac:dyDescent="0.2">
      <c r="B36" s="766"/>
      <c r="C36" s="49"/>
      <c r="D36" s="51">
        <v>3</v>
      </c>
      <c r="E36" s="206" t="str">
        <f t="shared" si="8"/>
        <v>NB Off-ramp to Ave 280</v>
      </c>
      <c r="F36" s="1676"/>
      <c r="G36" s="1677">
        <v>1525</v>
      </c>
      <c r="H36" s="1677">
        <v>41</v>
      </c>
      <c r="I36" s="1677"/>
      <c r="J36" s="1677"/>
      <c r="K36" s="1678"/>
      <c r="L36" s="1679">
        <f t="shared" si="9"/>
        <v>37.195121951219512</v>
      </c>
      <c r="M36" s="1680">
        <f t="shared" si="10"/>
        <v>1.45</v>
      </c>
      <c r="N36" s="1681">
        <f t="shared" si="11"/>
        <v>0.24</v>
      </c>
      <c r="O36" s="62"/>
      <c r="P36" s="39"/>
      <c r="R36" s="766"/>
      <c r="S36" s="49"/>
      <c r="T36" s="51">
        <v>3</v>
      </c>
      <c r="U36" s="206" t="str">
        <f t="shared" si="12"/>
        <v>NB Off-ramp to Ave 280</v>
      </c>
      <c r="V36" s="1676"/>
      <c r="W36" s="1677">
        <v>2109</v>
      </c>
      <c r="X36" s="1677">
        <v>58</v>
      </c>
      <c r="Y36" s="1677"/>
      <c r="Z36" s="1677"/>
      <c r="AA36" s="1678"/>
      <c r="AB36" s="1689">
        <f t="shared" si="13"/>
        <v>36.362068965517238</v>
      </c>
      <c r="AC36" s="1680">
        <f t="shared" si="14"/>
        <v>1.45</v>
      </c>
      <c r="AD36" s="1681">
        <f t="shared" si="15"/>
        <v>0.24</v>
      </c>
      <c r="AE36" s="62"/>
      <c r="AF36" s="39"/>
      <c r="AH36" s="35"/>
      <c r="AI36" s="49"/>
      <c r="AJ36" s="51">
        <v>3</v>
      </c>
      <c r="AK36" s="206" t="str">
        <f t="shared" si="16"/>
        <v>NB Off-ramp to Ave 280</v>
      </c>
      <c r="AL36" s="206"/>
      <c r="AM36" s="1620">
        <f t="shared" si="17"/>
        <v>1525</v>
      </c>
      <c r="AN36" s="1638">
        <v>0</v>
      </c>
      <c r="AO36" s="1639">
        <v>0.14000000000000001</v>
      </c>
      <c r="AP36" s="1640">
        <v>0.28999999999999998</v>
      </c>
      <c r="AQ36" s="1641">
        <f t="shared" si="18"/>
        <v>0</v>
      </c>
      <c r="AR36" s="1625">
        <f t="shared" si="19"/>
        <v>2.1350000000000004E-4</v>
      </c>
      <c r="AS36" s="1626">
        <f t="shared" si="20"/>
        <v>4.4224999999999993E-4</v>
      </c>
      <c r="AT36" s="62"/>
      <c r="AU36" s="39"/>
      <c r="AW36" s="35"/>
      <c r="AX36" s="49"/>
      <c r="AY36" s="51">
        <v>3</v>
      </c>
      <c r="AZ36" s="206" t="str">
        <f t="shared" si="21"/>
        <v>NB Off-ramp to Ave 280</v>
      </c>
      <c r="BA36" s="1620">
        <f t="shared" si="22"/>
        <v>2109</v>
      </c>
      <c r="BB36" s="1621">
        <f t="shared" si="23"/>
        <v>0</v>
      </c>
      <c r="BC36" s="1622">
        <f t="shared" si="23"/>
        <v>0.14000000000000001</v>
      </c>
      <c r="BD36" s="1623">
        <f t="shared" si="23"/>
        <v>0.28999999999999998</v>
      </c>
      <c r="BE36" s="1624">
        <f t="shared" si="24"/>
        <v>0</v>
      </c>
      <c r="BF36" s="1625">
        <f t="shared" si="25"/>
        <v>2.9526000000000004E-4</v>
      </c>
      <c r="BG36" s="1626">
        <f t="shared" si="26"/>
        <v>6.1161000000000006E-4</v>
      </c>
      <c r="BH36" s="62"/>
      <c r="BI36" s="39"/>
      <c r="BL36" s="35"/>
      <c r="BM36" s="49"/>
      <c r="BN36" s="51">
        <v>3</v>
      </c>
      <c r="BO36" s="206" t="str">
        <f t="shared" si="27"/>
        <v>NB Off-ramp to Ave 280</v>
      </c>
      <c r="BP36" s="1588">
        <f t="shared" si="28"/>
        <v>1525</v>
      </c>
      <c r="BQ36" s="1589">
        <f t="shared" si="28"/>
        <v>41</v>
      </c>
      <c r="BR36" s="1590">
        <f t="shared" si="29"/>
        <v>0.24</v>
      </c>
      <c r="BS36" s="1591">
        <f t="shared" si="30"/>
        <v>37.195121951219512</v>
      </c>
      <c r="BT36" s="1591">
        <f t="shared" si="31"/>
        <v>3177.0833333333335</v>
      </c>
      <c r="BU36" s="62"/>
      <c r="BV36" s="39"/>
      <c r="BX36" s="35"/>
      <c r="BY36" s="49"/>
      <c r="BZ36" s="51">
        <v>3</v>
      </c>
      <c r="CA36" s="206" t="str">
        <f t="shared" si="32"/>
        <v>NB Off-ramp to Ave 280</v>
      </c>
      <c r="CB36" s="206"/>
      <c r="CC36" s="206"/>
      <c r="CD36" s="1588">
        <f t="shared" ref="CD36:CE38" si="36">W36</f>
        <v>2109</v>
      </c>
      <c r="CE36" s="1588">
        <f t="shared" si="36"/>
        <v>58</v>
      </c>
      <c r="CF36" s="1590">
        <f t="shared" si="33"/>
        <v>0.24</v>
      </c>
      <c r="CG36" s="1591">
        <f t="shared" si="34"/>
        <v>36.362068965517238</v>
      </c>
      <c r="CH36" s="1591">
        <f t="shared" si="35"/>
        <v>4393.75</v>
      </c>
      <c r="CI36" s="62"/>
      <c r="CJ36" s="39"/>
    </row>
    <row r="37" spans="2:88" x14ac:dyDescent="0.2">
      <c r="B37" s="766"/>
      <c r="C37" s="49"/>
      <c r="D37" s="51">
        <v>4</v>
      </c>
      <c r="E37" s="206" t="str">
        <f t="shared" si="8"/>
        <v>NB On-ramp from Ave 280</v>
      </c>
      <c r="F37" s="1676"/>
      <c r="G37" s="1677">
        <v>2513</v>
      </c>
      <c r="H37" s="1677">
        <v>58</v>
      </c>
      <c r="I37" s="1677"/>
      <c r="J37" s="1677"/>
      <c r="K37" s="1678"/>
      <c r="L37" s="1679">
        <f t="shared" si="9"/>
        <v>43.327586206896555</v>
      </c>
      <c r="M37" s="1680">
        <f t="shared" si="10"/>
        <v>1.45</v>
      </c>
      <c r="N37" s="1681">
        <f t="shared" si="11"/>
        <v>0.24</v>
      </c>
      <c r="O37" s="62"/>
      <c r="P37" s="39"/>
      <c r="R37" s="766"/>
      <c r="S37" s="49"/>
      <c r="T37" s="51">
        <v>4</v>
      </c>
      <c r="U37" s="206" t="str">
        <f t="shared" si="12"/>
        <v>NB On-ramp from Ave 280</v>
      </c>
      <c r="V37" s="1676"/>
      <c r="W37" s="1677">
        <v>3160</v>
      </c>
      <c r="X37" s="1677">
        <v>74</v>
      </c>
      <c r="Y37" s="1677"/>
      <c r="Z37" s="1677"/>
      <c r="AA37" s="1678"/>
      <c r="AB37" s="1689">
        <f t="shared" si="13"/>
        <v>42.702702702702702</v>
      </c>
      <c r="AC37" s="1680">
        <f t="shared" si="14"/>
        <v>1.45</v>
      </c>
      <c r="AD37" s="1681">
        <f t="shared" si="15"/>
        <v>0.24</v>
      </c>
      <c r="AE37" s="62"/>
      <c r="AF37" s="39"/>
      <c r="AH37" s="35"/>
      <c r="AI37" s="49"/>
      <c r="AJ37" s="51">
        <v>4</v>
      </c>
      <c r="AK37" s="206" t="str">
        <f t="shared" si="16"/>
        <v>NB On-ramp from Ave 280</v>
      </c>
      <c r="AL37" s="206"/>
      <c r="AM37" s="1620">
        <f t="shared" si="17"/>
        <v>2513</v>
      </c>
      <c r="AN37" s="1638">
        <v>0</v>
      </c>
      <c r="AO37" s="1639">
        <v>0</v>
      </c>
      <c r="AP37" s="1640">
        <v>0.46</v>
      </c>
      <c r="AQ37" s="1641">
        <f t="shared" si="18"/>
        <v>0</v>
      </c>
      <c r="AR37" s="1625">
        <f t="shared" si="19"/>
        <v>0</v>
      </c>
      <c r="AS37" s="1626">
        <f t="shared" si="20"/>
        <v>1.15598E-3</v>
      </c>
      <c r="AT37" s="62"/>
      <c r="AU37" s="39"/>
      <c r="AW37" s="35"/>
      <c r="AX37" s="49"/>
      <c r="AY37" s="51">
        <v>4</v>
      </c>
      <c r="AZ37" s="206" t="str">
        <f t="shared" si="21"/>
        <v>NB On-ramp from Ave 280</v>
      </c>
      <c r="BA37" s="1620">
        <f t="shared" si="22"/>
        <v>3160</v>
      </c>
      <c r="BB37" s="1621">
        <f t="shared" si="23"/>
        <v>0</v>
      </c>
      <c r="BC37" s="1622">
        <f t="shared" si="23"/>
        <v>0</v>
      </c>
      <c r="BD37" s="1623">
        <f t="shared" si="23"/>
        <v>0.46</v>
      </c>
      <c r="BE37" s="1624">
        <f t="shared" si="24"/>
        <v>0</v>
      </c>
      <c r="BF37" s="1625">
        <f t="shared" si="25"/>
        <v>0</v>
      </c>
      <c r="BG37" s="1626">
        <f t="shared" si="26"/>
        <v>1.4536000000000002E-3</v>
      </c>
      <c r="BH37" s="62"/>
      <c r="BI37" s="39"/>
      <c r="BL37" s="35"/>
      <c r="BM37" s="49"/>
      <c r="BN37" s="51">
        <v>4</v>
      </c>
      <c r="BO37" s="206" t="str">
        <f t="shared" si="27"/>
        <v>NB On-ramp from Ave 280</v>
      </c>
      <c r="BP37" s="1588">
        <f t="shared" si="28"/>
        <v>2513</v>
      </c>
      <c r="BQ37" s="1589">
        <f t="shared" si="28"/>
        <v>58</v>
      </c>
      <c r="BR37" s="1590">
        <f t="shared" si="29"/>
        <v>0.24</v>
      </c>
      <c r="BS37" s="1591">
        <f t="shared" si="30"/>
        <v>43.327586206896555</v>
      </c>
      <c r="BT37" s="1591">
        <f t="shared" si="31"/>
        <v>3590.0000000000005</v>
      </c>
      <c r="BU37" s="62"/>
      <c r="BV37" s="39"/>
      <c r="BX37" s="35"/>
      <c r="BY37" s="49"/>
      <c r="BZ37" s="51">
        <v>4</v>
      </c>
      <c r="CA37" s="206" t="str">
        <f t="shared" si="32"/>
        <v>NB On-ramp from Ave 280</v>
      </c>
      <c r="CB37" s="206"/>
      <c r="CC37" s="206"/>
      <c r="CD37" s="1588">
        <f t="shared" si="36"/>
        <v>3160</v>
      </c>
      <c r="CE37" s="1588">
        <f t="shared" si="36"/>
        <v>74</v>
      </c>
      <c r="CF37" s="1590">
        <f t="shared" si="33"/>
        <v>0.24</v>
      </c>
      <c r="CG37" s="1591">
        <f t="shared" si="34"/>
        <v>42.702702702702702</v>
      </c>
      <c r="CH37" s="1591">
        <f t="shared" si="35"/>
        <v>4514.2857142857147</v>
      </c>
      <c r="CI37" s="62"/>
      <c r="CJ37" s="39"/>
    </row>
    <row r="38" spans="2:88" x14ac:dyDescent="0.2">
      <c r="B38" s="766"/>
      <c r="C38" s="49"/>
      <c r="D38" s="51">
        <v>5</v>
      </c>
      <c r="E38" s="206" t="str">
        <f t="shared" si="8"/>
        <v>NB Mainline</v>
      </c>
      <c r="F38" s="1676"/>
      <c r="G38" s="1677">
        <v>50518</v>
      </c>
      <c r="H38" s="1677">
        <v>728</v>
      </c>
      <c r="I38" s="1677"/>
      <c r="J38" s="1677"/>
      <c r="K38" s="1678"/>
      <c r="L38" s="1679">
        <f t="shared" si="9"/>
        <v>69.392857142857139</v>
      </c>
      <c r="M38" s="1680">
        <f t="shared" si="10"/>
        <v>1.45</v>
      </c>
      <c r="N38" s="1681">
        <f t="shared" si="11"/>
        <v>0.24</v>
      </c>
      <c r="O38" s="62"/>
      <c r="P38" s="39"/>
      <c r="R38" s="766"/>
      <c r="S38" s="49"/>
      <c r="T38" s="51">
        <v>5</v>
      </c>
      <c r="U38" s="206" t="str">
        <f t="shared" si="12"/>
        <v>NB Mainline</v>
      </c>
      <c r="V38" s="1676"/>
      <c r="W38" s="1677">
        <v>64129</v>
      </c>
      <c r="X38" s="1677">
        <v>928</v>
      </c>
      <c r="Y38" s="1677"/>
      <c r="Z38" s="1677"/>
      <c r="AA38" s="1678"/>
      <c r="AB38" s="1689">
        <f t="shared" si="13"/>
        <v>69.104525862068968</v>
      </c>
      <c r="AC38" s="1680">
        <f t="shared" si="14"/>
        <v>1.45</v>
      </c>
      <c r="AD38" s="1681">
        <f t="shared" si="15"/>
        <v>0.24</v>
      </c>
      <c r="AE38" s="62"/>
      <c r="AF38" s="39"/>
      <c r="AH38" s="35"/>
      <c r="AI38" s="49"/>
      <c r="AJ38" s="51">
        <v>5</v>
      </c>
      <c r="AK38" s="206" t="str">
        <f t="shared" si="16"/>
        <v>NB Mainline</v>
      </c>
      <c r="AL38" s="206"/>
      <c r="AM38" s="1620">
        <f t="shared" si="17"/>
        <v>50518</v>
      </c>
      <c r="AN38" s="1638">
        <v>0</v>
      </c>
      <c r="AO38" s="1639">
        <v>0.2</v>
      </c>
      <c r="AP38" s="1640">
        <v>0.68</v>
      </c>
      <c r="AQ38" s="1641">
        <f t="shared" si="18"/>
        <v>0</v>
      </c>
      <c r="AR38" s="1625">
        <f t="shared" si="19"/>
        <v>1.0103600000000001E-2</v>
      </c>
      <c r="AS38" s="1626">
        <f t="shared" si="20"/>
        <v>3.4352240000000006E-2</v>
      </c>
      <c r="AT38" s="62"/>
      <c r="AU38" s="39"/>
      <c r="AW38" s="35"/>
      <c r="AX38" s="49"/>
      <c r="AY38" s="51">
        <v>5</v>
      </c>
      <c r="AZ38" s="206" t="str">
        <f t="shared" si="21"/>
        <v>NB Mainline</v>
      </c>
      <c r="BA38" s="1620">
        <f t="shared" si="22"/>
        <v>64129</v>
      </c>
      <c r="BB38" s="1621">
        <f t="shared" si="23"/>
        <v>0</v>
      </c>
      <c r="BC38" s="1622">
        <f t="shared" si="23"/>
        <v>0.2</v>
      </c>
      <c r="BD38" s="1623">
        <f t="shared" si="23"/>
        <v>0.68</v>
      </c>
      <c r="BE38" s="1624">
        <f t="shared" si="24"/>
        <v>0</v>
      </c>
      <c r="BF38" s="1625">
        <f t="shared" si="25"/>
        <v>1.2825800000000002E-2</v>
      </c>
      <c r="BG38" s="1626">
        <f t="shared" si="26"/>
        <v>4.3607720000000003E-2</v>
      </c>
      <c r="BH38" s="62"/>
      <c r="BI38" s="39"/>
      <c r="BL38" s="35"/>
      <c r="BM38" s="49"/>
      <c r="BN38" s="51">
        <v>5</v>
      </c>
      <c r="BO38" s="206" t="str">
        <f t="shared" si="27"/>
        <v>NB Mainline</v>
      </c>
      <c r="BP38" s="1588">
        <f t="shared" si="28"/>
        <v>50518</v>
      </c>
      <c r="BQ38" s="1589">
        <f t="shared" si="28"/>
        <v>728</v>
      </c>
      <c r="BR38" s="1590">
        <f t="shared" si="29"/>
        <v>0.24</v>
      </c>
      <c r="BS38" s="1591">
        <f t="shared" si="30"/>
        <v>69.392857142857139</v>
      </c>
      <c r="BT38" s="1591">
        <f t="shared" si="31"/>
        <v>6427.2264631043254</v>
      </c>
      <c r="BU38" s="62"/>
      <c r="BV38" s="39"/>
      <c r="BX38" s="35"/>
      <c r="BY38" s="49"/>
      <c r="BZ38" s="51">
        <v>5</v>
      </c>
      <c r="CA38" s="206" t="str">
        <f t="shared" si="32"/>
        <v>NB Mainline</v>
      </c>
      <c r="CB38" s="206"/>
      <c r="CC38" s="206"/>
      <c r="CD38" s="1588">
        <f t="shared" si="36"/>
        <v>64129</v>
      </c>
      <c r="CE38" s="1588">
        <f t="shared" si="36"/>
        <v>928</v>
      </c>
      <c r="CF38" s="1590">
        <f t="shared" si="33"/>
        <v>0.24</v>
      </c>
      <c r="CG38" s="1591">
        <f t="shared" si="34"/>
        <v>69.104525862068968</v>
      </c>
      <c r="CH38" s="1591">
        <f t="shared" si="35"/>
        <v>8158.9058524173024</v>
      </c>
      <c r="CI38" s="62"/>
      <c r="CJ38" s="39"/>
    </row>
    <row r="39" spans="2:88" x14ac:dyDescent="0.2">
      <c r="B39" s="766"/>
      <c r="C39" s="49"/>
      <c r="D39" s="51">
        <v>6</v>
      </c>
      <c r="E39" s="206" t="str">
        <f t="shared" si="8"/>
        <v>SB Mainline</v>
      </c>
      <c r="F39" s="1682"/>
      <c r="G39" s="1683">
        <v>48617</v>
      </c>
      <c r="H39" s="1683">
        <v>700</v>
      </c>
      <c r="I39" s="1683"/>
      <c r="J39" s="1683"/>
      <c r="K39" s="1684"/>
      <c r="L39" s="1685">
        <f t="shared" si="9"/>
        <v>69.452857142857141</v>
      </c>
      <c r="M39" s="1686">
        <f t="shared" si="10"/>
        <v>1.45</v>
      </c>
      <c r="N39" s="1687">
        <f t="shared" si="11"/>
        <v>0.24</v>
      </c>
      <c r="O39" s="62"/>
      <c r="P39" s="39"/>
      <c r="R39" s="766"/>
      <c r="S39" s="49"/>
      <c r="T39" s="51">
        <v>6</v>
      </c>
      <c r="U39" s="206" t="str">
        <f t="shared" si="12"/>
        <v>SB Mainline</v>
      </c>
      <c r="V39" s="1682"/>
      <c r="W39" s="1683">
        <v>61714</v>
      </c>
      <c r="X39" s="1683">
        <v>893</v>
      </c>
      <c r="Y39" s="1683"/>
      <c r="Z39" s="1683"/>
      <c r="AA39" s="1684"/>
      <c r="AB39" s="1690">
        <f t="shared" si="13"/>
        <v>69.108622620380743</v>
      </c>
      <c r="AC39" s="1686">
        <f t="shared" si="14"/>
        <v>1.45</v>
      </c>
      <c r="AD39" s="1687">
        <f t="shared" si="15"/>
        <v>0.24</v>
      </c>
      <c r="AE39" s="62"/>
      <c r="AF39" s="39"/>
      <c r="AH39" s="35"/>
      <c r="AI39" s="49"/>
      <c r="AJ39" s="51">
        <v>6</v>
      </c>
      <c r="AK39" s="206" t="str">
        <f t="shared" si="16"/>
        <v>SB Mainline</v>
      </c>
      <c r="AL39" s="206"/>
      <c r="AM39" s="1627">
        <f t="shared" si="17"/>
        <v>48617</v>
      </c>
      <c r="AN39" s="1642">
        <v>1.4E-2</v>
      </c>
      <c r="AO39" s="1643">
        <v>0.22</v>
      </c>
      <c r="AP39" s="1644">
        <v>0.67</v>
      </c>
      <c r="AQ39" s="1645">
        <f t="shared" si="18"/>
        <v>6.8063800000000001E-4</v>
      </c>
      <c r="AR39" s="1632">
        <f t="shared" si="19"/>
        <v>1.069574E-2</v>
      </c>
      <c r="AS39" s="1633">
        <f t="shared" si="20"/>
        <v>3.2573390000000001E-2</v>
      </c>
      <c r="AT39" s="62"/>
      <c r="AU39" s="39"/>
      <c r="AW39" s="35"/>
      <c r="AX39" s="49"/>
      <c r="AY39" s="51">
        <v>6</v>
      </c>
      <c r="AZ39" s="206" t="str">
        <f t="shared" si="21"/>
        <v>SB Mainline</v>
      </c>
      <c r="BA39" s="1627">
        <f t="shared" si="22"/>
        <v>61714</v>
      </c>
      <c r="BB39" s="1628">
        <f t="shared" si="23"/>
        <v>1.4E-2</v>
      </c>
      <c r="BC39" s="1629">
        <f t="shared" si="23"/>
        <v>0.22</v>
      </c>
      <c r="BD39" s="1630">
        <f t="shared" si="23"/>
        <v>0.67</v>
      </c>
      <c r="BE39" s="1631">
        <f t="shared" si="24"/>
        <v>8.6399600000000001E-4</v>
      </c>
      <c r="BF39" s="1632">
        <f t="shared" si="25"/>
        <v>1.357708E-2</v>
      </c>
      <c r="BG39" s="1633">
        <f t="shared" si="26"/>
        <v>4.1348380000000004E-2</v>
      </c>
      <c r="BH39" s="62"/>
      <c r="BI39" s="39"/>
      <c r="BL39" s="35"/>
      <c r="BM39" s="49"/>
      <c r="BN39" s="51">
        <v>6</v>
      </c>
      <c r="BO39" s="206" t="str">
        <f t="shared" si="27"/>
        <v>SB Mainline</v>
      </c>
      <c r="BP39" s="1592">
        <f t="shared" si="28"/>
        <v>48617</v>
      </c>
      <c r="BQ39" s="1593">
        <f t="shared" si="28"/>
        <v>700</v>
      </c>
      <c r="BR39" s="1590">
        <f t="shared" si="29"/>
        <v>0.24</v>
      </c>
      <c r="BS39" s="1594">
        <f t="shared" si="30"/>
        <v>69.452857142857141</v>
      </c>
      <c r="BT39" s="1594">
        <f t="shared" si="31"/>
        <v>6185.3689567430019</v>
      </c>
      <c r="BU39" s="62"/>
      <c r="BV39" s="39"/>
      <c r="BX39" s="35"/>
      <c r="BY39" s="49"/>
      <c r="BZ39" s="51">
        <v>6</v>
      </c>
      <c r="CA39" s="206" t="str">
        <f t="shared" si="32"/>
        <v>SB Mainline</v>
      </c>
      <c r="CB39" s="206"/>
      <c r="CC39" s="206"/>
      <c r="CD39" s="1592">
        <f>W39</f>
        <v>61714</v>
      </c>
      <c r="CE39" s="1592">
        <f>X39</f>
        <v>893</v>
      </c>
      <c r="CF39" s="1590">
        <f t="shared" si="33"/>
        <v>0.24</v>
      </c>
      <c r="CG39" s="1594">
        <f t="shared" si="34"/>
        <v>69.108622620380743</v>
      </c>
      <c r="CH39" s="1594">
        <f t="shared" si="35"/>
        <v>7851.653944020356</v>
      </c>
      <c r="CI39" s="62"/>
      <c r="CJ39" s="39"/>
    </row>
    <row r="40" spans="2:88" x14ac:dyDescent="0.2">
      <c r="B40" s="35"/>
      <c r="C40" s="49"/>
      <c r="D40" s="51"/>
      <c r="E40" s="206" t="s">
        <v>124</v>
      </c>
      <c r="F40" s="749">
        <f>SUM(F34:F39)</f>
        <v>0</v>
      </c>
      <c r="G40" s="750">
        <f>SUM(G34:G39)</f>
        <v>106718</v>
      </c>
      <c r="H40" s="750">
        <f>SUM(H34:H39)</f>
        <v>1603</v>
      </c>
      <c r="I40" s="750">
        <f>SUM(I34:I39)</f>
        <v>0</v>
      </c>
      <c r="J40" s="751">
        <f>SUM(J34:J39)</f>
        <v>0</v>
      </c>
      <c r="K40" s="752"/>
      <c r="L40" s="207"/>
      <c r="M40" s="207"/>
      <c r="N40" s="207"/>
      <c r="O40" s="62"/>
      <c r="P40" s="39"/>
      <c r="R40" s="35"/>
      <c r="S40" s="49"/>
      <c r="T40" s="51"/>
      <c r="U40" s="206" t="s">
        <v>124</v>
      </c>
      <c r="V40" s="749">
        <f>SUM(V34:V39)</f>
        <v>0</v>
      </c>
      <c r="W40" s="750">
        <f>SUM(W34:W39)</f>
        <v>135757</v>
      </c>
      <c r="X40" s="750">
        <f>SUM(X34:X39)</f>
        <v>2054</v>
      </c>
      <c r="Y40" s="750">
        <f>SUM(Y34:Y39)</f>
        <v>0</v>
      </c>
      <c r="Z40" s="751">
        <f>SUM(Z34:Z39)</f>
        <v>0</v>
      </c>
      <c r="AA40" s="752"/>
      <c r="AB40" s="207"/>
      <c r="AC40" s="207"/>
      <c r="AD40" s="207"/>
      <c r="AE40" s="62"/>
      <c r="AF40" s="39"/>
      <c r="AH40" s="35"/>
      <c r="AI40" s="49"/>
      <c r="AJ40" s="51"/>
      <c r="AK40" s="206" t="s">
        <v>124</v>
      </c>
      <c r="AL40" s="206"/>
      <c r="AM40" s="738">
        <f>SUM(AM34:AM39)</f>
        <v>106718</v>
      </c>
      <c r="AN40" s="207"/>
      <c r="AO40" s="207"/>
      <c r="AP40" s="207"/>
      <c r="AQ40" s="739">
        <f>SUM(AQ34:AQ39)</f>
        <v>6.8063800000000001E-4</v>
      </c>
      <c r="AR40" s="721">
        <f>SUM(AR34:AR39)</f>
        <v>2.3560959999999999E-2</v>
      </c>
      <c r="AS40" s="722">
        <f>SUM(AS34:AS39)</f>
        <v>7.3153710000000011E-2</v>
      </c>
      <c r="AT40" s="62"/>
      <c r="AU40" s="39"/>
      <c r="AW40" s="35"/>
      <c r="AX40" s="49"/>
      <c r="AY40" s="51"/>
      <c r="AZ40" s="206" t="s">
        <v>124</v>
      </c>
      <c r="BA40" s="738">
        <f>SUM(BA34:BA39)</f>
        <v>135757</v>
      </c>
      <c r="BB40" s="207"/>
      <c r="BC40" s="207"/>
      <c r="BD40" s="207"/>
      <c r="BE40" s="739">
        <f>SUM(BE34:BE39)</f>
        <v>8.6399600000000001E-4</v>
      </c>
      <c r="BF40" s="721">
        <f>SUM(BF34:BF39)</f>
        <v>2.9984660000000003E-2</v>
      </c>
      <c r="BG40" s="722">
        <f>SUM(BG34:BG39)</f>
        <v>9.2951660000000005E-2</v>
      </c>
      <c r="BH40" s="62"/>
      <c r="BI40" s="39"/>
      <c r="BL40" s="35"/>
      <c r="BM40" s="49"/>
      <c r="BN40" s="51"/>
      <c r="BO40" s="206" t="s">
        <v>124</v>
      </c>
      <c r="BP40" s="738">
        <f>SUM(BP34:BP39)</f>
        <v>106718</v>
      </c>
      <c r="BQ40" s="738">
        <f>SUM(BQ34:BQ39)</f>
        <v>1603</v>
      </c>
      <c r="BR40" s="1194"/>
      <c r="BS40" s="1195"/>
      <c r="BT40" s="738">
        <f>SUM(BT34:BT39)</f>
        <v>26152.297800799708</v>
      </c>
      <c r="BU40" s="62"/>
      <c r="BV40" s="39"/>
      <c r="BX40" s="35"/>
      <c r="BY40" s="49"/>
      <c r="BZ40" s="51"/>
      <c r="CA40" s="206" t="s">
        <v>124</v>
      </c>
      <c r="CB40" s="206"/>
      <c r="CC40" s="206"/>
      <c r="CD40" s="738">
        <f>SUM(CD34:CD39)</f>
        <v>135757</v>
      </c>
      <c r="CE40" s="738">
        <f>SUM(CE34:CE39)</f>
        <v>2054</v>
      </c>
      <c r="CF40" s="1194"/>
      <c r="CG40" s="1195"/>
      <c r="CH40" s="738">
        <f>SUM(CH34:CH39)</f>
        <v>33825.143129770993</v>
      </c>
      <c r="CI40" s="62"/>
      <c r="CJ40" s="39"/>
    </row>
    <row r="41" spans="2:88" x14ac:dyDescent="0.2">
      <c r="B41" s="35"/>
      <c r="C41" s="208"/>
      <c r="D41" s="124"/>
      <c r="E41" s="209"/>
      <c r="F41" s="209"/>
      <c r="G41" s="209"/>
      <c r="H41" s="209"/>
      <c r="I41" s="209"/>
      <c r="J41" s="209"/>
      <c r="K41" s="209"/>
      <c r="L41" s="124"/>
      <c r="M41" s="124"/>
      <c r="N41" s="124"/>
      <c r="O41" s="210"/>
      <c r="P41" s="39"/>
      <c r="R41" s="35"/>
      <c r="S41" s="208"/>
      <c r="T41" s="124"/>
      <c r="U41" s="209"/>
      <c r="V41" s="209"/>
      <c r="W41" s="209"/>
      <c r="X41" s="209"/>
      <c r="Y41" s="209"/>
      <c r="Z41" s="209"/>
      <c r="AA41" s="209"/>
      <c r="AB41" s="124"/>
      <c r="AC41" s="124"/>
      <c r="AD41" s="124"/>
      <c r="AE41" s="210"/>
      <c r="AF41" s="39"/>
      <c r="AH41" s="35"/>
      <c r="AI41" s="208"/>
      <c r="AJ41" s="124"/>
      <c r="AK41" s="737" t="str">
        <f>IF(AND(SafetyYearFirst=YearFirst,SafetyYearLast=YearLast),IF(G40=AM40,"Total VMT in model groups equals total VMT in safety groups", "Warning: Total VMT in model groups DOES NOT equal total VMT in safety groups"),"")</f>
        <v>Total VMT in model groups equals total VMT in safety groups</v>
      </c>
      <c r="AL41" s="737"/>
      <c r="AM41" s="124"/>
      <c r="AN41" s="209"/>
      <c r="AO41" s="209"/>
      <c r="AP41" s="124"/>
      <c r="AQ41" s="124"/>
      <c r="AR41" s="124"/>
      <c r="AS41" s="124"/>
      <c r="AT41" s="210"/>
      <c r="AU41" s="39"/>
      <c r="AW41" s="35"/>
      <c r="AX41" s="208"/>
      <c r="AY41" s="124"/>
      <c r="AZ41" s="737" t="str">
        <f>IF(AND(SafetyYearFirst=YearFirst,SafetyYearLast=YearLast),IF(W40=BA40,"Total VMT in traffic inputs equals total VMT in safety inputs", "Warning: Total VMT in traffic inputs DOES NOT equal total VMT in safety inputs"),"")</f>
        <v>Total VMT in traffic inputs equals total VMT in safety inputs</v>
      </c>
      <c r="BA41" s="124"/>
      <c r="BB41" s="209"/>
      <c r="BC41" s="209"/>
      <c r="BD41" s="124"/>
      <c r="BE41" s="124"/>
      <c r="BF41" s="124"/>
      <c r="BG41" s="124"/>
      <c r="BH41" s="210"/>
      <c r="BI41" s="39"/>
      <c r="BL41" s="35"/>
      <c r="BM41" s="208"/>
      <c r="BN41" s="124"/>
      <c r="BO41" s="737" t="str">
        <f>IF(AND(RelYearFirst=YearFirst,RelYearLast=YearLast),IF(G40=BP40,"Total VMT in traffic inputs equals total VMT in reliability inputs", "Warning: Total VMT in traffic inputs DOES NOT equal total VMT in reliability inputs"),"")</f>
        <v>Total VMT in traffic inputs equals total VMT in reliability inputs</v>
      </c>
      <c r="BP41" s="209"/>
      <c r="BQ41" s="124"/>
      <c r="BR41" s="124"/>
      <c r="BS41" s="124"/>
      <c r="BT41" s="124"/>
      <c r="BU41" s="210"/>
      <c r="BV41" s="39"/>
      <c r="BX41" s="35"/>
      <c r="BY41" s="208"/>
      <c r="BZ41" s="124"/>
      <c r="CA41" s="737" t="str">
        <f>IF(AND(RelYearFirst=YearFirst,RelYearLast=YearLast),IF(W40=CD40,"Total VMT in traffic inputs equals total VMT in reliability inputs", "Warning: Total VMT in traffic inputs DOES NOT equal total VMT in reliability inputs"),"")</f>
        <v>Total VMT in traffic inputs equals total VMT in reliability inputs</v>
      </c>
      <c r="CB41" s="737"/>
      <c r="CC41" s="737"/>
      <c r="CD41" s="209"/>
      <c r="CE41" s="124"/>
      <c r="CF41" s="124"/>
      <c r="CG41" s="124"/>
      <c r="CH41" s="124"/>
      <c r="CI41" s="210"/>
      <c r="CJ41" s="39"/>
    </row>
    <row r="42" spans="2:88" ht="15" x14ac:dyDescent="0.25">
      <c r="B42" s="35"/>
      <c r="E42" s="21"/>
      <c r="F42" s="21"/>
      <c r="G42" s="21"/>
      <c r="H42" s="21"/>
      <c r="I42" s="21"/>
      <c r="J42" s="21"/>
      <c r="K42" s="21"/>
      <c r="P42" s="39"/>
      <c r="R42" s="35"/>
      <c r="U42" s="21"/>
      <c r="V42" s="21"/>
      <c r="W42" s="21"/>
      <c r="X42" s="21"/>
      <c r="Y42" s="21"/>
      <c r="Z42" s="21"/>
      <c r="AA42" s="21"/>
      <c r="AF42" s="39"/>
      <c r="AH42" s="35"/>
      <c r="AK42" s="21"/>
      <c r="AL42" s="21"/>
      <c r="AM42" s="21"/>
      <c r="AN42" s="21"/>
      <c r="AO42" s="21"/>
      <c r="AT42"/>
      <c r="AU42" s="39"/>
      <c r="AW42" s="35"/>
      <c r="AZ42" s="21"/>
      <c r="BA42" s="21"/>
      <c r="BB42" s="21"/>
      <c r="BC42" s="21"/>
      <c r="BH42"/>
      <c r="BI42" s="39"/>
      <c r="BL42" s="35"/>
      <c r="BO42" s="21"/>
      <c r="BP42" s="21"/>
      <c r="BQ42" s="21"/>
      <c r="BR42" s="21"/>
      <c r="BS42" s="21"/>
      <c r="BT42" s="21"/>
      <c r="BU42"/>
      <c r="BV42" s="39"/>
      <c r="BX42" s="35"/>
      <c r="CA42" s="21"/>
      <c r="CD42" s="21"/>
      <c r="CE42" s="21"/>
      <c r="CF42" s="21"/>
      <c r="CG42" s="21"/>
      <c r="CH42" s="21"/>
      <c r="CI42"/>
      <c r="CJ42" s="39"/>
    </row>
    <row r="43" spans="2:88" x14ac:dyDescent="0.2">
      <c r="B43" s="35"/>
      <c r="C43" s="204" t="s">
        <v>125</v>
      </c>
      <c r="D43" s="43"/>
      <c r="E43" s="43"/>
      <c r="F43" s="43"/>
      <c r="G43" s="43"/>
      <c r="H43" s="43"/>
      <c r="I43" s="43"/>
      <c r="J43" s="43"/>
      <c r="K43" s="43"/>
      <c r="L43" s="43"/>
      <c r="M43" s="43"/>
      <c r="N43" s="43"/>
      <c r="O43" s="205"/>
      <c r="P43" s="39"/>
      <c r="R43" s="35"/>
      <c r="S43" s="204" t="s">
        <v>125</v>
      </c>
      <c r="T43" s="43"/>
      <c r="U43" s="43"/>
      <c r="V43" s="43"/>
      <c r="W43" s="43"/>
      <c r="X43" s="43"/>
      <c r="Y43" s="43"/>
      <c r="Z43" s="43"/>
      <c r="AA43" s="43"/>
      <c r="AB43" s="43"/>
      <c r="AC43" s="43"/>
      <c r="AD43" s="43"/>
      <c r="AE43" s="205"/>
      <c r="AF43" s="39"/>
      <c r="AH43" s="35"/>
      <c r="AI43" s="204" t="s">
        <v>125</v>
      </c>
      <c r="AJ43" s="43"/>
      <c r="AK43" s="43"/>
      <c r="AL43" s="43"/>
      <c r="AM43" s="43"/>
      <c r="AN43" s="43"/>
      <c r="AO43" s="43"/>
      <c r="AP43" s="43"/>
      <c r="AQ43" s="43"/>
      <c r="AR43" s="43"/>
      <c r="AS43" s="43"/>
      <c r="AT43" s="205"/>
      <c r="AU43" s="39"/>
      <c r="AW43" s="35"/>
      <c r="AX43" s="204" t="s">
        <v>125</v>
      </c>
      <c r="AY43" s="43"/>
      <c r="AZ43" s="43"/>
      <c r="BA43" s="43"/>
      <c r="BB43" s="43"/>
      <c r="BC43" s="43"/>
      <c r="BD43" s="43"/>
      <c r="BE43" s="43"/>
      <c r="BF43" s="43"/>
      <c r="BG43" s="43"/>
      <c r="BH43" s="205"/>
      <c r="BI43" s="39"/>
      <c r="BL43" s="35"/>
      <c r="BM43" s="204" t="s">
        <v>125</v>
      </c>
      <c r="BN43" s="43"/>
      <c r="BO43" s="43"/>
      <c r="BP43" s="43"/>
      <c r="BQ43" s="43"/>
      <c r="BR43" s="43"/>
      <c r="BS43" s="43"/>
      <c r="BT43" s="43"/>
      <c r="BU43" s="205"/>
      <c r="BV43" s="39"/>
      <c r="BX43" s="35"/>
      <c r="BY43" s="204" t="s">
        <v>125</v>
      </c>
      <c r="BZ43" s="43"/>
      <c r="CA43" s="43"/>
      <c r="CB43" s="43"/>
      <c r="CC43" s="43"/>
      <c r="CD43" s="43"/>
      <c r="CE43" s="43"/>
      <c r="CF43" s="43"/>
      <c r="CG43" s="43"/>
      <c r="CH43" s="43"/>
      <c r="CI43" s="205"/>
      <c r="CJ43" s="39"/>
    </row>
    <row r="44" spans="2:88" x14ac:dyDescent="0.2">
      <c r="B44" s="35"/>
      <c r="C44" s="49"/>
      <c r="D44" s="51"/>
      <c r="E44" s="51"/>
      <c r="F44" s="51"/>
      <c r="G44" s="51"/>
      <c r="H44" s="51"/>
      <c r="I44" s="51"/>
      <c r="J44" s="51"/>
      <c r="K44" s="51"/>
      <c r="L44" s="51"/>
      <c r="M44" s="51"/>
      <c r="N44" s="51"/>
      <c r="O44" s="62"/>
      <c r="P44" s="39"/>
      <c r="R44" s="35"/>
      <c r="S44" s="49"/>
      <c r="T44" s="51"/>
      <c r="U44" s="51"/>
      <c r="V44" s="51"/>
      <c r="W44" s="51"/>
      <c r="X44" s="51"/>
      <c r="Y44" s="51"/>
      <c r="Z44" s="51"/>
      <c r="AA44" s="51"/>
      <c r="AB44" s="51"/>
      <c r="AC44" s="51"/>
      <c r="AD44" s="51"/>
      <c r="AE44" s="62"/>
      <c r="AF44" s="39"/>
      <c r="AH44" s="35"/>
      <c r="AI44" s="49"/>
      <c r="AJ44" s="51"/>
      <c r="AK44" s="51"/>
      <c r="AL44" s="51"/>
      <c r="AM44" s="51"/>
      <c r="AN44" s="51"/>
      <c r="AO44" s="51"/>
      <c r="AP44" s="51"/>
      <c r="AQ44" s="51"/>
      <c r="AR44" s="51"/>
      <c r="AS44" s="51"/>
      <c r="AT44" s="62"/>
      <c r="AU44" s="39"/>
      <c r="AW44" s="35"/>
      <c r="AX44" s="49"/>
      <c r="AY44" s="51"/>
      <c r="AZ44" s="51"/>
      <c r="BA44" s="51"/>
      <c r="BB44" s="51"/>
      <c r="BC44" s="51"/>
      <c r="BD44" s="51"/>
      <c r="BE44" s="51"/>
      <c r="BF44" s="51"/>
      <c r="BG44" s="51"/>
      <c r="BH44" s="62"/>
      <c r="BI44" s="39"/>
      <c r="BL44" s="35"/>
      <c r="BM44" s="49"/>
      <c r="BN44" s="51"/>
      <c r="BO44" s="51"/>
      <c r="BP44" s="1166" t="s">
        <v>852</v>
      </c>
      <c r="BQ44" s="1167" t="s">
        <v>853</v>
      </c>
      <c r="BR44" s="1166" t="s">
        <v>854</v>
      </c>
      <c r="BS44" s="1167" t="s">
        <v>855</v>
      </c>
      <c r="BT44" s="1166" t="s">
        <v>504</v>
      </c>
      <c r="BU44" s="62"/>
      <c r="BV44" s="39"/>
      <c r="BX44" s="35"/>
      <c r="BY44" s="49"/>
      <c r="BZ44" s="51"/>
      <c r="CA44" s="51"/>
      <c r="CB44" s="51"/>
      <c r="CC44" s="51"/>
      <c r="CD44" s="1166" t="s">
        <v>852</v>
      </c>
      <c r="CE44" s="1167" t="s">
        <v>853</v>
      </c>
      <c r="CF44" s="1166" t="s">
        <v>854</v>
      </c>
      <c r="CG44" s="1167" t="s">
        <v>855</v>
      </c>
      <c r="CH44" s="1166" t="s">
        <v>504</v>
      </c>
      <c r="CI44" s="62"/>
      <c r="CJ44" s="39"/>
    </row>
    <row r="45" spans="2:88" x14ac:dyDescent="0.2">
      <c r="B45" s="766"/>
      <c r="C45" s="49"/>
      <c r="D45" s="51">
        <v>1</v>
      </c>
      <c r="E45" s="206" t="str">
        <f t="shared" ref="E45:E50" si="37">IF(ISBLANK(INDEX(HwyTransitModelGroup,D45,2)),"Not Used",INDEX(HwyTransitModelGroup,D45,2))</f>
        <v>SB Off-ramp to Ave 280</v>
      </c>
      <c r="F45" s="1670"/>
      <c r="G45" s="1671">
        <v>1982</v>
      </c>
      <c r="H45" s="1671">
        <v>47</v>
      </c>
      <c r="I45" s="1671"/>
      <c r="J45" s="1671"/>
      <c r="K45" s="1672"/>
      <c r="L45" s="1673">
        <f t="shared" ref="L45:L50" si="38">IFERROR(IF($F11=Hwy,G45/H45,I45/J45),55)</f>
        <v>42.170212765957444</v>
      </c>
      <c r="M45" s="1674">
        <f t="shared" ref="M45:M50" si="39">INDEX(HwyTransitModelGroup,D45,8)</f>
        <v>1.45</v>
      </c>
      <c r="N45" s="1675">
        <f t="shared" ref="N45:N50" si="40">INDEX(HwyTransitModelGroup,D45,9)</f>
        <v>0.24</v>
      </c>
      <c r="O45" s="62"/>
      <c r="P45" s="39"/>
      <c r="R45" s="766"/>
      <c r="S45" s="49"/>
      <c r="T45" s="51">
        <v>1</v>
      </c>
      <c r="U45" s="206" t="str">
        <f t="shared" ref="U45:U50" si="41">IF(ISBLANK(INDEX(HwyTransitModelGroup,T45,2)),"Not Used",INDEX(HwyTransitModelGroup,T45,2))</f>
        <v>SB Off-ramp to Ave 280</v>
      </c>
      <c r="V45" s="1670"/>
      <c r="W45" s="1671">
        <v>2865</v>
      </c>
      <c r="X45" s="1671">
        <v>68</v>
      </c>
      <c r="Y45" s="1671"/>
      <c r="Z45" s="1671"/>
      <c r="AA45" s="1672"/>
      <c r="AB45" s="1673">
        <f t="shared" ref="AB45:AB50" si="42">IFERROR(IF($F11=Hwy,W45/X45,Y45/Z45),55)</f>
        <v>42.132352941176471</v>
      </c>
      <c r="AC45" s="1674">
        <f t="shared" ref="AC45:AC50" si="43">INDEX(HwyTransitModelGroup,T45,8)</f>
        <v>1.45</v>
      </c>
      <c r="AD45" s="1675">
        <f t="shared" ref="AD45:AD50" si="44">INDEX(HwyTransitModelGroup,T45,9)</f>
        <v>0.24</v>
      </c>
      <c r="AE45" s="62"/>
      <c r="AF45" s="39"/>
      <c r="AH45" s="35"/>
      <c r="AI45" s="49"/>
      <c r="AJ45" s="51">
        <v>1</v>
      </c>
      <c r="AK45" s="206" t="str">
        <f t="shared" ref="AK45:AK50" si="45">IF(ISBLANK(INDEX(SafetyGroup,AJ45,2)),"Not Used",INDEX(SafetyGroup,AJ45,2))</f>
        <v>SB Off-ramp to Ave 280</v>
      </c>
      <c r="AL45" s="206"/>
      <c r="AM45" s="1613">
        <f t="shared" ref="AM45:AM50" si="46">G45</f>
        <v>1982</v>
      </c>
      <c r="AN45" s="1614">
        <f t="shared" ref="AN45:AN50" si="47">IFERROR(INDEX(SafetyData1NB,AJ45,2)*(1-INDEX(SafetyGroup,AJ45,6)),0)</f>
        <v>0</v>
      </c>
      <c r="AO45" s="1615">
        <f t="shared" ref="AO45:AO50" si="48">IFERROR(INDEX(SafetyData1NB,AJ45,3)*(1-INDEX(SafetyGroup,AJ45,7)),0)</f>
        <v>0.2208</v>
      </c>
      <c r="AP45" s="1616">
        <f t="shared" ref="AP45:AP50" si="49">IFERROR(INDEX(SafetyData1NB,AJ45,4)*(1-INDEX(SafetyGroup,AJ45,8)),0)</f>
        <v>1.3359000000000001</v>
      </c>
      <c r="AQ45" s="1617">
        <f t="shared" ref="AQ45:AQ50" si="50">AM45*AN45/10^6</f>
        <v>0</v>
      </c>
      <c r="AR45" s="1618">
        <f t="shared" ref="AR45:AR50" si="51">AM45*AO45/10^6</f>
        <v>4.3762560000000001E-4</v>
      </c>
      <c r="AS45" s="1619">
        <f t="shared" ref="AS45:AS50" si="52">AM45*AP45/10^6</f>
        <v>2.6477537999999999E-3</v>
      </c>
      <c r="AT45" s="62"/>
      <c r="AU45" s="39"/>
      <c r="AW45" s="35"/>
      <c r="AX45" s="49"/>
      <c r="AY45" s="51">
        <v>1</v>
      </c>
      <c r="AZ45" s="206" t="str">
        <f t="shared" ref="AZ45:AZ50" si="53">IF(ISBLANK(INDEX(SafetyGroup,AY45,2)),"Not Used",INDEX(SafetyGroup,AY45,2))</f>
        <v>SB Off-ramp to Ave 280</v>
      </c>
      <c r="BA45" s="1613">
        <f t="shared" ref="BA45:BA50" si="54">W45</f>
        <v>2865</v>
      </c>
      <c r="BB45" s="1614">
        <f t="shared" ref="BB45:BB50" si="55">IFERROR(INDEX(SafetyData20NB,AY45,2)*(1-INDEX(SafetyGroup,AY45,6)),0)</f>
        <v>0</v>
      </c>
      <c r="BC45" s="1615">
        <f t="shared" ref="BC45:BC50" si="56">IFERROR(INDEX(SafetyData20NB,AY45,3)*(1-INDEX(SafetyGroup,AY45,7)),0)</f>
        <v>0.2208</v>
      </c>
      <c r="BD45" s="1616">
        <f t="shared" ref="BD45:BD50" si="57">IFERROR(INDEX(SafetyData20NB,AY45,4)*(1-INDEX(SafetyGroup,AY45,8)),0)</f>
        <v>1.3359000000000001</v>
      </c>
      <c r="BE45" s="1617">
        <f t="shared" ref="BE45:BE50" si="58">BA45*BB45/10^6</f>
        <v>0</v>
      </c>
      <c r="BF45" s="1618">
        <f t="shared" ref="BF45:BF50" si="59">BA45*BC45/10^6</f>
        <v>6.3259199999999996E-4</v>
      </c>
      <c r="BG45" s="1619">
        <f t="shared" ref="BG45:BG50" si="60">BA45*BD45/10^6</f>
        <v>3.8273535000000001E-3</v>
      </c>
      <c r="BH45" s="62"/>
      <c r="BI45" s="39"/>
      <c r="BL45" s="35"/>
      <c r="BM45" s="49"/>
      <c r="BN45" s="51">
        <v>1</v>
      </c>
      <c r="BO45" s="206" t="str">
        <f t="shared" ref="BO45:BO50" si="61">IF(ISBLANK(INDEX(ReliabilityGroup,BN45,2)),"Not Used",INDEX(ReliabilityGroup,BN45,2))</f>
        <v>SB Off-ramp to Ave 280</v>
      </c>
      <c r="BP45" s="1584">
        <f t="shared" ref="BP45:BQ50" si="62">G45</f>
        <v>1982</v>
      </c>
      <c r="BQ45" s="1585">
        <f t="shared" si="62"/>
        <v>47</v>
      </c>
      <c r="BR45" s="1586">
        <f t="shared" ref="BR45:BR50" si="63">N11</f>
        <v>0.24</v>
      </c>
      <c r="BS45" s="1587">
        <f t="shared" ref="BS45:BS50" si="64">IFERROR(BP45/BQ45,0)</f>
        <v>42.170212765957444</v>
      </c>
      <c r="BT45" s="1587">
        <f t="shared" ref="BT45:BT50" si="65">IFERROR(BP45/$CM11/$CB11,"")</f>
        <v>3196.7741935483873</v>
      </c>
      <c r="BU45" s="62"/>
      <c r="BV45" s="39"/>
      <c r="BX45" s="35"/>
      <c r="BY45" s="49"/>
      <c r="BZ45" s="51">
        <v>1</v>
      </c>
      <c r="CA45" s="206" t="str">
        <f t="shared" ref="CA45:CA50" si="66">IF(ISBLANK(INDEX(ReliabilityGroup,BZ45,2)),"Not Used",INDEX(ReliabilityGroup,BZ45,2))</f>
        <v>SB Off-ramp to Ave 280</v>
      </c>
      <c r="CB45" s="206"/>
      <c r="CC45" s="206"/>
      <c r="CD45" s="1584">
        <f>W45</f>
        <v>2865</v>
      </c>
      <c r="CE45" s="1584">
        <f>X45</f>
        <v>68</v>
      </c>
      <c r="CF45" s="1586">
        <f t="shared" ref="CF45:CF50" si="67">N11</f>
        <v>0.24</v>
      </c>
      <c r="CG45" s="1587">
        <f t="shared" ref="CG45:CG50" si="68">IFERROR(CD45/CE45,0)</f>
        <v>42.132352941176471</v>
      </c>
      <c r="CH45" s="1587">
        <f t="shared" ref="CH45:CH50" si="69">IFERROR(CD45/$CM11/$CB11,"")</f>
        <v>4620.9677419354839</v>
      </c>
      <c r="CI45" s="62"/>
      <c r="CJ45" s="39"/>
    </row>
    <row r="46" spans="2:88" x14ac:dyDescent="0.2">
      <c r="B46" s="766"/>
      <c r="C46" s="49"/>
      <c r="D46" s="51">
        <v>2</v>
      </c>
      <c r="E46" s="206" t="str">
        <f t="shared" si="37"/>
        <v>SB On-ramp from Ave 280</v>
      </c>
      <c r="F46" s="1676"/>
      <c r="G46" s="1677">
        <v>1515</v>
      </c>
      <c r="H46" s="1677">
        <v>28</v>
      </c>
      <c r="I46" s="1677"/>
      <c r="J46" s="1677"/>
      <c r="K46" s="1678"/>
      <c r="L46" s="1679">
        <f t="shared" si="38"/>
        <v>54.107142857142854</v>
      </c>
      <c r="M46" s="1680">
        <f t="shared" si="39"/>
        <v>1.45</v>
      </c>
      <c r="N46" s="1681">
        <f t="shared" si="40"/>
        <v>0.24</v>
      </c>
      <c r="O46" s="62"/>
      <c r="P46" s="39"/>
      <c r="R46" s="766"/>
      <c r="S46" s="49"/>
      <c r="T46" s="51">
        <v>2</v>
      </c>
      <c r="U46" s="206" t="str">
        <f t="shared" si="41"/>
        <v>SB On-ramp from Ave 280</v>
      </c>
      <c r="V46" s="1676"/>
      <c r="W46" s="1677">
        <v>2096</v>
      </c>
      <c r="X46" s="1677">
        <v>38</v>
      </c>
      <c r="Y46" s="1677"/>
      <c r="Z46" s="1677"/>
      <c r="AA46" s="1678"/>
      <c r="AB46" s="1679">
        <f t="shared" si="42"/>
        <v>55.157894736842103</v>
      </c>
      <c r="AC46" s="1680">
        <f t="shared" si="43"/>
        <v>1.45</v>
      </c>
      <c r="AD46" s="1681">
        <f t="shared" si="44"/>
        <v>0.24</v>
      </c>
      <c r="AE46" s="62"/>
      <c r="AF46" s="39"/>
      <c r="AH46" s="35"/>
      <c r="AI46" s="49"/>
      <c r="AJ46" s="51">
        <v>2</v>
      </c>
      <c r="AK46" s="206" t="str">
        <f t="shared" si="45"/>
        <v>SB On-ramp from Ave 280</v>
      </c>
      <c r="AL46" s="206"/>
      <c r="AM46" s="1620">
        <f t="shared" si="46"/>
        <v>1515</v>
      </c>
      <c r="AN46" s="1621">
        <f t="shared" si="47"/>
        <v>0</v>
      </c>
      <c r="AO46" s="1622">
        <f t="shared" si="48"/>
        <v>0.1056</v>
      </c>
      <c r="AP46" s="1623">
        <f t="shared" si="49"/>
        <v>0.42339999999999994</v>
      </c>
      <c r="AQ46" s="1624">
        <f t="shared" si="50"/>
        <v>0</v>
      </c>
      <c r="AR46" s="1625">
        <f t="shared" si="51"/>
        <v>1.5998400000000001E-4</v>
      </c>
      <c r="AS46" s="1626">
        <f t="shared" si="52"/>
        <v>6.4145099999999991E-4</v>
      </c>
      <c r="AT46" s="62"/>
      <c r="AU46" s="39"/>
      <c r="AW46" s="35"/>
      <c r="AX46" s="49"/>
      <c r="AY46" s="51">
        <v>2</v>
      </c>
      <c r="AZ46" s="206" t="str">
        <f t="shared" si="53"/>
        <v>SB On-ramp from Ave 280</v>
      </c>
      <c r="BA46" s="1620">
        <f t="shared" si="54"/>
        <v>2096</v>
      </c>
      <c r="BB46" s="1621">
        <f t="shared" si="55"/>
        <v>0</v>
      </c>
      <c r="BC46" s="1622">
        <f t="shared" si="56"/>
        <v>0.1056</v>
      </c>
      <c r="BD46" s="1623">
        <f t="shared" si="57"/>
        <v>0.42339999999999994</v>
      </c>
      <c r="BE46" s="1624">
        <f t="shared" si="58"/>
        <v>0</v>
      </c>
      <c r="BF46" s="1625">
        <f t="shared" si="59"/>
        <v>2.2133760000000001E-4</v>
      </c>
      <c r="BG46" s="1626">
        <f t="shared" si="60"/>
        <v>8.8744639999999988E-4</v>
      </c>
      <c r="BH46" s="62"/>
      <c r="BI46" s="39"/>
      <c r="BL46" s="35"/>
      <c r="BM46" s="49"/>
      <c r="BN46" s="51">
        <v>2</v>
      </c>
      <c r="BO46" s="206" t="str">
        <f t="shared" si="61"/>
        <v>SB On-ramp from Ave 280</v>
      </c>
      <c r="BP46" s="1588">
        <f t="shared" si="62"/>
        <v>1515</v>
      </c>
      <c r="BQ46" s="1589">
        <f t="shared" si="62"/>
        <v>28</v>
      </c>
      <c r="BR46" s="1590">
        <f t="shared" si="63"/>
        <v>0.24</v>
      </c>
      <c r="BS46" s="1591">
        <f t="shared" si="64"/>
        <v>54.107142857142854</v>
      </c>
      <c r="BT46" s="1591">
        <f t="shared" si="65"/>
        <v>3156.25</v>
      </c>
      <c r="BU46" s="62"/>
      <c r="BV46" s="39"/>
      <c r="BX46" s="35"/>
      <c r="BY46" s="49"/>
      <c r="BZ46" s="51">
        <v>2</v>
      </c>
      <c r="CA46" s="206" t="str">
        <f t="shared" si="66"/>
        <v>SB On-ramp from Ave 280</v>
      </c>
      <c r="CB46" s="206"/>
      <c r="CC46" s="206"/>
      <c r="CD46" s="1588">
        <f>W46</f>
        <v>2096</v>
      </c>
      <c r="CE46" s="1588">
        <f>X46</f>
        <v>38</v>
      </c>
      <c r="CF46" s="1590">
        <f t="shared" si="67"/>
        <v>0.24</v>
      </c>
      <c r="CG46" s="1591">
        <f t="shared" si="68"/>
        <v>55.157894736842103</v>
      </c>
      <c r="CH46" s="1591">
        <f t="shared" si="69"/>
        <v>4366.666666666667</v>
      </c>
      <c r="CI46" s="62"/>
      <c r="CJ46" s="39"/>
    </row>
    <row r="47" spans="2:88" x14ac:dyDescent="0.2">
      <c r="B47" s="766"/>
      <c r="C47" s="49"/>
      <c r="D47" s="51">
        <v>3</v>
      </c>
      <c r="E47" s="206" t="str">
        <f t="shared" si="37"/>
        <v>NB Off-ramp to Ave 280</v>
      </c>
      <c r="F47" s="1676"/>
      <c r="G47" s="1677">
        <v>1500</v>
      </c>
      <c r="H47" s="1677">
        <v>32</v>
      </c>
      <c r="I47" s="1677"/>
      <c r="J47" s="1677"/>
      <c r="K47" s="1678"/>
      <c r="L47" s="1679">
        <f t="shared" si="38"/>
        <v>46.875</v>
      </c>
      <c r="M47" s="1680">
        <f t="shared" si="39"/>
        <v>1.45</v>
      </c>
      <c r="N47" s="1681">
        <f t="shared" si="40"/>
        <v>0.24</v>
      </c>
      <c r="O47" s="62"/>
      <c r="P47" s="39"/>
      <c r="R47" s="766"/>
      <c r="S47" s="49"/>
      <c r="T47" s="51">
        <v>3</v>
      </c>
      <c r="U47" s="206" t="str">
        <f t="shared" si="41"/>
        <v>NB Off-ramp to Ave 280</v>
      </c>
      <c r="V47" s="1676"/>
      <c r="W47" s="1677">
        <v>2075</v>
      </c>
      <c r="X47" s="1677">
        <v>44</v>
      </c>
      <c r="Y47" s="1677"/>
      <c r="Z47" s="1677"/>
      <c r="AA47" s="1678"/>
      <c r="AB47" s="1679">
        <f t="shared" si="42"/>
        <v>47.159090909090907</v>
      </c>
      <c r="AC47" s="1680">
        <f t="shared" si="43"/>
        <v>1.45</v>
      </c>
      <c r="AD47" s="1681">
        <f t="shared" si="44"/>
        <v>0.24</v>
      </c>
      <c r="AE47" s="62"/>
      <c r="AF47" s="39"/>
      <c r="AH47" s="35"/>
      <c r="AI47" s="49"/>
      <c r="AJ47" s="51">
        <v>3</v>
      </c>
      <c r="AK47" s="206" t="str">
        <f t="shared" si="45"/>
        <v>NB Off-ramp to Ave 280</v>
      </c>
      <c r="AL47" s="206"/>
      <c r="AM47" s="1620">
        <f t="shared" si="46"/>
        <v>1500</v>
      </c>
      <c r="AN47" s="1621">
        <f t="shared" si="47"/>
        <v>0</v>
      </c>
      <c r="AO47" s="1622">
        <f t="shared" si="48"/>
        <v>3.3600000000000005E-2</v>
      </c>
      <c r="AP47" s="1623">
        <f t="shared" si="49"/>
        <v>0.21169999999999997</v>
      </c>
      <c r="AQ47" s="1624">
        <f t="shared" si="50"/>
        <v>0</v>
      </c>
      <c r="AR47" s="1625">
        <f t="shared" si="51"/>
        <v>5.0400000000000005E-5</v>
      </c>
      <c r="AS47" s="1626">
        <f t="shared" si="52"/>
        <v>3.1754999999999994E-4</v>
      </c>
      <c r="AT47" s="62"/>
      <c r="AU47" s="39"/>
      <c r="AW47" s="35"/>
      <c r="AX47" s="49"/>
      <c r="AY47" s="51">
        <v>3</v>
      </c>
      <c r="AZ47" s="206" t="str">
        <f t="shared" si="53"/>
        <v>NB Off-ramp to Ave 280</v>
      </c>
      <c r="BA47" s="1620">
        <f t="shared" si="54"/>
        <v>2075</v>
      </c>
      <c r="BB47" s="1621">
        <f t="shared" si="55"/>
        <v>0</v>
      </c>
      <c r="BC47" s="1622">
        <f t="shared" si="56"/>
        <v>3.3600000000000005E-2</v>
      </c>
      <c r="BD47" s="1623">
        <f t="shared" si="57"/>
        <v>0.21169999999999997</v>
      </c>
      <c r="BE47" s="1624">
        <f t="shared" si="58"/>
        <v>0</v>
      </c>
      <c r="BF47" s="1625">
        <f t="shared" si="59"/>
        <v>6.9720000000000017E-5</v>
      </c>
      <c r="BG47" s="1626">
        <f t="shared" si="60"/>
        <v>4.3927749999999992E-4</v>
      </c>
      <c r="BH47" s="62"/>
      <c r="BI47" s="39"/>
      <c r="BL47" s="35"/>
      <c r="BM47" s="49"/>
      <c r="BN47" s="51">
        <v>3</v>
      </c>
      <c r="BO47" s="206" t="str">
        <f t="shared" si="61"/>
        <v>NB Off-ramp to Ave 280</v>
      </c>
      <c r="BP47" s="1588">
        <f t="shared" si="62"/>
        <v>1500</v>
      </c>
      <c r="BQ47" s="1589">
        <f t="shared" si="62"/>
        <v>32</v>
      </c>
      <c r="BR47" s="1590">
        <f t="shared" si="63"/>
        <v>0.24</v>
      </c>
      <c r="BS47" s="1591">
        <f t="shared" si="64"/>
        <v>46.875</v>
      </c>
      <c r="BT47" s="1591">
        <f t="shared" si="65"/>
        <v>3125</v>
      </c>
      <c r="BU47" s="62"/>
      <c r="BV47" s="39"/>
      <c r="BX47" s="35"/>
      <c r="BY47" s="49"/>
      <c r="BZ47" s="51">
        <v>3</v>
      </c>
      <c r="CA47" s="206" t="str">
        <f t="shared" si="66"/>
        <v>NB Off-ramp to Ave 280</v>
      </c>
      <c r="CB47" s="206"/>
      <c r="CC47" s="206"/>
      <c r="CD47" s="1588">
        <f t="shared" ref="CD47:CE49" si="70">W47</f>
        <v>2075</v>
      </c>
      <c r="CE47" s="1588">
        <f t="shared" si="70"/>
        <v>44</v>
      </c>
      <c r="CF47" s="1590">
        <f t="shared" si="67"/>
        <v>0.24</v>
      </c>
      <c r="CG47" s="1591">
        <f t="shared" si="68"/>
        <v>47.159090909090907</v>
      </c>
      <c r="CH47" s="1591">
        <f t="shared" si="69"/>
        <v>4322.916666666667</v>
      </c>
      <c r="CI47" s="62"/>
      <c r="CJ47" s="39"/>
    </row>
    <row r="48" spans="2:88" x14ac:dyDescent="0.2">
      <c r="B48" s="766"/>
      <c r="C48" s="49"/>
      <c r="D48" s="51">
        <v>4</v>
      </c>
      <c r="E48" s="206" t="str">
        <f t="shared" si="37"/>
        <v>NB On-ramp from Ave 280</v>
      </c>
      <c r="F48" s="1676"/>
      <c r="G48" s="1677">
        <v>2072</v>
      </c>
      <c r="H48" s="1677">
        <v>27</v>
      </c>
      <c r="I48" s="1677"/>
      <c r="J48" s="1677"/>
      <c r="K48" s="1678"/>
      <c r="L48" s="1679">
        <f t="shared" si="38"/>
        <v>76.740740740740748</v>
      </c>
      <c r="M48" s="1680">
        <f t="shared" si="39"/>
        <v>1.45</v>
      </c>
      <c r="N48" s="1681">
        <f t="shared" si="40"/>
        <v>0.24</v>
      </c>
      <c r="O48" s="62"/>
      <c r="P48" s="39"/>
      <c r="R48" s="766"/>
      <c r="S48" s="49"/>
      <c r="T48" s="51">
        <v>4</v>
      </c>
      <c r="U48" s="206" t="str">
        <f t="shared" si="41"/>
        <v>NB On-ramp from Ave 280</v>
      </c>
      <c r="V48" s="1676"/>
      <c r="W48" s="1677">
        <v>2604</v>
      </c>
      <c r="X48" s="1677">
        <v>35</v>
      </c>
      <c r="Y48" s="1677"/>
      <c r="Z48" s="1677"/>
      <c r="AA48" s="1678"/>
      <c r="AB48" s="1679">
        <f t="shared" si="42"/>
        <v>74.400000000000006</v>
      </c>
      <c r="AC48" s="1680">
        <f t="shared" si="43"/>
        <v>1.45</v>
      </c>
      <c r="AD48" s="1681">
        <f t="shared" si="44"/>
        <v>0.24</v>
      </c>
      <c r="AE48" s="62"/>
      <c r="AF48" s="39"/>
      <c r="AH48" s="35"/>
      <c r="AI48" s="49"/>
      <c r="AJ48" s="51">
        <v>4</v>
      </c>
      <c r="AK48" s="206" t="str">
        <f t="shared" si="45"/>
        <v>NB On-ramp from Ave 280</v>
      </c>
      <c r="AL48" s="206"/>
      <c r="AM48" s="1620">
        <f t="shared" si="46"/>
        <v>2072</v>
      </c>
      <c r="AN48" s="1621">
        <f t="shared" si="47"/>
        <v>0</v>
      </c>
      <c r="AO48" s="1622">
        <f t="shared" si="48"/>
        <v>0</v>
      </c>
      <c r="AP48" s="1623">
        <f t="shared" si="49"/>
        <v>0.33579999999999999</v>
      </c>
      <c r="AQ48" s="1624">
        <f t="shared" si="50"/>
        <v>0</v>
      </c>
      <c r="AR48" s="1625">
        <f t="shared" si="51"/>
        <v>0</v>
      </c>
      <c r="AS48" s="1626">
        <f t="shared" si="52"/>
        <v>6.9577760000000006E-4</v>
      </c>
      <c r="AT48" s="62"/>
      <c r="AU48" s="39"/>
      <c r="AW48" s="35"/>
      <c r="AX48" s="49"/>
      <c r="AY48" s="51">
        <v>4</v>
      </c>
      <c r="AZ48" s="206" t="str">
        <f t="shared" si="53"/>
        <v>NB On-ramp from Ave 280</v>
      </c>
      <c r="BA48" s="1620">
        <f t="shared" si="54"/>
        <v>2604</v>
      </c>
      <c r="BB48" s="1621">
        <f t="shared" si="55"/>
        <v>0</v>
      </c>
      <c r="BC48" s="1622">
        <f t="shared" si="56"/>
        <v>0</v>
      </c>
      <c r="BD48" s="1623">
        <f t="shared" si="57"/>
        <v>0.33579999999999999</v>
      </c>
      <c r="BE48" s="1624">
        <f t="shared" si="58"/>
        <v>0</v>
      </c>
      <c r="BF48" s="1625">
        <f t="shared" si="59"/>
        <v>0</v>
      </c>
      <c r="BG48" s="1626">
        <f t="shared" si="60"/>
        <v>8.744232E-4</v>
      </c>
      <c r="BH48" s="62"/>
      <c r="BI48" s="39"/>
      <c r="BL48" s="35"/>
      <c r="BM48" s="49"/>
      <c r="BN48" s="51">
        <v>4</v>
      </c>
      <c r="BO48" s="206" t="str">
        <f t="shared" si="61"/>
        <v>NB On-ramp from Ave 280</v>
      </c>
      <c r="BP48" s="1588">
        <f t="shared" si="62"/>
        <v>2072</v>
      </c>
      <c r="BQ48" s="1589">
        <f t="shared" si="62"/>
        <v>27</v>
      </c>
      <c r="BR48" s="1590">
        <f t="shared" si="63"/>
        <v>0.24</v>
      </c>
      <c r="BS48" s="1591">
        <f t="shared" si="64"/>
        <v>76.740740740740748</v>
      </c>
      <c r="BT48" s="1591">
        <f t="shared" si="65"/>
        <v>3572.4137931034484</v>
      </c>
      <c r="BU48" s="62"/>
      <c r="BV48" s="39"/>
      <c r="BX48" s="35"/>
      <c r="BY48" s="49"/>
      <c r="BZ48" s="51">
        <v>4</v>
      </c>
      <c r="CA48" s="206" t="str">
        <f t="shared" si="66"/>
        <v>NB On-ramp from Ave 280</v>
      </c>
      <c r="CB48" s="206"/>
      <c r="CC48" s="206"/>
      <c r="CD48" s="1588">
        <f t="shared" si="70"/>
        <v>2604</v>
      </c>
      <c r="CE48" s="1588">
        <f t="shared" si="70"/>
        <v>35</v>
      </c>
      <c r="CF48" s="1590">
        <f t="shared" si="67"/>
        <v>0.24</v>
      </c>
      <c r="CG48" s="1591">
        <f t="shared" si="68"/>
        <v>74.400000000000006</v>
      </c>
      <c r="CH48" s="1591">
        <f t="shared" si="69"/>
        <v>4489.6551724137935</v>
      </c>
      <c r="CI48" s="62"/>
      <c r="CJ48" s="39"/>
    </row>
    <row r="49" spans="2:89" x14ac:dyDescent="0.2">
      <c r="B49" s="766"/>
      <c r="C49" s="49"/>
      <c r="D49" s="51">
        <v>5</v>
      </c>
      <c r="E49" s="206" t="str">
        <f t="shared" si="37"/>
        <v>NB Mainline</v>
      </c>
      <c r="F49" s="1676"/>
      <c r="G49" s="1677">
        <v>47009</v>
      </c>
      <c r="H49" s="1677">
        <v>676</v>
      </c>
      <c r="I49" s="1677"/>
      <c r="J49" s="1677"/>
      <c r="K49" s="1678"/>
      <c r="L49" s="1679">
        <f t="shared" si="38"/>
        <v>69.539940828402365</v>
      </c>
      <c r="M49" s="1680">
        <f t="shared" si="39"/>
        <v>1.45</v>
      </c>
      <c r="N49" s="1681">
        <f t="shared" si="40"/>
        <v>0.24</v>
      </c>
      <c r="O49" s="62"/>
      <c r="P49" s="39"/>
      <c r="R49" s="766"/>
      <c r="S49" s="49"/>
      <c r="T49" s="51">
        <v>5</v>
      </c>
      <c r="U49" s="206" t="str">
        <f t="shared" si="41"/>
        <v>NB Mainline</v>
      </c>
      <c r="V49" s="1676"/>
      <c r="W49" s="1677">
        <v>56693</v>
      </c>
      <c r="X49" s="1677">
        <v>818</v>
      </c>
      <c r="Y49" s="1677"/>
      <c r="Z49" s="1677"/>
      <c r="AA49" s="1678"/>
      <c r="AB49" s="1679">
        <f t="shared" si="42"/>
        <v>69.306845965770165</v>
      </c>
      <c r="AC49" s="1680">
        <f t="shared" si="43"/>
        <v>1.45</v>
      </c>
      <c r="AD49" s="1681">
        <f t="shared" si="44"/>
        <v>0.24</v>
      </c>
      <c r="AE49" s="62"/>
      <c r="AF49" s="39"/>
      <c r="AH49" s="35"/>
      <c r="AI49" s="49"/>
      <c r="AJ49" s="51">
        <v>5</v>
      </c>
      <c r="AK49" s="206" t="str">
        <f t="shared" si="45"/>
        <v>NB Mainline</v>
      </c>
      <c r="AL49" s="206"/>
      <c r="AM49" s="1620">
        <f t="shared" si="46"/>
        <v>47009</v>
      </c>
      <c r="AN49" s="1621">
        <f t="shared" si="47"/>
        <v>0</v>
      </c>
      <c r="AO49" s="1622">
        <f t="shared" si="48"/>
        <v>0.15000000000000002</v>
      </c>
      <c r="AP49" s="1623">
        <f t="shared" si="49"/>
        <v>0.51</v>
      </c>
      <c r="AQ49" s="1624">
        <f t="shared" si="50"/>
        <v>0</v>
      </c>
      <c r="AR49" s="1625">
        <f t="shared" si="51"/>
        <v>7.0513500000000014E-3</v>
      </c>
      <c r="AS49" s="1626">
        <f t="shared" si="52"/>
        <v>2.397459E-2</v>
      </c>
      <c r="AT49" s="62"/>
      <c r="AU49" s="39"/>
      <c r="AW49" s="35"/>
      <c r="AX49" s="49"/>
      <c r="AY49" s="51">
        <v>5</v>
      </c>
      <c r="AZ49" s="206" t="str">
        <f t="shared" si="53"/>
        <v>NB Mainline</v>
      </c>
      <c r="BA49" s="1620">
        <f t="shared" si="54"/>
        <v>56693</v>
      </c>
      <c r="BB49" s="1621">
        <f t="shared" si="55"/>
        <v>0</v>
      </c>
      <c r="BC49" s="1622">
        <f t="shared" si="56"/>
        <v>0.15000000000000002</v>
      </c>
      <c r="BD49" s="1623">
        <f t="shared" si="57"/>
        <v>0.51</v>
      </c>
      <c r="BE49" s="1624">
        <f t="shared" si="58"/>
        <v>0</v>
      </c>
      <c r="BF49" s="1625">
        <f t="shared" si="59"/>
        <v>8.5039500000000014E-3</v>
      </c>
      <c r="BG49" s="1626">
        <f t="shared" si="60"/>
        <v>2.891343E-2</v>
      </c>
      <c r="BH49" s="62"/>
      <c r="BI49" s="39"/>
      <c r="BL49" s="35"/>
      <c r="BM49" s="49"/>
      <c r="BN49" s="51">
        <v>5</v>
      </c>
      <c r="BO49" s="206" t="str">
        <f t="shared" si="61"/>
        <v>NB Mainline</v>
      </c>
      <c r="BP49" s="1588">
        <f t="shared" si="62"/>
        <v>47009</v>
      </c>
      <c r="BQ49" s="1589">
        <f t="shared" si="62"/>
        <v>676</v>
      </c>
      <c r="BR49" s="1590">
        <f t="shared" si="63"/>
        <v>0.24</v>
      </c>
      <c r="BS49" s="1591">
        <f t="shared" si="64"/>
        <v>69.539940828402365</v>
      </c>
      <c r="BT49" s="1591">
        <f t="shared" si="65"/>
        <v>5980.7888040712469</v>
      </c>
      <c r="BU49" s="62"/>
      <c r="BV49" s="39"/>
      <c r="BX49" s="35"/>
      <c r="BY49" s="49"/>
      <c r="BZ49" s="51">
        <v>5</v>
      </c>
      <c r="CA49" s="206" t="str">
        <f t="shared" si="66"/>
        <v>NB Mainline</v>
      </c>
      <c r="CB49" s="206"/>
      <c r="CC49" s="206"/>
      <c r="CD49" s="1588">
        <f t="shared" si="70"/>
        <v>56693</v>
      </c>
      <c r="CE49" s="1588">
        <f t="shared" si="70"/>
        <v>818</v>
      </c>
      <c r="CF49" s="1590">
        <f t="shared" si="67"/>
        <v>0.24</v>
      </c>
      <c r="CG49" s="1591">
        <f t="shared" si="68"/>
        <v>69.306845965770165</v>
      </c>
      <c r="CH49" s="1591">
        <f t="shared" si="69"/>
        <v>7212.8498727735368</v>
      </c>
      <c r="CI49" s="62"/>
      <c r="CJ49" s="39"/>
    </row>
    <row r="50" spans="2:89" x14ac:dyDescent="0.2">
      <c r="B50" s="766"/>
      <c r="C50" s="49"/>
      <c r="D50" s="51">
        <v>6</v>
      </c>
      <c r="E50" s="206" t="str">
        <f t="shared" si="37"/>
        <v>SB Mainline</v>
      </c>
      <c r="F50" s="1682"/>
      <c r="G50" s="1683">
        <v>43401</v>
      </c>
      <c r="H50" s="1683">
        <v>624</v>
      </c>
      <c r="I50" s="1683"/>
      <c r="J50" s="1683"/>
      <c r="K50" s="1684"/>
      <c r="L50" s="1685">
        <f t="shared" si="38"/>
        <v>69.552884615384613</v>
      </c>
      <c r="M50" s="1686">
        <f t="shared" si="39"/>
        <v>1.45</v>
      </c>
      <c r="N50" s="1687">
        <f t="shared" si="40"/>
        <v>0.24</v>
      </c>
      <c r="O50" s="62"/>
      <c r="P50" s="39"/>
      <c r="R50" s="766"/>
      <c r="S50" s="49"/>
      <c r="T50" s="51">
        <v>6</v>
      </c>
      <c r="U50" s="206" t="str">
        <f t="shared" si="41"/>
        <v>SB Mainline</v>
      </c>
      <c r="V50" s="1682"/>
      <c r="W50" s="1683">
        <v>53301</v>
      </c>
      <c r="X50" s="1683">
        <v>769</v>
      </c>
      <c r="Y50" s="1683"/>
      <c r="Z50" s="1683"/>
      <c r="AA50" s="1684"/>
      <c r="AB50" s="1685">
        <f t="shared" si="42"/>
        <v>69.312093628088419</v>
      </c>
      <c r="AC50" s="1686">
        <f t="shared" si="43"/>
        <v>1.45</v>
      </c>
      <c r="AD50" s="1687">
        <f t="shared" si="44"/>
        <v>0.24</v>
      </c>
      <c r="AE50" s="62"/>
      <c r="AF50" s="39"/>
      <c r="AH50" s="35"/>
      <c r="AI50" s="49"/>
      <c r="AJ50" s="51">
        <v>6</v>
      </c>
      <c r="AK50" s="206" t="str">
        <f t="shared" si="45"/>
        <v>SB Mainline</v>
      </c>
      <c r="AL50" s="206"/>
      <c r="AM50" s="1627">
        <f t="shared" si="46"/>
        <v>43401</v>
      </c>
      <c r="AN50" s="1628">
        <f t="shared" si="47"/>
        <v>1.0500000000000001E-2</v>
      </c>
      <c r="AO50" s="1629">
        <f t="shared" si="48"/>
        <v>0.16500000000000001</v>
      </c>
      <c r="AP50" s="1630">
        <f t="shared" si="49"/>
        <v>0.50250000000000006</v>
      </c>
      <c r="AQ50" s="1631">
        <f t="shared" si="50"/>
        <v>4.5571050000000002E-4</v>
      </c>
      <c r="AR50" s="1632">
        <f t="shared" si="51"/>
        <v>7.1611649999999997E-3</v>
      </c>
      <c r="AS50" s="1633">
        <f t="shared" si="52"/>
        <v>2.1809002500000001E-2</v>
      </c>
      <c r="AT50" s="62"/>
      <c r="AU50" s="39"/>
      <c r="AW50" s="35"/>
      <c r="AX50" s="49"/>
      <c r="AY50" s="51">
        <v>6</v>
      </c>
      <c r="AZ50" s="206" t="str">
        <f t="shared" si="53"/>
        <v>SB Mainline</v>
      </c>
      <c r="BA50" s="1627">
        <f t="shared" si="54"/>
        <v>53301</v>
      </c>
      <c r="BB50" s="1628">
        <f t="shared" si="55"/>
        <v>1.0500000000000001E-2</v>
      </c>
      <c r="BC50" s="1629">
        <f t="shared" si="56"/>
        <v>0.16500000000000001</v>
      </c>
      <c r="BD50" s="1630">
        <f t="shared" si="57"/>
        <v>0.50250000000000006</v>
      </c>
      <c r="BE50" s="1631">
        <f t="shared" si="58"/>
        <v>5.5966050000000008E-4</v>
      </c>
      <c r="BF50" s="1632">
        <f t="shared" si="59"/>
        <v>8.7946650000000001E-3</v>
      </c>
      <c r="BG50" s="1633">
        <f t="shared" si="60"/>
        <v>2.6783752500000001E-2</v>
      </c>
      <c r="BH50" s="62"/>
      <c r="BI50" s="39"/>
      <c r="BL50" s="35"/>
      <c r="BM50" s="49"/>
      <c r="BN50" s="51">
        <v>6</v>
      </c>
      <c r="BO50" s="206" t="str">
        <f t="shared" si="61"/>
        <v>SB Mainline</v>
      </c>
      <c r="BP50" s="1592">
        <f t="shared" si="62"/>
        <v>43401</v>
      </c>
      <c r="BQ50" s="1593">
        <f t="shared" si="62"/>
        <v>624</v>
      </c>
      <c r="BR50" s="1590">
        <f t="shared" si="63"/>
        <v>0.24</v>
      </c>
      <c r="BS50" s="1594">
        <f t="shared" si="64"/>
        <v>69.552884615384613</v>
      </c>
      <c r="BT50" s="1594">
        <f t="shared" si="65"/>
        <v>5521.7557251908393</v>
      </c>
      <c r="BU50" s="62"/>
      <c r="BV50" s="39"/>
      <c r="BX50" s="35"/>
      <c r="BY50" s="49"/>
      <c r="BZ50" s="51">
        <v>6</v>
      </c>
      <c r="CA50" s="206" t="str">
        <f t="shared" si="66"/>
        <v>SB Mainline</v>
      </c>
      <c r="CB50" s="206"/>
      <c r="CC50" s="206"/>
      <c r="CD50" s="1592">
        <f>W50</f>
        <v>53301</v>
      </c>
      <c r="CE50" s="1592">
        <f>X50</f>
        <v>769</v>
      </c>
      <c r="CF50" s="1590">
        <f t="shared" si="67"/>
        <v>0.24</v>
      </c>
      <c r="CG50" s="1594">
        <f t="shared" si="68"/>
        <v>69.312093628088419</v>
      </c>
      <c r="CH50" s="1594">
        <f t="shared" si="69"/>
        <v>6781.2977099236641</v>
      </c>
      <c r="CI50" s="62"/>
      <c r="CJ50" s="39"/>
    </row>
    <row r="51" spans="2:89" x14ac:dyDescent="0.2">
      <c r="B51" s="35"/>
      <c r="C51" s="49"/>
      <c r="D51" s="51"/>
      <c r="E51" s="206" t="s">
        <v>124</v>
      </c>
      <c r="F51" s="749">
        <f>SUM(F45:F50)</f>
        <v>0</v>
      </c>
      <c r="G51" s="750">
        <f>SUM(G45:G50)</f>
        <v>97479</v>
      </c>
      <c r="H51" s="750">
        <f>SUM(H45:H50)</f>
        <v>1434</v>
      </c>
      <c r="I51" s="750">
        <f>SUM(I45:I50)</f>
        <v>0</v>
      </c>
      <c r="J51" s="751">
        <f>SUM(J45:J50)</f>
        <v>0</v>
      </c>
      <c r="K51" s="752"/>
      <c r="L51" s="207"/>
      <c r="M51" s="207"/>
      <c r="N51" s="207"/>
      <c r="O51" s="62"/>
      <c r="P51" s="39"/>
      <c r="R51" s="35"/>
      <c r="S51" s="49"/>
      <c r="T51" s="51"/>
      <c r="U51" s="206" t="s">
        <v>124</v>
      </c>
      <c r="V51" s="749">
        <f>SUM(V45:V50)</f>
        <v>0</v>
      </c>
      <c r="W51" s="750">
        <f>SUM(W45:W50)</f>
        <v>119634</v>
      </c>
      <c r="X51" s="750">
        <f>SUM(X45:X50)</f>
        <v>1772</v>
      </c>
      <c r="Y51" s="750">
        <f>SUM(Y45:Y50)</f>
        <v>0</v>
      </c>
      <c r="Z51" s="751">
        <f>SUM(Z45:Z50)</f>
        <v>0</v>
      </c>
      <c r="AA51" s="752"/>
      <c r="AB51" s="207"/>
      <c r="AC51" s="207"/>
      <c r="AD51" s="207"/>
      <c r="AE51" s="62"/>
      <c r="AF51" s="39"/>
      <c r="AH51" s="35"/>
      <c r="AI51" s="49"/>
      <c r="AJ51" s="51"/>
      <c r="AK51" s="206" t="s">
        <v>124</v>
      </c>
      <c r="AL51" s="206"/>
      <c r="AM51" s="738">
        <f>SUM(AM45:AM50)</f>
        <v>97479</v>
      </c>
      <c r="AN51" s="207"/>
      <c r="AO51" s="207"/>
      <c r="AP51" s="207"/>
      <c r="AQ51" s="739">
        <f>SUM(AQ45:AQ50)</f>
        <v>4.5571050000000002E-4</v>
      </c>
      <c r="AR51" s="721">
        <f>SUM(AR45:AR50)</f>
        <v>1.4860524600000001E-2</v>
      </c>
      <c r="AS51" s="722">
        <f>SUM(AS45:AS50)</f>
        <v>5.0086124900000001E-2</v>
      </c>
      <c r="AT51" s="62"/>
      <c r="AU51" s="39"/>
      <c r="AW51" s="35"/>
      <c r="AX51" s="49"/>
      <c r="AY51" s="51"/>
      <c r="AZ51" s="206" t="s">
        <v>124</v>
      </c>
      <c r="BA51" s="738">
        <f>SUM(BA45:BA50)</f>
        <v>119634</v>
      </c>
      <c r="BB51" s="207"/>
      <c r="BC51" s="207"/>
      <c r="BD51" s="207"/>
      <c r="BE51" s="739">
        <f>SUM(BE45:BE50)</f>
        <v>5.5966050000000008E-4</v>
      </c>
      <c r="BF51" s="721">
        <f>SUM(BF45:BF50)</f>
        <v>1.8222264600000003E-2</v>
      </c>
      <c r="BG51" s="722">
        <f>SUM(BG45:BG50)</f>
        <v>6.1725683100000005E-2</v>
      </c>
      <c r="BH51" s="62"/>
      <c r="BI51" s="39"/>
      <c r="BL51" s="35"/>
      <c r="BM51" s="49"/>
      <c r="BN51" s="51"/>
      <c r="BO51" s="206" t="s">
        <v>124</v>
      </c>
      <c r="BP51" s="738">
        <f>SUM(BP45:BP50)</f>
        <v>97479</v>
      </c>
      <c r="BQ51" s="738">
        <f>SUM(BQ45:BQ50)</f>
        <v>1434</v>
      </c>
      <c r="BR51" s="1194"/>
      <c r="BS51" s="1195"/>
      <c r="BT51" s="738">
        <f>SUM(BT45:BT50)</f>
        <v>24552.982515913922</v>
      </c>
      <c r="BU51" s="62"/>
      <c r="BV51" s="39"/>
      <c r="BX51" s="35"/>
      <c r="BY51" s="49"/>
      <c r="BZ51" s="51"/>
      <c r="CA51" s="206" t="s">
        <v>124</v>
      </c>
      <c r="CB51" s="206"/>
      <c r="CC51" s="206"/>
      <c r="CD51" s="738">
        <f>SUM(CD45:CD50)</f>
        <v>119634</v>
      </c>
      <c r="CE51" s="738">
        <f>SUM(CE45:CE50)</f>
        <v>1772</v>
      </c>
      <c r="CF51" s="1194"/>
      <c r="CG51" s="1195"/>
      <c r="CH51" s="738">
        <f>SUM(CH45:CH50)</f>
        <v>31794.353830379809</v>
      </c>
      <c r="CI51" s="62"/>
      <c r="CJ51" s="39"/>
    </row>
    <row r="52" spans="2:89" x14ac:dyDescent="0.2">
      <c r="B52" s="35"/>
      <c r="C52" s="208"/>
      <c r="D52" s="124"/>
      <c r="E52" s="209"/>
      <c r="F52" s="209"/>
      <c r="G52" s="209"/>
      <c r="H52" s="209"/>
      <c r="I52" s="209"/>
      <c r="J52" s="209"/>
      <c r="K52" s="209"/>
      <c r="L52" s="124"/>
      <c r="M52" s="124"/>
      <c r="N52" s="124"/>
      <c r="O52" s="210"/>
      <c r="P52" s="39"/>
      <c r="R52" s="35"/>
      <c r="S52" s="208"/>
      <c r="T52" s="124"/>
      <c r="U52" s="209"/>
      <c r="V52" s="209"/>
      <c r="W52" s="209"/>
      <c r="X52" s="209"/>
      <c r="Y52" s="209"/>
      <c r="Z52" s="209"/>
      <c r="AA52" s="209"/>
      <c r="AB52" s="124"/>
      <c r="AC52" s="124"/>
      <c r="AD52" s="124"/>
      <c r="AE52" s="210"/>
      <c r="AF52" s="39"/>
      <c r="AH52" s="35"/>
      <c r="AI52" s="208"/>
      <c r="AJ52" s="124"/>
      <c r="AK52" s="737" t="str">
        <f>IF(AND(SafetyYearFirst=YearFirst,SafetyYearLast=YearLast),IF(G51=AM51,"Total VMT in model groups equals total VMT in safety groups", "Warning: Total VMT in model groups DOES NOT equal total VMT in safety groups"),"")</f>
        <v>Total VMT in model groups equals total VMT in safety groups</v>
      </c>
      <c r="AL52" s="737"/>
      <c r="AM52" s="124"/>
      <c r="AN52" s="209"/>
      <c r="AO52" s="209"/>
      <c r="AP52" s="124"/>
      <c r="AQ52" s="124"/>
      <c r="AR52" s="124"/>
      <c r="AS52" s="124"/>
      <c r="AT52" s="210"/>
      <c r="AU52" s="39"/>
      <c r="AW52" s="35"/>
      <c r="AX52" s="208"/>
      <c r="AY52" s="124"/>
      <c r="AZ52" s="737" t="str">
        <f>IF(AND(SafetyYearFirst=YearFirst,SafetyYearLast=YearLast),IF(W51=BA51,"Total VMT in traffic inputs equals total VMT in safety inputs", "Warning: Total VMT in traffic inputs DOES NOT equal total VMT in safety inputs"),"")</f>
        <v>Total VMT in traffic inputs equals total VMT in safety inputs</v>
      </c>
      <c r="BA52" s="124"/>
      <c r="BB52" s="209"/>
      <c r="BC52" s="209"/>
      <c r="BD52" s="124"/>
      <c r="BE52" s="124"/>
      <c r="BF52" s="124"/>
      <c r="BG52" s="124"/>
      <c r="BH52" s="210"/>
      <c r="BI52" s="39"/>
      <c r="BL52" s="35"/>
      <c r="BM52" s="208"/>
      <c r="BN52" s="124"/>
      <c r="BO52" s="737" t="str">
        <f>IF(AND(RelYearFirst=YearFirst,RelYearLast=YearLast),IF(G51=BP51,"Total VMT in traffic inputs equals total VMT in reliability inputs", "Warning: Total VMT in traffic inputs DOES NOT equal total VMT in reliability inputs"),"")</f>
        <v>Total VMT in traffic inputs equals total VMT in reliability inputs</v>
      </c>
      <c r="BP52" s="209"/>
      <c r="BQ52" s="124"/>
      <c r="BR52" s="124"/>
      <c r="BS52" s="124"/>
      <c r="BT52" s="124"/>
      <c r="BU52" s="210"/>
      <c r="BV52" s="39"/>
      <c r="BX52" s="35"/>
      <c r="BY52" s="208"/>
      <c r="BZ52" s="124"/>
      <c r="CA52" s="737" t="str">
        <f>IF(AND(RelYearFirst=YearFirst,RelYearLast=YearLast),IF(W51=CD51,"Total VMT in traffic inputs equals total VMT in reliability inputs", "Warning: Total VMT in traffic inputs DOES NOT equal total VMT in reliability inputs"),"")</f>
        <v>Total VMT in traffic inputs equals total VMT in reliability inputs</v>
      </c>
      <c r="CB52" s="737"/>
      <c r="CC52" s="737"/>
      <c r="CD52" s="209"/>
      <c r="CE52" s="124"/>
      <c r="CF52" s="124"/>
      <c r="CG52" s="124"/>
      <c r="CH52" s="124"/>
      <c r="CI52" s="210"/>
      <c r="CJ52" s="39"/>
    </row>
    <row r="53" spans="2:89" ht="13.5" thickBot="1" x14ac:dyDescent="0.25">
      <c r="B53" s="126"/>
      <c r="C53" s="127"/>
      <c r="D53" s="127"/>
      <c r="E53" s="127"/>
      <c r="F53" s="127"/>
      <c r="G53" s="127"/>
      <c r="H53" s="127"/>
      <c r="I53" s="127"/>
      <c r="J53" s="127"/>
      <c r="K53" s="127"/>
      <c r="L53" s="127"/>
      <c r="M53" s="127"/>
      <c r="N53" s="127"/>
      <c r="O53" s="127"/>
      <c r="P53" s="128"/>
      <c r="R53" s="126"/>
      <c r="S53" s="127"/>
      <c r="T53" s="127"/>
      <c r="U53" s="127"/>
      <c r="V53" s="127"/>
      <c r="W53" s="127"/>
      <c r="X53" s="127"/>
      <c r="Y53" s="127"/>
      <c r="Z53" s="127"/>
      <c r="AA53" s="127"/>
      <c r="AB53" s="127"/>
      <c r="AC53" s="127"/>
      <c r="AD53" s="127"/>
      <c r="AE53" s="127"/>
      <c r="AF53" s="128"/>
      <c r="AH53" s="126"/>
      <c r="AI53" s="127"/>
      <c r="AJ53" s="127"/>
      <c r="AK53" s="127"/>
      <c r="AL53" s="127"/>
      <c r="AM53" s="127"/>
      <c r="AN53" s="127"/>
      <c r="AO53" s="127"/>
      <c r="AP53" s="127"/>
      <c r="AQ53" s="127"/>
      <c r="AR53" s="127"/>
      <c r="AS53" s="127"/>
      <c r="AT53" s="127"/>
      <c r="AU53" s="128"/>
      <c r="AW53" s="126"/>
      <c r="AX53" s="127"/>
      <c r="AY53" s="127"/>
      <c r="AZ53" s="127"/>
      <c r="BA53" s="127"/>
      <c r="BB53" s="127"/>
      <c r="BC53" s="127"/>
      <c r="BD53" s="127"/>
      <c r="BE53" s="127"/>
      <c r="BF53" s="127"/>
      <c r="BG53" s="127"/>
      <c r="BH53" s="127"/>
      <c r="BI53" s="128"/>
      <c r="BL53" s="126"/>
      <c r="BM53" s="127"/>
      <c r="BN53" s="127"/>
      <c r="BO53" s="127"/>
      <c r="BP53" s="127"/>
      <c r="BQ53" s="127"/>
      <c r="BR53" s="127"/>
      <c r="BS53" s="127"/>
      <c r="BT53" s="127"/>
      <c r="BU53" s="127"/>
      <c r="BV53" s="128"/>
      <c r="BX53" s="126"/>
      <c r="BY53" s="127"/>
      <c r="BZ53" s="127"/>
      <c r="CA53" s="127"/>
      <c r="CE53" s="127"/>
      <c r="CF53" s="127"/>
      <c r="CG53" s="127"/>
      <c r="CH53" s="127"/>
      <c r="CI53" s="127"/>
      <c r="CJ53" s="128"/>
    </row>
    <row r="54" spans="2:89" ht="13.5" thickTop="1" x14ac:dyDescent="0.2">
      <c r="CB54" s="26"/>
      <c r="CC54" s="26"/>
      <c r="CD54" s="26"/>
    </row>
    <row r="55" spans="2:89" x14ac:dyDescent="0.2">
      <c r="E55" s="744" t="s">
        <v>875</v>
      </c>
      <c r="U55" s="744" t="s">
        <v>875</v>
      </c>
      <c r="AK55" s="744" t="s">
        <v>126</v>
      </c>
      <c r="AZ55" s="744" t="s">
        <v>874</v>
      </c>
      <c r="BO55" s="744"/>
    </row>
    <row r="56" spans="2:89" x14ac:dyDescent="0.2">
      <c r="E56" s="744" t="s">
        <v>127</v>
      </c>
      <c r="U56" s="744" t="s">
        <v>127</v>
      </c>
    </row>
    <row r="57" spans="2:89" x14ac:dyDescent="0.2">
      <c r="G57" s="196"/>
    </row>
    <row r="58" spans="2:89" x14ac:dyDescent="0.2">
      <c r="G58" s="196"/>
    </row>
    <row r="59" spans="2:89" x14ac:dyDescent="0.2">
      <c r="G59" s="196"/>
    </row>
    <row r="60" spans="2:89" x14ac:dyDescent="0.2">
      <c r="G60" s="196"/>
    </row>
    <row r="63" spans="2:89" ht="15" x14ac:dyDescent="0.25">
      <c r="CH63"/>
      <c r="CI63"/>
      <c r="CJ63"/>
      <c r="CK63"/>
    </row>
    <row r="64" spans="2:89" ht="15" x14ac:dyDescent="0.25">
      <c r="B64"/>
      <c r="C64"/>
      <c r="D64"/>
      <c r="E64"/>
      <c r="F64"/>
      <c r="G64"/>
      <c r="H64"/>
      <c r="I64"/>
      <c r="J64"/>
      <c r="K64"/>
      <c r="L64"/>
      <c r="M64"/>
      <c r="N64"/>
      <c r="O64"/>
      <c r="P64"/>
      <c r="Q64"/>
      <c r="R64"/>
      <c r="S64"/>
      <c r="T64"/>
      <c r="U64"/>
      <c r="V64"/>
      <c r="W64"/>
      <c r="X64"/>
      <c r="Y64"/>
      <c r="Z64"/>
      <c r="AA64"/>
      <c r="AB64"/>
      <c r="AC64"/>
      <c r="AD64"/>
      <c r="AE64"/>
      <c r="AF64"/>
      <c r="AG64"/>
      <c r="AH64"/>
      <c r="AI64"/>
      <c r="AJ64"/>
      <c r="AK64"/>
      <c r="CH64"/>
      <c r="CI64"/>
      <c r="CJ64"/>
      <c r="CK64"/>
    </row>
    <row r="65" spans="1:89" ht="15"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CH65"/>
      <c r="CI65"/>
      <c r="CJ65"/>
      <c r="CK65"/>
    </row>
    <row r="66" spans="1:89" ht="15" x14ac:dyDescent="0.25">
      <c r="A66"/>
      <c r="AD66"/>
      <c r="AE66"/>
      <c r="AF66"/>
      <c r="AG66"/>
      <c r="AH66"/>
      <c r="AI66"/>
      <c r="AJ66"/>
      <c r="AK66"/>
      <c r="AL66"/>
      <c r="AM66"/>
      <c r="AN66"/>
      <c r="AO66"/>
      <c r="AP66"/>
      <c r="AQ66"/>
      <c r="AR66"/>
      <c r="AS66"/>
      <c r="AT66"/>
      <c r="AU66"/>
      <c r="AV66"/>
      <c r="AW66"/>
      <c r="AX66"/>
      <c r="AY66"/>
      <c r="AZ66"/>
      <c r="BA66"/>
      <c r="BB66"/>
      <c r="BC66"/>
      <c r="BD66"/>
      <c r="BE66"/>
      <c r="CH66"/>
      <c r="CI66"/>
      <c r="CJ66"/>
      <c r="CK66"/>
    </row>
    <row r="67" spans="1:89" ht="15" x14ac:dyDescent="0.25">
      <c r="A67"/>
      <c r="AD67"/>
      <c r="AE67"/>
      <c r="AF67"/>
      <c r="AG67"/>
      <c r="AH67"/>
      <c r="AI67"/>
      <c r="AJ67"/>
      <c r="AK67"/>
      <c r="AL67"/>
      <c r="AM67"/>
      <c r="AN67"/>
      <c r="AO67"/>
      <c r="AP67"/>
      <c r="AQ67"/>
      <c r="AR67"/>
      <c r="AS67"/>
      <c r="AT67"/>
      <c r="AU67"/>
      <c r="AV67"/>
      <c r="AW67"/>
      <c r="AX67"/>
      <c r="AY67"/>
      <c r="AZ67"/>
      <c r="BA67"/>
      <c r="BB67"/>
      <c r="BC67"/>
      <c r="BD67"/>
      <c r="BE67"/>
    </row>
    <row r="68" spans="1:89" ht="15" x14ac:dyDescent="0.25">
      <c r="A68"/>
      <c r="AD68"/>
      <c r="AE68"/>
      <c r="AF68"/>
      <c r="AG68"/>
      <c r="AH68"/>
      <c r="AI68"/>
      <c r="AJ68"/>
      <c r="AK68"/>
      <c r="AL68"/>
      <c r="AM68"/>
      <c r="AN68"/>
      <c r="AO68"/>
      <c r="AP68"/>
      <c r="AQ68"/>
      <c r="AR68"/>
      <c r="AS68"/>
      <c r="AT68"/>
      <c r="AU68"/>
      <c r="AV68"/>
      <c r="AW68"/>
      <c r="AX68"/>
      <c r="AY68"/>
      <c r="AZ68"/>
      <c r="BA68"/>
      <c r="BB68"/>
      <c r="BC68"/>
      <c r="BD68"/>
      <c r="BE68"/>
    </row>
    <row r="69" spans="1:89" ht="15" x14ac:dyDescent="0.25">
      <c r="A69"/>
      <c r="AD69"/>
      <c r="AE69"/>
      <c r="AF69"/>
      <c r="AG69"/>
      <c r="AH69"/>
      <c r="AI69"/>
      <c r="AJ69"/>
      <c r="AK69"/>
      <c r="AL69"/>
      <c r="AM69"/>
      <c r="AN69"/>
      <c r="AO69"/>
      <c r="AP69"/>
      <c r="AQ69"/>
      <c r="AR69"/>
      <c r="AS69"/>
      <c r="AT69"/>
      <c r="AU69"/>
      <c r="AV69"/>
      <c r="AW69"/>
      <c r="AX69"/>
      <c r="AY69"/>
      <c r="AZ69"/>
      <c r="BA69"/>
      <c r="BB69"/>
      <c r="BC69"/>
      <c r="BD69"/>
      <c r="BE69"/>
    </row>
    <row r="70" spans="1:89" ht="15" x14ac:dyDescent="0.25">
      <c r="A70"/>
      <c r="AD70"/>
      <c r="AE70"/>
      <c r="AF70"/>
      <c r="AG70"/>
      <c r="AH70"/>
      <c r="AI70"/>
      <c r="AJ70"/>
      <c r="AK70"/>
      <c r="AL70"/>
      <c r="AM70"/>
      <c r="AN70"/>
      <c r="AO70"/>
      <c r="AP70"/>
      <c r="AQ70"/>
      <c r="AR70"/>
      <c r="AS70"/>
      <c r="AT70"/>
      <c r="AU70"/>
      <c r="AV70"/>
      <c r="AW70"/>
      <c r="AX70"/>
      <c r="AY70"/>
      <c r="AZ70"/>
      <c r="BA70"/>
      <c r="BB70"/>
      <c r="BC70"/>
      <c r="BD70"/>
      <c r="BE70"/>
    </row>
    <row r="71" spans="1:89" ht="15" x14ac:dyDescent="0.25">
      <c r="A71"/>
      <c r="AD71"/>
      <c r="AE71"/>
      <c r="AF71"/>
      <c r="AG71"/>
      <c r="AH71"/>
      <c r="AI71"/>
      <c r="AJ71"/>
      <c r="AK71"/>
      <c r="AL71"/>
      <c r="AM71"/>
      <c r="AN71"/>
      <c r="AO71"/>
      <c r="AP71"/>
      <c r="AQ71"/>
      <c r="AR71"/>
      <c r="AS71"/>
      <c r="AT71"/>
      <c r="AU71"/>
      <c r="AV71"/>
      <c r="AW71"/>
      <c r="AX71"/>
      <c r="AY71"/>
      <c r="AZ71"/>
      <c r="BA71"/>
      <c r="BB71"/>
      <c r="BC71"/>
      <c r="BD71"/>
      <c r="BE71"/>
    </row>
    <row r="72" spans="1:89" ht="15" x14ac:dyDescent="0.25">
      <c r="A72"/>
      <c r="AD72"/>
      <c r="AE72"/>
      <c r="AF72"/>
      <c r="AG72"/>
      <c r="AH72"/>
      <c r="AI72"/>
      <c r="AJ72"/>
      <c r="AK72"/>
      <c r="AL72"/>
      <c r="AM72"/>
      <c r="AN72"/>
      <c r="AO72"/>
      <c r="AP72"/>
      <c r="AQ72"/>
      <c r="AR72"/>
      <c r="AS72"/>
      <c r="AT72"/>
      <c r="AU72"/>
      <c r="AV72"/>
      <c r="AW72"/>
      <c r="AX72"/>
      <c r="AY72"/>
      <c r="AZ72"/>
      <c r="BA72"/>
      <c r="BB72"/>
      <c r="BC72"/>
      <c r="BD72"/>
      <c r="BE72"/>
    </row>
    <row r="73" spans="1:89" ht="15" x14ac:dyDescent="0.25">
      <c r="A73"/>
      <c r="AD73"/>
      <c r="AE73"/>
      <c r="AF73"/>
      <c r="AG73"/>
      <c r="AH73"/>
      <c r="AI73"/>
      <c r="AJ73"/>
      <c r="AK73"/>
      <c r="AL73"/>
      <c r="AM73"/>
      <c r="AN73"/>
      <c r="AO73"/>
      <c r="AP73"/>
      <c r="AQ73"/>
      <c r="AR73"/>
      <c r="AS73"/>
      <c r="AT73"/>
      <c r="AU73"/>
      <c r="AV73"/>
      <c r="AW73"/>
      <c r="AX73"/>
      <c r="AY73"/>
      <c r="AZ73"/>
      <c r="BA73"/>
      <c r="BB73"/>
      <c r="BC73"/>
      <c r="BD73"/>
      <c r="BE73"/>
    </row>
    <row r="74" spans="1:89" ht="15" x14ac:dyDescent="0.25">
      <c r="A74"/>
      <c r="AD74"/>
      <c r="AE74"/>
      <c r="AF74"/>
      <c r="AG74"/>
      <c r="AH74"/>
      <c r="AI74"/>
      <c r="AJ74"/>
      <c r="AK74"/>
      <c r="AL74"/>
      <c r="AM74"/>
      <c r="AN74"/>
      <c r="AO74"/>
      <c r="AP74"/>
      <c r="AQ74"/>
      <c r="AR74"/>
      <c r="AS74"/>
      <c r="AT74"/>
      <c r="AU74"/>
      <c r="AV74"/>
      <c r="AW74"/>
      <c r="AX74"/>
      <c r="AY74"/>
      <c r="AZ74"/>
      <c r="BA74"/>
      <c r="BB74"/>
      <c r="BC74"/>
      <c r="BD74"/>
      <c r="BE74"/>
    </row>
    <row r="75" spans="1:89" ht="15" x14ac:dyDescent="0.25">
      <c r="A75"/>
      <c r="AD75"/>
      <c r="AE75"/>
      <c r="AF75"/>
      <c r="AG75"/>
      <c r="AH75"/>
      <c r="AI75"/>
      <c r="AJ75"/>
      <c r="AK75"/>
      <c r="AL75"/>
      <c r="AM75"/>
      <c r="AN75"/>
      <c r="AO75"/>
      <c r="AP75"/>
      <c r="AQ75"/>
      <c r="AR75"/>
      <c r="AS75"/>
      <c r="AT75"/>
      <c r="AU75"/>
      <c r="AV75"/>
      <c r="AW75"/>
      <c r="AX75"/>
      <c r="AY75"/>
      <c r="AZ75"/>
      <c r="BA75"/>
      <c r="BB75"/>
      <c r="BC75"/>
      <c r="BD75"/>
      <c r="BE75"/>
    </row>
    <row r="76" spans="1:89" ht="15" x14ac:dyDescent="0.25">
      <c r="A76"/>
      <c r="AD76"/>
      <c r="AE76"/>
      <c r="AF76"/>
      <c r="AG76"/>
      <c r="AH76"/>
      <c r="AI76"/>
      <c r="AJ76"/>
      <c r="AK76"/>
      <c r="AL76"/>
      <c r="AM76"/>
      <c r="AN76"/>
      <c r="AO76"/>
      <c r="AP76"/>
      <c r="AQ76"/>
      <c r="AR76"/>
      <c r="AS76"/>
      <c r="AT76"/>
      <c r="AU76"/>
      <c r="AV76"/>
      <c r="AW76"/>
      <c r="AX76"/>
      <c r="AY76"/>
      <c r="AZ76"/>
      <c r="BA76"/>
      <c r="BB76"/>
      <c r="BC76"/>
      <c r="BD76"/>
      <c r="BE76"/>
    </row>
    <row r="77" spans="1:89" ht="15" x14ac:dyDescent="0.25">
      <c r="A77"/>
      <c r="AD77"/>
      <c r="AE77"/>
      <c r="AF77"/>
      <c r="AG77"/>
      <c r="AH77"/>
      <c r="AI77"/>
      <c r="AJ77"/>
      <c r="AK77"/>
      <c r="AL77"/>
      <c r="AM77"/>
      <c r="AN77"/>
      <c r="AO77"/>
      <c r="AP77"/>
      <c r="AQ77"/>
      <c r="AR77"/>
      <c r="AS77"/>
      <c r="AT77"/>
      <c r="AU77"/>
      <c r="AV77"/>
      <c r="AW77"/>
      <c r="AX77"/>
      <c r="AY77"/>
      <c r="AZ77"/>
      <c r="BA77"/>
      <c r="BB77"/>
      <c r="BC77"/>
      <c r="BD77"/>
      <c r="BE77"/>
    </row>
    <row r="78" spans="1:89" ht="15" x14ac:dyDescent="0.25">
      <c r="A78"/>
      <c r="AD78"/>
      <c r="AE78"/>
      <c r="AF78"/>
      <c r="AG78"/>
      <c r="AH78"/>
      <c r="AI78"/>
      <c r="AJ78"/>
      <c r="AK78"/>
      <c r="AL78"/>
      <c r="AM78"/>
      <c r="AN78"/>
      <c r="AO78"/>
      <c r="AP78"/>
      <c r="AQ78"/>
      <c r="AR78"/>
      <c r="AS78"/>
      <c r="AT78"/>
      <c r="AU78"/>
      <c r="AV78"/>
      <c r="AW78"/>
      <c r="AX78"/>
      <c r="AY78"/>
      <c r="AZ78"/>
      <c r="BA78"/>
      <c r="BB78"/>
      <c r="BC78"/>
      <c r="BD78"/>
      <c r="BE78"/>
    </row>
    <row r="79" spans="1:89" ht="15" x14ac:dyDescent="0.25">
      <c r="A79"/>
      <c r="AD79"/>
      <c r="AE79"/>
      <c r="AF79"/>
      <c r="AG79"/>
      <c r="AH79"/>
      <c r="AI79"/>
      <c r="AJ79"/>
      <c r="AK79"/>
      <c r="AL79"/>
      <c r="AM79"/>
      <c r="AN79"/>
      <c r="AO79"/>
      <c r="AP79"/>
      <c r="AQ79"/>
      <c r="AR79"/>
      <c r="AS79"/>
      <c r="AT79"/>
      <c r="AU79"/>
      <c r="AV79"/>
      <c r="AW79"/>
      <c r="AX79"/>
      <c r="AY79"/>
      <c r="AZ79"/>
      <c r="BA79"/>
      <c r="BB79"/>
      <c r="BC79"/>
      <c r="BD79"/>
      <c r="BE79"/>
    </row>
    <row r="80" spans="1:89" ht="15" x14ac:dyDescent="0.25">
      <c r="A80"/>
      <c r="AD80"/>
      <c r="AE80"/>
      <c r="AF80"/>
      <c r="AG80"/>
      <c r="AH80"/>
      <c r="AI80"/>
      <c r="AJ80"/>
      <c r="AK80"/>
      <c r="AL80"/>
      <c r="AM80"/>
      <c r="AN80"/>
      <c r="AO80"/>
      <c r="AP80"/>
      <c r="AQ80"/>
      <c r="AR80"/>
      <c r="AS80"/>
      <c r="AT80"/>
      <c r="AU80"/>
      <c r="AV80"/>
      <c r="AW80"/>
      <c r="AX80"/>
      <c r="AY80"/>
      <c r="AZ80"/>
      <c r="BA80"/>
      <c r="BB80"/>
      <c r="BC80"/>
      <c r="BD80"/>
      <c r="BE80"/>
    </row>
    <row r="81" spans="1:57" ht="15" x14ac:dyDescent="0.25">
      <c r="A81"/>
      <c r="AD81"/>
      <c r="AE81"/>
      <c r="AF81"/>
      <c r="AG81"/>
      <c r="AH81"/>
      <c r="AI81"/>
      <c r="AJ81"/>
      <c r="AK81"/>
      <c r="AL81"/>
      <c r="AM81"/>
      <c r="AN81"/>
      <c r="AO81"/>
      <c r="AP81"/>
      <c r="AQ81"/>
      <c r="AR81"/>
      <c r="AS81"/>
      <c r="AT81"/>
      <c r="AU81"/>
      <c r="AV81"/>
      <c r="AW81"/>
      <c r="AX81"/>
      <c r="AY81"/>
      <c r="AZ81"/>
      <c r="BA81"/>
      <c r="BB81"/>
      <c r="BC81"/>
      <c r="BD81"/>
      <c r="BE81"/>
    </row>
    <row r="82" spans="1:57" ht="15" x14ac:dyDescent="0.25">
      <c r="A82"/>
      <c r="AD82"/>
      <c r="AE82"/>
      <c r="AF82"/>
      <c r="AG82"/>
      <c r="AH82"/>
      <c r="AI82"/>
      <c r="AJ82"/>
      <c r="AK82"/>
      <c r="AL82"/>
      <c r="AM82"/>
      <c r="AN82"/>
      <c r="AO82"/>
      <c r="AP82"/>
      <c r="AQ82"/>
      <c r="AR82"/>
      <c r="AS82"/>
      <c r="AT82"/>
      <c r="AU82"/>
      <c r="AV82"/>
      <c r="AW82"/>
      <c r="AX82"/>
      <c r="AY82"/>
      <c r="AZ82"/>
      <c r="BA82"/>
      <c r="BB82"/>
      <c r="BC82"/>
      <c r="BD82"/>
      <c r="BE82"/>
    </row>
    <row r="83" spans="1:57" ht="15" x14ac:dyDescent="0.25">
      <c r="A83"/>
      <c r="AD83"/>
      <c r="AE83"/>
      <c r="AF83"/>
      <c r="AG83"/>
      <c r="AH83"/>
      <c r="AI83"/>
      <c r="AJ83"/>
      <c r="AK83"/>
      <c r="AL83"/>
      <c r="AM83"/>
      <c r="AN83"/>
      <c r="AO83"/>
      <c r="AP83"/>
      <c r="AQ83"/>
      <c r="AR83"/>
      <c r="AS83"/>
      <c r="AT83"/>
      <c r="AU83"/>
      <c r="AV83"/>
      <c r="AW83"/>
      <c r="AX83"/>
      <c r="AY83"/>
      <c r="AZ83"/>
      <c r="BA83"/>
      <c r="BB83"/>
      <c r="BC83"/>
      <c r="BD83"/>
      <c r="BE83"/>
    </row>
    <row r="84" spans="1:57" ht="15" x14ac:dyDescent="0.25">
      <c r="A84"/>
      <c r="AD84"/>
      <c r="AE84"/>
      <c r="AF84"/>
      <c r="AG84"/>
      <c r="AH84"/>
      <c r="AI84"/>
      <c r="AJ84"/>
      <c r="AK84"/>
      <c r="AL84"/>
      <c r="AM84"/>
      <c r="AN84"/>
      <c r="AO84"/>
      <c r="AP84"/>
      <c r="AQ84"/>
      <c r="AR84"/>
      <c r="AS84"/>
      <c r="AT84"/>
      <c r="AU84"/>
      <c r="AV84"/>
      <c r="AW84"/>
      <c r="AX84"/>
      <c r="AY84"/>
      <c r="AZ84"/>
      <c r="BA84"/>
      <c r="BB84"/>
      <c r="BC84"/>
      <c r="BD84"/>
      <c r="BE84"/>
    </row>
    <row r="85" spans="1:57" ht="15" x14ac:dyDescent="0.25">
      <c r="A85"/>
      <c r="AD85"/>
      <c r="AE85"/>
      <c r="AF85"/>
      <c r="AG85"/>
      <c r="AH85"/>
      <c r="AI85"/>
      <c r="AJ85"/>
      <c r="AK85"/>
      <c r="AL85"/>
      <c r="AM85"/>
      <c r="AN85"/>
      <c r="AO85"/>
      <c r="AP85"/>
      <c r="AQ85"/>
      <c r="AR85"/>
      <c r="AS85"/>
      <c r="AT85"/>
      <c r="AU85"/>
      <c r="AV85"/>
      <c r="AW85"/>
      <c r="AX85"/>
      <c r="AY85"/>
      <c r="AZ85"/>
      <c r="BA85"/>
      <c r="BB85"/>
      <c r="BC85"/>
      <c r="BD85"/>
      <c r="BE85"/>
    </row>
    <row r="86" spans="1:57" ht="15" x14ac:dyDescent="0.25">
      <c r="A86"/>
      <c r="AD86"/>
      <c r="AE86"/>
      <c r="AF86"/>
      <c r="AG86"/>
      <c r="AH86"/>
      <c r="AI86"/>
      <c r="AJ86"/>
      <c r="AK86"/>
      <c r="AL86"/>
      <c r="AM86"/>
      <c r="AN86"/>
      <c r="AO86"/>
      <c r="AP86"/>
      <c r="AQ86"/>
      <c r="AR86"/>
      <c r="AS86"/>
      <c r="AT86"/>
      <c r="AU86"/>
      <c r="AV86"/>
      <c r="AW86"/>
      <c r="AX86"/>
      <c r="AY86"/>
      <c r="AZ86"/>
      <c r="BA86"/>
      <c r="BB86"/>
      <c r="BC86"/>
      <c r="BD86"/>
      <c r="BE86"/>
    </row>
    <row r="87" spans="1:57" ht="15" x14ac:dyDescent="0.25">
      <c r="A87"/>
      <c r="AD87"/>
      <c r="AE87"/>
      <c r="AF87"/>
      <c r="AG87"/>
      <c r="AH87"/>
      <c r="AI87"/>
      <c r="AJ87"/>
      <c r="AK87"/>
      <c r="AL87"/>
      <c r="AM87"/>
      <c r="AN87"/>
      <c r="AO87"/>
      <c r="AP87"/>
      <c r="AQ87"/>
      <c r="AR87"/>
      <c r="AS87"/>
      <c r="AT87"/>
      <c r="AU87"/>
      <c r="AV87"/>
      <c r="AW87"/>
      <c r="AX87"/>
      <c r="AY87"/>
      <c r="AZ87"/>
      <c r="BA87"/>
      <c r="BB87"/>
      <c r="BC87"/>
      <c r="BD87"/>
      <c r="BE87"/>
    </row>
    <row r="88" spans="1:57" ht="15" x14ac:dyDescent="0.25">
      <c r="A88"/>
      <c r="AD88"/>
      <c r="AE88"/>
      <c r="AF88"/>
      <c r="AG88"/>
      <c r="AH88"/>
      <c r="AI88"/>
      <c r="AJ88"/>
      <c r="AK88"/>
      <c r="AL88"/>
      <c r="AM88"/>
      <c r="AN88"/>
      <c r="AO88"/>
      <c r="AP88"/>
      <c r="AQ88"/>
      <c r="AR88"/>
      <c r="AS88"/>
      <c r="AT88"/>
      <c r="AU88"/>
      <c r="AV88"/>
      <c r="AW88"/>
      <c r="AX88"/>
      <c r="AY88"/>
      <c r="AZ88"/>
      <c r="BA88"/>
      <c r="BB88"/>
      <c r="BC88"/>
      <c r="BD88"/>
      <c r="BE88"/>
    </row>
    <row r="89" spans="1:57" ht="15" x14ac:dyDescent="0.25">
      <c r="A89"/>
      <c r="AD89"/>
      <c r="AE89"/>
      <c r="AF89"/>
      <c r="AG89"/>
      <c r="AH89"/>
      <c r="AI89"/>
      <c r="AJ89"/>
      <c r="AK89"/>
      <c r="AL89"/>
      <c r="AM89"/>
      <c r="AN89"/>
      <c r="AO89"/>
      <c r="AP89"/>
      <c r="AQ89"/>
      <c r="AR89"/>
      <c r="AS89"/>
      <c r="AT89"/>
      <c r="AU89"/>
      <c r="AV89"/>
      <c r="AW89"/>
      <c r="AX89"/>
      <c r="AY89"/>
      <c r="AZ89"/>
      <c r="BA89"/>
      <c r="BB89"/>
      <c r="BC89"/>
      <c r="BD89"/>
      <c r="BE89"/>
    </row>
    <row r="90" spans="1:57" ht="15" x14ac:dyDescent="0.25">
      <c r="A90"/>
      <c r="AD90"/>
      <c r="AE90"/>
      <c r="AF90"/>
      <c r="AG90"/>
      <c r="AH90"/>
      <c r="AI90"/>
      <c r="AJ90"/>
      <c r="AK90"/>
      <c r="AL90"/>
      <c r="AM90"/>
      <c r="AN90"/>
      <c r="AO90"/>
      <c r="AP90"/>
      <c r="AQ90"/>
      <c r="AR90"/>
      <c r="AS90"/>
      <c r="AT90"/>
      <c r="AU90"/>
      <c r="AV90"/>
      <c r="AW90"/>
      <c r="AX90"/>
      <c r="AY90"/>
      <c r="AZ90"/>
      <c r="BA90"/>
      <c r="BB90"/>
      <c r="BC90"/>
      <c r="BD90"/>
      <c r="BE90"/>
    </row>
    <row r="91" spans="1:57" ht="15" x14ac:dyDescent="0.25">
      <c r="A91"/>
      <c r="AD91"/>
      <c r="AE91"/>
      <c r="AF91"/>
      <c r="AG91"/>
      <c r="AH91"/>
      <c r="AI91"/>
      <c r="AJ91"/>
      <c r="AK91"/>
      <c r="AL91"/>
      <c r="AM91"/>
      <c r="AN91"/>
      <c r="AO91"/>
      <c r="AP91"/>
      <c r="AQ91"/>
      <c r="AR91"/>
      <c r="AS91"/>
      <c r="AT91"/>
      <c r="AU91"/>
      <c r="AV91"/>
      <c r="AW91"/>
      <c r="AX91"/>
      <c r="AY91"/>
      <c r="AZ91"/>
      <c r="BA91"/>
      <c r="BB91"/>
      <c r="BC91"/>
      <c r="BD91"/>
      <c r="BE91"/>
    </row>
    <row r="92" spans="1:57" ht="15" x14ac:dyDescent="0.25">
      <c r="A92"/>
      <c r="AD92"/>
      <c r="AE92"/>
      <c r="AF92"/>
      <c r="AG92"/>
      <c r="AH92"/>
      <c r="AI92"/>
      <c r="AJ92"/>
      <c r="AK92"/>
      <c r="AL92"/>
      <c r="AM92"/>
      <c r="AN92"/>
      <c r="AO92"/>
      <c r="AP92"/>
      <c r="AQ92"/>
      <c r="AR92"/>
      <c r="AS92"/>
      <c r="AT92"/>
      <c r="AU92"/>
      <c r="AV92"/>
      <c r="AW92"/>
      <c r="AX92"/>
      <c r="AY92"/>
      <c r="AZ92"/>
      <c r="BA92"/>
      <c r="BB92"/>
      <c r="BC92"/>
      <c r="BD92"/>
      <c r="BE92"/>
    </row>
    <row r="93" spans="1:57" ht="15" x14ac:dyDescent="0.25">
      <c r="A93"/>
      <c r="AD93"/>
      <c r="AE93"/>
      <c r="AF93"/>
      <c r="AG93"/>
      <c r="AH93"/>
      <c r="AI93"/>
      <c r="AJ93"/>
      <c r="AK93"/>
      <c r="AL93"/>
      <c r="AM93"/>
      <c r="AN93"/>
      <c r="AO93"/>
      <c r="AP93"/>
      <c r="AQ93"/>
      <c r="AR93"/>
      <c r="AS93"/>
      <c r="AT93"/>
      <c r="AU93"/>
      <c r="AV93"/>
      <c r="AW93"/>
      <c r="AX93"/>
      <c r="AY93"/>
      <c r="AZ93"/>
      <c r="BA93"/>
      <c r="BB93"/>
      <c r="BC93"/>
      <c r="BD93"/>
      <c r="BE93"/>
    </row>
    <row r="94" spans="1:57" ht="15" x14ac:dyDescent="0.25">
      <c r="A94"/>
      <c r="AD94"/>
      <c r="AE94"/>
      <c r="AF94"/>
      <c r="AG94"/>
      <c r="AH94"/>
      <c r="AI94"/>
      <c r="AJ94"/>
      <c r="AK94"/>
      <c r="AL94"/>
      <c r="AM94"/>
      <c r="AN94"/>
      <c r="AO94"/>
      <c r="AP94"/>
      <c r="AQ94"/>
      <c r="AR94"/>
      <c r="AS94"/>
      <c r="AT94"/>
      <c r="AU94"/>
      <c r="AV94"/>
      <c r="AW94"/>
      <c r="AX94"/>
      <c r="AY94"/>
      <c r="AZ94"/>
      <c r="BA94"/>
      <c r="BB94"/>
      <c r="BC94"/>
      <c r="BD94"/>
      <c r="BE94"/>
    </row>
    <row r="95" spans="1:57" ht="15" x14ac:dyDescent="0.25">
      <c r="A95"/>
      <c r="AD95"/>
      <c r="AE95"/>
      <c r="AF95"/>
      <c r="AG95"/>
      <c r="AH95"/>
      <c r="AI95"/>
      <c r="AJ95"/>
      <c r="AK95"/>
      <c r="AL95"/>
      <c r="AM95"/>
      <c r="AN95"/>
      <c r="AO95"/>
      <c r="AP95"/>
      <c r="AQ95"/>
      <c r="AR95"/>
      <c r="AS95"/>
      <c r="AT95"/>
      <c r="AU95"/>
      <c r="AV95"/>
      <c r="AW95"/>
      <c r="AX95"/>
      <c r="AY95"/>
      <c r="AZ95"/>
      <c r="BA95"/>
      <c r="BB95"/>
      <c r="BC95"/>
      <c r="BD95"/>
      <c r="BE95"/>
    </row>
    <row r="96" spans="1:57" ht="15" x14ac:dyDescent="0.25">
      <c r="A96"/>
      <c r="AD96"/>
      <c r="AE96"/>
      <c r="AF96"/>
      <c r="AG96"/>
      <c r="AH96"/>
      <c r="AI96"/>
      <c r="AJ96"/>
      <c r="AK96"/>
      <c r="AL96"/>
      <c r="AM96"/>
      <c r="AN96"/>
      <c r="AO96"/>
      <c r="AP96"/>
      <c r="AQ96"/>
      <c r="AR96"/>
      <c r="AS96"/>
      <c r="AT96"/>
      <c r="AU96"/>
      <c r="AV96"/>
      <c r="AW96"/>
      <c r="AX96"/>
      <c r="AY96"/>
      <c r="AZ96"/>
      <c r="BA96"/>
      <c r="BB96"/>
      <c r="BC96"/>
      <c r="BD96"/>
      <c r="BE96"/>
    </row>
    <row r="97" spans="1:57" ht="15" x14ac:dyDescent="0.25">
      <c r="A97"/>
      <c r="AD97"/>
      <c r="AE97"/>
      <c r="AF97"/>
      <c r="AG97"/>
      <c r="AH97"/>
      <c r="AI97"/>
      <c r="AJ97"/>
      <c r="AK97"/>
      <c r="AL97"/>
      <c r="AM97"/>
      <c r="AN97"/>
      <c r="AO97"/>
      <c r="AP97"/>
      <c r="AQ97"/>
      <c r="AR97"/>
      <c r="AS97"/>
      <c r="AT97"/>
      <c r="AU97"/>
      <c r="AV97"/>
      <c r="AW97"/>
      <c r="AX97"/>
      <c r="AY97"/>
      <c r="AZ97"/>
      <c r="BA97"/>
      <c r="BB97"/>
      <c r="BC97"/>
      <c r="BD97"/>
      <c r="BE97"/>
    </row>
    <row r="98" spans="1:57" ht="15" x14ac:dyDescent="0.25">
      <c r="A98"/>
      <c r="AD98"/>
      <c r="AE98"/>
      <c r="AF98"/>
      <c r="AG98"/>
      <c r="AH98"/>
      <c r="AI98"/>
      <c r="AJ98"/>
      <c r="AK98"/>
      <c r="AL98"/>
      <c r="AM98"/>
      <c r="AN98"/>
      <c r="AO98"/>
      <c r="AP98"/>
      <c r="AQ98"/>
      <c r="AR98"/>
      <c r="AS98"/>
      <c r="AT98"/>
      <c r="AU98"/>
      <c r="AV98"/>
      <c r="AW98"/>
      <c r="AX98"/>
      <c r="AY98"/>
      <c r="AZ98"/>
      <c r="BA98"/>
      <c r="BB98"/>
      <c r="BC98"/>
      <c r="BD98"/>
      <c r="BE98"/>
    </row>
    <row r="99" spans="1:57" ht="15" x14ac:dyDescent="0.25">
      <c r="A99"/>
      <c r="AD99"/>
      <c r="AE99"/>
      <c r="AF99"/>
      <c r="AG99"/>
      <c r="AH99"/>
      <c r="AI99"/>
      <c r="AJ99"/>
      <c r="AK99"/>
      <c r="AL99"/>
      <c r="AM99"/>
      <c r="AN99"/>
      <c r="AO99"/>
      <c r="AP99"/>
      <c r="AQ99"/>
      <c r="AR99"/>
      <c r="AS99"/>
      <c r="AT99"/>
      <c r="AU99"/>
      <c r="AV99"/>
      <c r="AW99"/>
      <c r="AX99"/>
      <c r="AY99"/>
      <c r="AZ99"/>
      <c r="BA99"/>
      <c r="BB99"/>
      <c r="BC99"/>
      <c r="BD99"/>
      <c r="BE99"/>
    </row>
    <row r="100" spans="1:57" ht="15" x14ac:dyDescent="0.25">
      <c r="A100"/>
      <c r="AD100"/>
      <c r="AE100"/>
      <c r="AF100"/>
      <c r="AG100"/>
      <c r="AH100"/>
      <c r="AI100"/>
      <c r="AJ100"/>
      <c r="AK100"/>
      <c r="AL100"/>
      <c r="AM100"/>
      <c r="AN100"/>
      <c r="AO100"/>
      <c r="AP100"/>
      <c r="AQ100"/>
      <c r="AR100"/>
      <c r="AS100"/>
      <c r="AT100"/>
      <c r="AU100"/>
      <c r="AV100"/>
      <c r="AW100"/>
      <c r="AX100"/>
      <c r="AY100"/>
      <c r="AZ100"/>
      <c r="BA100"/>
      <c r="BB100"/>
      <c r="BC100"/>
      <c r="BD100"/>
      <c r="BE100"/>
    </row>
    <row r="101" spans="1:57" ht="15" x14ac:dyDescent="0.25">
      <c r="A101"/>
      <c r="AD101"/>
      <c r="AE101"/>
      <c r="AF101"/>
      <c r="AG101"/>
      <c r="AH101"/>
      <c r="AI101"/>
      <c r="AJ101"/>
      <c r="AK101"/>
      <c r="AL101"/>
      <c r="AM101"/>
      <c r="AN101"/>
      <c r="AO101"/>
      <c r="AP101"/>
      <c r="AQ101"/>
      <c r="AR101"/>
      <c r="AS101"/>
      <c r="AT101"/>
      <c r="AU101"/>
      <c r="AV101"/>
      <c r="AW101"/>
      <c r="AX101"/>
      <c r="AY101"/>
      <c r="AZ101"/>
      <c r="BA101"/>
      <c r="BB101"/>
      <c r="BC101"/>
      <c r="BD101"/>
      <c r="BE101"/>
    </row>
    <row r="102" spans="1:57" ht="15" x14ac:dyDescent="0.25">
      <c r="A102"/>
      <c r="AD102"/>
      <c r="AE102"/>
      <c r="AF102"/>
      <c r="AG102"/>
      <c r="AH102"/>
      <c r="AI102"/>
      <c r="AJ102"/>
      <c r="AK102"/>
      <c r="AL102"/>
      <c r="AM102"/>
      <c r="AN102"/>
      <c r="AO102"/>
      <c r="AP102"/>
      <c r="AQ102"/>
      <c r="AR102"/>
      <c r="AS102"/>
      <c r="AT102"/>
      <c r="AU102"/>
      <c r="AV102"/>
      <c r="AW102"/>
      <c r="AX102"/>
      <c r="AY102"/>
      <c r="AZ102"/>
      <c r="BA102"/>
      <c r="BB102"/>
      <c r="BC102"/>
      <c r="BD102"/>
      <c r="BE102"/>
    </row>
    <row r="103" spans="1:57" ht="15" x14ac:dyDescent="0.25">
      <c r="A103"/>
      <c r="AD103"/>
      <c r="AE103"/>
      <c r="AF103"/>
      <c r="AG103"/>
      <c r="AH103"/>
      <c r="AI103"/>
      <c r="AJ103"/>
      <c r="AK103"/>
      <c r="AL103"/>
      <c r="AM103"/>
      <c r="AN103"/>
      <c r="AO103"/>
      <c r="AP103"/>
      <c r="AQ103"/>
      <c r="AR103"/>
      <c r="AS103"/>
      <c r="AT103"/>
      <c r="AU103"/>
      <c r="AV103"/>
      <c r="AW103"/>
      <c r="AX103"/>
      <c r="AY103"/>
      <c r="AZ103"/>
      <c r="BA103"/>
      <c r="BB103"/>
      <c r="BC103"/>
      <c r="BD103"/>
      <c r="BE103"/>
    </row>
    <row r="104" spans="1:57" ht="15" x14ac:dyDescent="0.25">
      <c r="A104"/>
      <c r="AD104"/>
      <c r="AE104"/>
      <c r="AF104"/>
      <c r="AG104"/>
      <c r="AH104"/>
      <c r="AI104"/>
      <c r="AJ104"/>
      <c r="AK104"/>
      <c r="AL104"/>
      <c r="AM104"/>
      <c r="AN104"/>
      <c r="AO104"/>
      <c r="AP104"/>
      <c r="AQ104"/>
      <c r="AR104"/>
      <c r="AS104"/>
      <c r="AT104"/>
      <c r="AU104"/>
      <c r="AV104"/>
      <c r="AW104"/>
      <c r="AX104"/>
      <c r="AY104"/>
      <c r="AZ104"/>
      <c r="BA104"/>
      <c r="BB104"/>
      <c r="BC104"/>
      <c r="BD104"/>
      <c r="BE104"/>
    </row>
    <row r="105" spans="1:57" ht="15" x14ac:dyDescent="0.25">
      <c r="A105"/>
      <c r="AD105"/>
      <c r="AE105"/>
      <c r="AF105"/>
      <c r="AG105"/>
      <c r="AH105"/>
      <c r="AI105"/>
      <c r="AJ105"/>
      <c r="AK105"/>
      <c r="AL105"/>
      <c r="AM105"/>
      <c r="AN105"/>
      <c r="AO105"/>
      <c r="AP105"/>
      <c r="AQ105"/>
      <c r="AR105"/>
      <c r="AS105"/>
      <c r="AT105"/>
      <c r="AU105"/>
      <c r="AV105"/>
      <c r="AW105"/>
      <c r="AX105"/>
      <c r="AY105"/>
      <c r="AZ105"/>
      <c r="BA105"/>
      <c r="BB105"/>
      <c r="BC105"/>
      <c r="BD105"/>
      <c r="BE105"/>
    </row>
    <row r="106" spans="1:57" ht="15" x14ac:dyDescent="0.25">
      <c r="A106"/>
      <c r="AD106"/>
      <c r="AE106"/>
      <c r="AF106"/>
      <c r="AG106"/>
      <c r="AH106"/>
      <c r="AI106"/>
      <c r="AJ106"/>
      <c r="AK106"/>
      <c r="AL106"/>
      <c r="AM106"/>
      <c r="AN106"/>
      <c r="AO106"/>
      <c r="AP106"/>
      <c r="AQ106"/>
      <c r="AR106"/>
      <c r="AS106"/>
      <c r="AT106"/>
      <c r="AU106"/>
      <c r="AV106"/>
      <c r="AW106"/>
      <c r="AX106"/>
      <c r="AY106"/>
      <c r="AZ106"/>
      <c r="BA106"/>
      <c r="BB106"/>
      <c r="BC106"/>
      <c r="BD106"/>
      <c r="BE106"/>
    </row>
    <row r="107" spans="1:57" ht="15" x14ac:dyDescent="0.25">
      <c r="A107"/>
      <c r="AD107"/>
      <c r="AE107"/>
      <c r="AF107"/>
      <c r="AG107"/>
      <c r="AH107"/>
      <c r="AI107"/>
      <c r="AJ107"/>
      <c r="AK107"/>
      <c r="AL107"/>
      <c r="AM107"/>
      <c r="AN107"/>
      <c r="AO107"/>
      <c r="AP107"/>
      <c r="AQ107"/>
      <c r="AR107"/>
      <c r="AS107"/>
      <c r="AT107"/>
      <c r="AU107"/>
      <c r="AV107"/>
      <c r="AW107"/>
      <c r="AX107"/>
      <c r="AY107"/>
      <c r="AZ107"/>
      <c r="BA107"/>
      <c r="BB107"/>
      <c r="BC107"/>
      <c r="BD107"/>
      <c r="BE107"/>
    </row>
    <row r="108" spans="1:57" ht="15" x14ac:dyDescent="0.25">
      <c r="A108"/>
      <c r="AD108"/>
      <c r="AE108"/>
      <c r="AF108"/>
      <c r="AG108"/>
      <c r="AH108"/>
      <c r="AI108"/>
      <c r="AJ108"/>
      <c r="AK108"/>
      <c r="AL108"/>
      <c r="AM108"/>
      <c r="AN108"/>
      <c r="AO108"/>
      <c r="AP108"/>
      <c r="AQ108"/>
      <c r="AR108"/>
      <c r="AS108"/>
      <c r="AT108"/>
      <c r="AU108"/>
      <c r="AV108"/>
      <c r="AW108"/>
      <c r="AX108"/>
      <c r="AY108"/>
      <c r="AZ108"/>
      <c r="BA108"/>
      <c r="BB108"/>
      <c r="BC108"/>
      <c r="BD108"/>
      <c r="BE108"/>
    </row>
    <row r="109" spans="1:57" ht="15" x14ac:dyDescent="0.25">
      <c r="A109"/>
      <c r="AD109"/>
      <c r="AE109"/>
      <c r="AF109"/>
      <c r="AG109"/>
      <c r="AH109"/>
      <c r="AI109"/>
      <c r="AJ109"/>
      <c r="AK109"/>
      <c r="AL109"/>
      <c r="AM109"/>
      <c r="AN109"/>
      <c r="AO109"/>
      <c r="AP109"/>
      <c r="AQ109"/>
      <c r="AR109"/>
      <c r="AS109"/>
      <c r="AT109"/>
      <c r="AU109"/>
      <c r="AV109"/>
      <c r="AW109"/>
      <c r="AX109"/>
      <c r="AY109"/>
      <c r="AZ109"/>
      <c r="BA109"/>
      <c r="BB109"/>
      <c r="BC109"/>
      <c r="BD109"/>
      <c r="BE109"/>
    </row>
    <row r="110" spans="1:57" ht="15" x14ac:dyDescent="0.25">
      <c r="A110"/>
      <c r="AD110"/>
      <c r="AE110"/>
      <c r="AF110"/>
      <c r="AG110"/>
      <c r="AH110"/>
      <c r="AI110"/>
      <c r="AJ110"/>
      <c r="AK110"/>
      <c r="AL110"/>
      <c r="AM110"/>
      <c r="AN110"/>
      <c r="AO110"/>
      <c r="AP110"/>
      <c r="AQ110"/>
      <c r="AR110"/>
      <c r="AS110"/>
      <c r="AT110"/>
      <c r="AU110"/>
      <c r="AV110"/>
      <c r="AW110"/>
      <c r="AX110"/>
      <c r="AY110"/>
      <c r="AZ110"/>
      <c r="BA110"/>
      <c r="BB110"/>
      <c r="BC110"/>
      <c r="BD110"/>
      <c r="BE110"/>
    </row>
    <row r="111" spans="1:57" ht="15" x14ac:dyDescent="0.25">
      <c r="A111"/>
      <c r="AD111"/>
      <c r="AE111"/>
      <c r="AF111"/>
      <c r="AG111"/>
      <c r="AH111"/>
      <c r="AI111"/>
      <c r="AJ111"/>
      <c r="AK111"/>
      <c r="AL111"/>
      <c r="AM111"/>
      <c r="AN111"/>
      <c r="AO111"/>
      <c r="AP111"/>
      <c r="AQ111"/>
      <c r="AR111"/>
      <c r="AS111"/>
      <c r="AT111"/>
      <c r="AU111"/>
      <c r="AV111"/>
      <c r="AW111"/>
      <c r="AX111"/>
      <c r="AY111"/>
      <c r="AZ111"/>
      <c r="BA111"/>
      <c r="BB111"/>
      <c r="BC111"/>
      <c r="BD111"/>
      <c r="BE111"/>
    </row>
    <row r="112" spans="1:57" ht="15" x14ac:dyDescent="0.25">
      <c r="A112"/>
      <c r="AD112"/>
      <c r="AE112"/>
      <c r="AF112"/>
      <c r="AG112"/>
      <c r="AH112"/>
      <c r="AI112"/>
      <c r="AJ112"/>
      <c r="AK112"/>
      <c r="AL112"/>
      <c r="AM112"/>
      <c r="AN112"/>
      <c r="AO112"/>
      <c r="AP112"/>
      <c r="AQ112"/>
      <c r="AR112"/>
      <c r="AS112"/>
      <c r="AT112"/>
      <c r="AU112"/>
      <c r="AV112"/>
      <c r="AW112"/>
      <c r="AX112"/>
      <c r="AY112"/>
      <c r="AZ112"/>
      <c r="BA112"/>
      <c r="BB112"/>
      <c r="BC112"/>
      <c r="BD112"/>
      <c r="BE112"/>
    </row>
    <row r="113" spans="1:57" ht="15" x14ac:dyDescent="0.25">
      <c r="A113"/>
      <c r="AD113"/>
      <c r="AE113"/>
      <c r="AF113"/>
      <c r="AG113"/>
      <c r="AH113"/>
      <c r="AI113"/>
      <c r="AJ113"/>
      <c r="AK113"/>
      <c r="AL113"/>
      <c r="AM113"/>
      <c r="AN113"/>
      <c r="AO113"/>
      <c r="AP113"/>
      <c r="AQ113"/>
      <c r="AR113"/>
      <c r="AS113"/>
      <c r="AT113"/>
      <c r="AU113"/>
      <c r="AV113"/>
      <c r="AW113"/>
      <c r="AX113"/>
      <c r="AY113"/>
      <c r="AZ113"/>
      <c r="BA113"/>
      <c r="BB113"/>
      <c r="BC113"/>
      <c r="BD113"/>
      <c r="BE113"/>
    </row>
    <row r="114" spans="1:57" ht="15" x14ac:dyDescent="0.25">
      <c r="A114"/>
      <c r="AD114"/>
      <c r="AE114"/>
      <c r="AF114"/>
      <c r="AG114"/>
      <c r="AH114"/>
      <c r="AI114"/>
      <c r="AJ114"/>
      <c r="AK114"/>
      <c r="AL114"/>
      <c r="AM114"/>
      <c r="AN114"/>
      <c r="AO114"/>
      <c r="AP114"/>
      <c r="AQ114"/>
      <c r="AR114"/>
      <c r="AS114"/>
      <c r="AT114"/>
      <c r="AU114"/>
      <c r="AV114"/>
      <c r="AW114"/>
      <c r="AX114"/>
      <c r="AY114"/>
      <c r="AZ114"/>
      <c r="BA114"/>
      <c r="BB114"/>
      <c r="BC114"/>
      <c r="BD114"/>
      <c r="BE114"/>
    </row>
    <row r="115" spans="1:57" ht="15" x14ac:dyDescent="0.25">
      <c r="A115"/>
      <c r="AD115"/>
      <c r="AE115"/>
      <c r="AF115"/>
      <c r="AG115"/>
      <c r="AH115"/>
      <c r="AI115"/>
      <c r="AJ115"/>
      <c r="AK115"/>
      <c r="AL115"/>
      <c r="AM115"/>
      <c r="AN115"/>
      <c r="AO115"/>
      <c r="AP115"/>
      <c r="AQ115"/>
      <c r="AR115"/>
      <c r="AS115"/>
      <c r="AT115"/>
      <c r="AU115"/>
      <c r="AV115"/>
      <c r="AW115"/>
      <c r="AX115"/>
      <c r="AY115"/>
      <c r="AZ115"/>
      <c r="BA115"/>
      <c r="BB115"/>
      <c r="BC115"/>
      <c r="BD115"/>
      <c r="BE115"/>
    </row>
    <row r="116" spans="1:57" ht="15" x14ac:dyDescent="0.25">
      <c r="A116"/>
      <c r="AD116"/>
      <c r="AE116"/>
      <c r="AF116"/>
      <c r="AG116"/>
      <c r="AH116"/>
      <c r="AI116"/>
      <c r="AJ116"/>
      <c r="AK116"/>
      <c r="AL116"/>
      <c r="AM116"/>
      <c r="AN116"/>
      <c r="AO116"/>
      <c r="AP116"/>
      <c r="AQ116"/>
      <c r="AR116"/>
      <c r="AS116"/>
      <c r="AT116"/>
      <c r="AU116"/>
      <c r="AV116"/>
      <c r="AW116"/>
      <c r="AX116"/>
      <c r="AY116"/>
      <c r="AZ116"/>
      <c r="BA116"/>
      <c r="BB116"/>
      <c r="BC116"/>
      <c r="BD116"/>
      <c r="BE116"/>
    </row>
    <row r="117" spans="1:57" ht="15" x14ac:dyDescent="0.25">
      <c r="A117"/>
      <c r="AD117"/>
      <c r="AE117"/>
      <c r="AF117"/>
      <c r="AG117"/>
      <c r="AH117"/>
      <c r="AI117"/>
      <c r="AJ117"/>
      <c r="AK117"/>
      <c r="AL117"/>
      <c r="AM117"/>
      <c r="AN117"/>
      <c r="AO117"/>
      <c r="AP117"/>
      <c r="AQ117"/>
      <c r="AR117"/>
      <c r="AS117"/>
      <c r="AT117"/>
      <c r="AU117"/>
      <c r="AV117"/>
      <c r="AW117"/>
      <c r="AX117"/>
      <c r="AY117"/>
      <c r="AZ117"/>
      <c r="BA117"/>
      <c r="BB117"/>
      <c r="BC117"/>
      <c r="BD117"/>
      <c r="BE117"/>
    </row>
    <row r="118" spans="1:57" ht="15"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row>
    <row r="119" spans="1:57" ht="15" x14ac:dyDescent="0.25">
      <c r="A119"/>
      <c r="BD119"/>
      <c r="BE119"/>
    </row>
    <row r="120" spans="1:57" ht="15" x14ac:dyDescent="0.25">
      <c r="A120"/>
      <c r="BD120"/>
      <c r="BE120"/>
    </row>
    <row r="121" spans="1:57" ht="15" x14ac:dyDescent="0.25">
      <c r="A121"/>
      <c r="BD121"/>
      <c r="BE121"/>
    </row>
    <row r="122" spans="1:57" ht="15" x14ac:dyDescent="0.25">
      <c r="A122"/>
      <c r="BD122"/>
      <c r="BE122"/>
    </row>
  </sheetData>
  <mergeCells count="19">
    <mergeCell ref="BS16:CA16"/>
    <mergeCell ref="CZ16:DD16"/>
    <mergeCell ref="BS14:CA14"/>
    <mergeCell ref="CZ14:DD14"/>
    <mergeCell ref="BS15:CA15"/>
    <mergeCell ref="CZ15:DD15"/>
    <mergeCell ref="BS12:CA12"/>
    <mergeCell ref="CZ12:DD12"/>
    <mergeCell ref="BS13:CA13"/>
    <mergeCell ref="CZ13:DD13"/>
    <mergeCell ref="BS11:CA11"/>
    <mergeCell ref="CU5:DK5"/>
    <mergeCell ref="CU6:DK6"/>
    <mergeCell ref="CZ11:DD11"/>
    <mergeCell ref="V9:Y9"/>
    <mergeCell ref="AA9:AD9"/>
    <mergeCell ref="BQ10:BR10"/>
    <mergeCell ref="BS10:CA10"/>
    <mergeCell ref="AN10:AP10"/>
  </mergeCells>
  <phoneticPr fontId="159" type="noConversion"/>
  <conditionalFormatting sqref="V11:W16">
    <cfRule type="expression" dxfId="17" priority="97">
      <formula>OR($F11=Hwy, SUM($I34:$K34)&lt;&gt;0)</formula>
    </cfRule>
  </conditionalFormatting>
  <conditionalFormatting sqref="AA11:AB16">
    <cfRule type="expression" dxfId="16" priority="98">
      <formula>OR($F11=Hwy, SUM($I34:$K34)&lt;&gt;0)</formula>
    </cfRule>
  </conditionalFormatting>
  <conditionalFormatting sqref="H34:H39 M34:N39 AC34:AD39">
    <cfRule type="expression" dxfId="15" priority="87">
      <formula>$F11&lt;&gt;"Highway"</formula>
    </cfRule>
  </conditionalFormatting>
  <conditionalFormatting sqref="H45:H50 M45:N50 AC45:AD50">
    <cfRule type="expression" dxfId="14" priority="86">
      <formula>$F11&lt;&gt;"Highway"</formula>
    </cfRule>
  </conditionalFormatting>
  <conditionalFormatting sqref="X34:X39">
    <cfRule type="expression" dxfId="13" priority="85">
      <formula>$F11&lt;&gt;"Highway"</formula>
    </cfRule>
  </conditionalFormatting>
  <conditionalFormatting sqref="X45:X50">
    <cfRule type="expression" dxfId="12" priority="84">
      <formula>$F11&lt;&gt;"Highway"</formula>
    </cfRule>
  </conditionalFormatting>
  <conditionalFormatting sqref="M11:N16">
    <cfRule type="expression" dxfId="11" priority="83">
      <formula>$F11&lt;&gt;"Highway"</formula>
    </cfRule>
  </conditionalFormatting>
  <conditionalFormatting sqref="I34:J39">
    <cfRule type="expression" dxfId="10" priority="58">
      <formula>$F11="Highway"</formula>
    </cfRule>
  </conditionalFormatting>
  <conditionalFormatting sqref="I45:J50">
    <cfRule type="expression" dxfId="9" priority="57">
      <formula>$F11="Highway"</formula>
    </cfRule>
  </conditionalFormatting>
  <conditionalFormatting sqref="Y34:Z39">
    <cfRule type="expression" dxfId="8" priority="56">
      <formula>$F11="Highway"</formula>
    </cfRule>
  </conditionalFormatting>
  <conditionalFormatting sqref="Y45:Z50">
    <cfRule type="expression" dxfId="7" priority="55">
      <formula>$F11="Highway"</formula>
    </cfRule>
  </conditionalFormatting>
  <conditionalFormatting sqref="X11:Y16 AC11:AD16">
    <cfRule type="expression" dxfId="6" priority="149">
      <formula>OR($F11=Hwy, SUM($Y34:$AA34)&lt;&gt;0)</formula>
    </cfRule>
  </conditionalFormatting>
  <conditionalFormatting sqref="AN34:AS39 BB34:BG39">
    <cfRule type="expression" dxfId="5" priority="164">
      <formula>$AL11&lt;&gt;Hwy</formula>
    </cfRule>
  </conditionalFormatting>
  <conditionalFormatting sqref="AN45:AS50 BB45:BG50">
    <cfRule type="expression" dxfId="4" priority="166">
      <formula>$AL11&lt;&gt;Hwy</formula>
    </cfRule>
  </conditionalFormatting>
  <conditionalFormatting sqref="AQ11:AS16">
    <cfRule type="expression" dxfId="3" priority="168">
      <formula>$AL11&lt;&gt;Hwy</formula>
    </cfRule>
  </conditionalFormatting>
  <conditionalFormatting sqref="CE11:CH16 CK11:CO16">
    <cfRule type="expression" dxfId="2" priority="169">
      <formula>$BP11&lt;&gt;Highway</formula>
    </cfRule>
  </conditionalFormatting>
  <conditionalFormatting sqref="BP34:BP39 BR34:BR39 CD34:CF39">
    <cfRule type="expression" dxfId="1" priority="171">
      <formula>$BP11&lt;&gt;Highway</formula>
    </cfRule>
  </conditionalFormatting>
  <conditionalFormatting sqref="BP45:BP50 CD45:CE50">
    <cfRule type="expression" dxfId="0" priority="175">
      <formula>$BP11&lt;&gt;Highway</formula>
    </cfRule>
  </conditionalFormatting>
  <dataValidations xWindow="203" yWindow="452" count="3">
    <dataValidation allowBlank="1" showInputMessage="1" showErrorMessage="1" promptTitle="Crash Rates" prompt="Enter crash rates only for Highway mode. For other modes, please override the rates in the PARAMETERS worksheet (BH12:BJ14) if project specific data is available." sqref="BB34:BD39 BB45:BD50 AN45:AP50 AN34:AP39" xr:uid="{00000000-0002-0000-0300-000000000000}"/>
    <dataValidation allowBlank="1" showInputMessage="1" showErrorMessage="1" promptTitle="Numbers of Crashes" prompt="If necessary, edit numbers of crashes only for Highway mode. For other modes, please override the rates in the PARAMETERS worksheet (BH12:BJ14) if project specific data is available." sqref="BE34:BG39 BE45:BG50 AQ45:AS50 AQ34:AS39" xr:uid="{00000000-0002-0000-0300-000001000000}"/>
    <dataValidation type="list" allowBlank="1" showInputMessage="1" showErrorMessage="1" promptTitle="Select Mode" prompt="This cell cannot be left blank." sqref="AL11:AL16 F11:F16" xr:uid="{00000000-0002-0000-0300-000002000000}">
      <formula1>Modes</formula1>
    </dataValidation>
  </dataValidations>
  <printOptions horizontalCentered="1"/>
  <pageMargins left="0.75" right="0.75" top="0.75" bottom="0.75" header="0.5" footer="0.5"/>
  <pageSetup scale="24" fitToHeight="5" orientation="portrait" r:id="rId1"/>
  <headerFooter alignWithMargins="0">
    <oddFooter>&amp;L&amp;8Transportation Economics
Caltrans DOTP&amp;C&amp;8Cal-B/C - &amp;A
&amp;F&amp;R&amp;8Page &amp;P
&amp;D</oddFooter>
  </headerFooter>
  <rowBreaks count="2" manualBreakCount="2">
    <brk id="21" max="16383" man="1"/>
    <brk id="41" max="16383" man="1"/>
  </rowBreaks>
  <colBreaks count="4" manualBreakCount="4">
    <brk id="17" max="1048575" man="1"/>
    <brk id="33" max="1048575" man="1"/>
    <brk id="47" max="1048575" man="1"/>
    <brk id="6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266" r:id="rId4" name="btnPrepareModel">
              <controlPr defaultSize="0" autoFill="0" autoLine="0" autoPict="0" macro="[0]!Prepare_Model_for_Next_Location">
                <anchor moveWithCells="1">
                  <from>
                    <xdr:col>19</xdr:col>
                    <xdr:colOff>266700</xdr:colOff>
                    <xdr:row>5</xdr:row>
                    <xdr:rowOff>28575</xdr:rowOff>
                  </from>
                  <to>
                    <xdr:col>20</xdr:col>
                    <xdr:colOff>2009775</xdr:colOff>
                    <xdr:row>6</xdr:row>
                    <xdr:rowOff>152400</xdr:rowOff>
                  </to>
                </anchor>
              </controlPr>
            </control>
          </mc:Choice>
        </mc:AlternateContent>
        <mc:AlternateContent xmlns:mc="http://schemas.openxmlformats.org/markup-compatibility/2006">
          <mc:Choice Requires="x14">
            <control shapeId="11267" r:id="rId5" name="Button 3">
              <controlPr defaultSize="0" autoFill="0" autoLine="0" autoPict="0" macro="[0]!Prepare_Model_for_Next_Location">
                <anchor moveWithCells="1">
                  <from>
                    <xdr:col>19</xdr:col>
                    <xdr:colOff>266700</xdr:colOff>
                    <xdr:row>67</xdr:row>
                    <xdr:rowOff>28575</xdr:rowOff>
                  </from>
                  <to>
                    <xdr:col>20</xdr:col>
                    <xdr:colOff>2009775</xdr:colOff>
                    <xdr:row>69</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CFFCC"/>
  </sheetPr>
  <dimension ref="B2:V54"/>
  <sheetViews>
    <sheetView showGridLines="0" zoomScale="70" zoomScaleNormal="70" workbookViewId="0">
      <selection activeCell="AF43" sqref="AF43"/>
    </sheetView>
  </sheetViews>
  <sheetFormatPr defaultColWidth="9.42578125" defaultRowHeight="12.75" x14ac:dyDescent="0.2"/>
  <cols>
    <col min="1" max="1" width="5.5703125" style="1" customWidth="1"/>
    <col min="2" max="2" width="7.42578125" style="1" customWidth="1"/>
    <col min="3" max="4" width="2.42578125" style="1" customWidth="1"/>
    <col min="5" max="5" width="22.5703125" style="1" customWidth="1"/>
    <col min="6" max="6" width="2.5703125" style="1" customWidth="1"/>
    <col min="7" max="7" width="18.42578125" style="1" customWidth="1"/>
    <col min="8" max="8" width="14.42578125" style="1" customWidth="1"/>
    <col min="9" max="11" width="2.42578125" style="1" customWidth="1"/>
    <col min="12" max="12" width="20.5703125" style="1" customWidth="1"/>
    <col min="13" max="13" width="11" style="1" customWidth="1"/>
    <col min="14" max="14" width="2.42578125" style="1" customWidth="1"/>
    <col min="15" max="16" width="12.42578125" style="1" customWidth="1"/>
    <col min="17" max="17" width="16.5703125" style="1" customWidth="1"/>
    <col min="18" max="18" width="15.42578125" style="1" customWidth="1"/>
    <col min="19" max="20" width="2.5703125" style="1" customWidth="1"/>
    <col min="21" max="16384" width="9.42578125" style="1"/>
  </cols>
  <sheetData>
    <row r="2" spans="2:22" ht="15.75" x14ac:dyDescent="0.2">
      <c r="B2" s="211" t="s">
        <v>3</v>
      </c>
      <c r="C2" s="11"/>
      <c r="E2" s="212">
        <f>IF('1) Project Information'!E2&lt;&gt;"",'1) Project Information'!E2,"")</f>
        <v>6</v>
      </c>
      <c r="F2" s="212"/>
      <c r="G2" s="212"/>
      <c r="J2" s="12"/>
      <c r="K2" s="12"/>
      <c r="L2" s="2"/>
      <c r="M2" s="2"/>
      <c r="N2" s="2"/>
      <c r="O2" s="13"/>
      <c r="P2" s="2"/>
      <c r="Q2" s="2"/>
      <c r="R2" s="2"/>
      <c r="S2" s="2"/>
      <c r="T2" s="12"/>
      <c r="U2" s="2"/>
      <c r="V2" s="2"/>
    </row>
    <row r="3" spans="2:22" ht="14.25" x14ac:dyDescent="0.2">
      <c r="B3" s="8"/>
      <c r="C3" s="15"/>
      <c r="E3" s="12"/>
      <c r="F3" s="12"/>
      <c r="G3" s="12"/>
      <c r="Q3" s="17" t="s">
        <v>5</v>
      </c>
      <c r="R3" s="213" t="str">
        <f>'1) Project Information'!Q3</f>
        <v>06-48740</v>
      </c>
      <c r="S3" s="2"/>
      <c r="T3" s="2"/>
    </row>
    <row r="4" spans="2:22" ht="15.75" x14ac:dyDescent="0.2">
      <c r="B4" s="211" t="s">
        <v>7</v>
      </c>
      <c r="E4" s="214" t="str">
        <f>IF(ProjName&lt;&gt;"",ProjName,"")</f>
        <v>Caldwell Interchange</v>
      </c>
      <c r="F4" s="214"/>
      <c r="G4" s="214"/>
      <c r="Q4" s="17" t="s">
        <v>8</v>
      </c>
      <c r="R4" s="213">
        <f>'1) Project Information'!Q4</f>
        <v>0</v>
      </c>
      <c r="S4" s="2"/>
      <c r="T4" s="2"/>
    </row>
    <row r="5" spans="2:22" ht="15.75" x14ac:dyDescent="0.2">
      <c r="C5" s="214"/>
      <c r="D5" s="214"/>
      <c r="E5" s="12"/>
      <c r="F5" s="12"/>
      <c r="G5" s="12"/>
      <c r="O5" s="215"/>
      <c r="P5" s="12"/>
      <c r="Q5" s="12"/>
      <c r="R5" s="12"/>
      <c r="S5" s="2"/>
      <c r="T5" s="2"/>
    </row>
    <row r="6" spans="2:22" ht="15.75" x14ac:dyDescent="0.2">
      <c r="C6" s="214"/>
      <c r="D6" s="214"/>
      <c r="E6" s="12"/>
      <c r="F6" s="12"/>
      <c r="G6" s="12"/>
      <c r="O6" s="215"/>
      <c r="P6" s="12"/>
      <c r="Q6" s="12"/>
      <c r="R6" s="12"/>
      <c r="S6" s="2"/>
      <c r="T6" s="2"/>
    </row>
    <row r="7" spans="2:22" ht="13.5" thickBot="1" x14ac:dyDescent="0.25"/>
    <row r="8" spans="2:22" ht="13.5" thickTop="1" x14ac:dyDescent="0.2">
      <c r="C8" s="216"/>
      <c r="D8" s="217"/>
      <c r="E8" s="217"/>
      <c r="F8" s="217"/>
      <c r="G8" s="217"/>
      <c r="H8" s="218"/>
      <c r="I8" s="218"/>
      <c r="J8" s="26"/>
      <c r="K8" s="26"/>
      <c r="L8" s="27"/>
      <c r="M8" s="27"/>
      <c r="N8" s="27"/>
      <c r="O8" s="27"/>
      <c r="P8" s="27"/>
      <c r="Q8" s="27"/>
      <c r="R8" s="27"/>
      <c r="S8" s="27"/>
      <c r="T8" s="28"/>
    </row>
    <row r="9" spans="2:22" ht="23.25" x14ac:dyDescent="0.2">
      <c r="C9" s="219"/>
      <c r="D9" s="36">
        <v>3</v>
      </c>
      <c r="E9" s="220" t="s">
        <v>128</v>
      </c>
      <c r="F9" s="220"/>
      <c r="G9" s="220"/>
      <c r="H9" s="221"/>
      <c r="I9" s="221"/>
      <c r="J9" s="38"/>
      <c r="K9" s="38"/>
      <c r="L9" s="162"/>
      <c r="M9" s="162"/>
      <c r="N9" s="162"/>
      <c r="O9" s="162"/>
      <c r="P9" s="162"/>
      <c r="Q9" s="162"/>
      <c r="R9" s="162"/>
      <c r="T9" s="39"/>
    </row>
    <row r="10" spans="2:22" ht="18" x14ac:dyDescent="0.2">
      <c r="C10" s="222"/>
      <c r="D10" s="223"/>
      <c r="E10" s="224" t="s">
        <v>129</v>
      </c>
      <c r="F10" s="224"/>
      <c r="G10" s="224"/>
      <c r="H10" s="221"/>
      <c r="I10" s="221"/>
      <c r="J10" s="225"/>
      <c r="K10" s="225"/>
      <c r="L10" s="162"/>
      <c r="M10" s="162"/>
      <c r="N10" s="162"/>
      <c r="O10" s="162"/>
      <c r="P10" s="162"/>
      <c r="Q10" s="162"/>
      <c r="R10" s="162"/>
      <c r="T10" s="39"/>
    </row>
    <row r="11" spans="2:22" ht="15.75" x14ac:dyDescent="0.2">
      <c r="C11" s="222"/>
      <c r="D11" s="223"/>
      <c r="E11" s="226"/>
      <c r="F11" s="226"/>
      <c r="G11" s="226"/>
      <c r="H11" s="221"/>
      <c r="I11" s="221"/>
      <c r="J11" s="227"/>
      <c r="K11" s="227"/>
      <c r="T11" s="39"/>
    </row>
    <row r="12" spans="2:22" ht="18.75" customHeight="1" x14ac:dyDescent="0.2">
      <c r="C12" s="228"/>
      <c r="D12" s="229"/>
      <c r="E12" s="230"/>
      <c r="F12" s="230"/>
      <c r="G12" s="230"/>
      <c r="H12" s="231"/>
      <c r="I12" s="232"/>
      <c r="J12" s="233"/>
      <c r="K12" s="234"/>
      <c r="L12" s="43"/>
      <c r="M12" s="43"/>
      <c r="N12" s="43"/>
      <c r="O12" s="43"/>
      <c r="P12" s="43"/>
      <c r="Q12" s="235" t="s">
        <v>130</v>
      </c>
      <c r="R12" s="235" t="s">
        <v>94</v>
      </c>
      <c r="S12" s="205"/>
      <c r="T12" s="39"/>
    </row>
    <row r="13" spans="2:22" ht="18" x14ac:dyDescent="0.25">
      <c r="C13" s="236"/>
      <c r="D13" s="237"/>
      <c r="E13" s="238" t="s">
        <v>131</v>
      </c>
      <c r="F13" s="238"/>
      <c r="G13" s="238"/>
      <c r="H13" s="239">
        <f>LifeCycleCost/1000000</f>
        <v>63.507582437209891</v>
      </c>
      <c r="I13" s="240"/>
      <c r="J13" s="241"/>
      <c r="K13" s="242"/>
      <c r="L13" s="243" t="s">
        <v>132</v>
      </c>
      <c r="M13" s="243"/>
      <c r="N13" s="243"/>
      <c r="O13" s="243"/>
      <c r="P13" s="243"/>
      <c r="Q13" s="244" t="str">
        <f>_YearsModel&amp; " Years"</f>
        <v>20 Years</v>
      </c>
      <c r="R13" s="244" t="s">
        <v>133</v>
      </c>
      <c r="S13" s="62"/>
      <c r="T13" s="39"/>
    </row>
    <row r="14" spans="2:22" ht="18" x14ac:dyDescent="0.2">
      <c r="C14" s="236"/>
      <c r="D14" s="237"/>
      <c r="E14" s="238" t="s">
        <v>134</v>
      </c>
      <c r="F14" s="238"/>
      <c r="G14" s="238"/>
      <c r="H14" s="245">
        <f ca="1">LifeCycleBene/1000000</f>
        <v>84.916083958653076</v>
      </c>
      <c r="I14" s="240"/>
      <c r="J14" s="233"/>
      <c r="K14" s="246"/>
      <c r="L14" s="238" t="s">
        <v>135</v>
      </c>
      <c r="M14" s="238"/>
      <c r="N14" s="238"/>
      <c r="O14" s="238"/>
      <c r="P14" s="238"/>
      <c r="Q14" s="239">
        <f ca="1">('Final Calculations'!C55+'Final Calculations'!H55+'Final Calculations'!M55+'Final Calculations'!R55)/1000000</f>
        <v>28.822189536985757</v>
      </c>
      <c r="R14" s="239">
        <f t="shared" ref="R14:R19" ca="1" si="0">Q14/_YearsModel</f>
        <v>1.4411094768492878</v>
      </c>
      <c r="S14" s="62"/>
      <c r="T14" s="39"/>
    </row>
    <row r="15" spans="2:22" ht="18" x14ac:dyDescent="0.2">
      <c r="C15" s="236"/>
      <c r="D15" s="237"/>
      <c r="E15" s="238" t="s">
        <v>136</v>
      </c>
      <c r="F15" s="238"/>
      <c r="G15" s="238"/>
      <c r="H15" s="245">
        <f ca="1">NetPresentValue/1000000</f>
        <v>21.408501521443174</v>
      </c>
      <c r="I15" s="240"/>
      <c r="J15" s="241"/>
      <c r="K15" s="242"/>
      <c r="L15" s="238" t="s">
        <v>861</v>
      </c>
      <c r="M15" s="238"/>
      <c r="N15" s="238"/>
      <c r="O15" s="238"/>
      <c r="P15" s="238"/>
      <c r="Q15" s="239">
        <f ca="1">('Final Calculations'!D55+'Final Calculations'!I55+'Final Calculations'!N55+'Final Calculations'!S55)/1000000</f>
        <v>1.7197907867254629</v>
      </c>
      <c r="R15" s="239">
        <f t="shared" ca="1" si="0"/>
        <v>8.5989539336273152E-2</v>
      </c>
      <c r="S15" s="62"/>
      <c r="T15" s="39"/>
    </row>
    <row r="16" spans="2:22" ht="18" x14ac:dyDescent="0.2">
      <c r="C16" s="236"/>
      <c r="D16" s="237"/>
      <c r="E16" s="51"/>
      <c r="F16" s="51"/>
      <c r="G16" s="51"/>
      <c r="H16" s="51"/>
      <c r="I16" s="247"/>
      <c r="J16" s="12"/>
      <c r="K16" s="248"/>
      <c r="L16" s="238" t="s">
        <v>137</v>
      </c>
      <c r="M16" s="238"/>
      <c r="N16" s="238"/>
      <c r="O16" s="238"/>
      <c r="P16" s="238"/>
      <c r="Q16" s="239">
        <f ca="1">('Final Calculations'!E55+'Final Calculations'!J55+'Final Calculations'!O55+'Final Calculations'!T55)/1000000</f>
        <v>27.952363641427056</v>
      </c>
      <c r="R16" s="239">
        <f t="shared" ca="1" si="0"/>
        <v>1.3976181820713527</v>
      </c>
      <c r="S16" s="62"/>
      <c r="T16" s="39"/>
    </row>
    <row r="17" spans="3:20" ht="18" x14ac:dyDescent="0.2">
      <c r="C17" s="236"/>
      <c r="D17" s="237"/>
      <c r="E17" s="51"/>
      <c r="F17" s="51"/>
      <c r="G17" s="51"/>
      <c r="H17" s="51"/>
      <c r="I17" s="247"/>
      <c r="J17" s="12"/>
      <c r="K17" s="248"/>
      <c r="L17" s="238" t="s">
        <v>138</v>
      </c>
      <c r="M17" s="238"/>
      <c r="N17" s="238"/>
      <c r="O17" s="238"/>
      <c r="P17" s="238"/>
      <c r="Q17" s="239">
        <f ca="1">('Final Calculations'!F55+'Final Calculations'!K55+'Final Calculations'!P55+'Final Calculations'!U55)/1000000</f>
        <v>24.46430061854835</v>
      </c>
      <c r="R17" s="239">
        <f t="shared" ca="1" si="0"/>
        <v>1.2232150309274175</v>
      </c>
      <c r="S17" s="62"/>
      <c r="T17" s="39"/>
    </row>
    <row r="18" spans="3:20" ht="18" x14ac:dyDescent="0.2">
      <c r="C18" s="236"/>
      <c r="D18" s="237"/>
      <c r="E18" s="238" t="s">
        <v>139</v>
      </c>
      <c r="F18" s="238"/>
      <c r="G18" s="238"/>
      <c r="H18" s="249">
        <f ca="1">IF(LifeCycleCost=0,"N/A",LifeCycleBene/LifeCycleCost)</f>
        <v>1.3371015034718072</v>
      </c>
      <c r="I18" s="250"/>
      <c r="J18" s="12"/>
      <c r="K18" s="248"/>
      <c r="L18" s="238" t="s">
        <v>140</v>
      </c>
      <c r="M18" s="238"/>
      <c r="N18" s="238"/>
      <c r="O18" s="238"/>
      <c r="P18" s="238"/>
      <c r="Q18" s="239">
        <f ca="1">('Final Calculations'!G55+'Final Calculations'!L55+'Final Calculations'!Q55+'Final Calculations'!V55)/1000000</f>
        <v>1.9574393749664576</v>
      </c>
      <c r="R18" s="239">
        <f t="shared" ca="1" si="0"/>
        <v>9.787196874832288E-2</v>
      </c>
      <c r="S18" s="62"/>
      <c r="T18" s="39"/>
    </row>
    <row r="19" spans="3:20" ht="18" x14ac:dyDescent="0.2">
      <c r="C19" s="236"/>
      <c r="D19" s="237"/>
      <c r="E19" s="51"/>
      <c r="F19" s="51"/>
      <c r="G19" s="51"/>
      <c r="H19" s="51"/>
      <c r="I19" s="250"/>
      <c r="J19" s="12"/>
      <c r="K19" s="248"/>
      <c r="L19" s="251" t="s">
        <v>141</v>
      </c>
      <c r="M19" s="251"/>
      <c r="N19" s="251"/>
      <c r="O19" s="251"/>
      <c r="P19" s="251"/>
      <c r="Q19" s="239">
        <f ca="1">SUM(Q14:Q18)</f>
        <v>84.916083958653076</v>
      </c>
      <c r="R19" s="239">
        <f t="shared" ca="1" si="0"/>
        <v>4.245804197932654</v>
      </c>
      <c r="S19" s="62"/>
      <c r="T19" s="39"/>
    </row>
    <row r="20" spans="3:20" ht="18" x14ac:dyDescent="0.2">
      <c r="C20" s="236"/>
      <c r="D20" s="237"/>
      <c r="E20" s="238" t="s">
        <v>142</v>
      </c>
      <c r="F20" s="238"/>
      <c r="G20" s="238"/>
      <c r="H20" s="252">
        <f ca="1">IFERROR(ReturnOnInvest,"N/A")</f>
        <v>6.7358462569764521E-2</v>
      </c>
      <c r="I20" s="250"/>
      <c r="J20" s="12"/>
      <c r="K20" s="248"/>
      <c r="L20" s="253"/>
      <c r="M20" s="253"/>
      <c r="N20" s="253"/>
      <c r="O20" s="253"/>
      <c r="P20" s="253"/>
      <c r="Q20" s="254"/>
      <c r="R20" s="254"/>
      <c r="S20" s="62"/>
      <c r="T20" s="39"/>
    </row>
    <row r="21" spans="3:20" ht="18" x14ac:dyDescent="0.2">
      <c r="C21" s="236"/>
      <c r="D21" s="237"/>
      <c r="E21" s="51"/>
      <c r="F21" s="51"/>
      <c r="G21" s="51"/>
      <c r="H21" s="51"/>
      <c r="I21" s="250"/>
      <c r="J21" s="12"/>
      <c r="K21" s="248"/>
      <c r="L21" s="238" t="s">
        <v>143</v>
      </c>
      <c r="M21" s="251"/>
      <c r="N21" s="251"/>
      <c r="O21" s="251"/>
      <c r="P21" s="251"/>
      <c r="Q21" s="255">
        <f ca="1">'Final Calculations'!C57+'Final Calculations'!G57+'Final Calculations'!K57+'Final Calculations'!O57</f>
        <v>2357014.8749999972</v>
      </c>
      <c r="R21" s="255">
        <f ca="1">Q21/_YearsModel</f>
        <v>117850.74374999986</v>
      </c>
      <c r="S21" s="62"/>
      <c r="T21" s="39"/>
    </row>
    <row r="22" spans="3:20" ht="18.75" customHeight="1" x14ac:dyDescent="0.2">
      <c r="C22" s="236"/>
      <c r="D22" s="237"/>
      <c r="E22" s="238" t="s">
        <v>144</v>
      </c>
      <c r="F22" s="238"/>
      <c r="G22" s="238"/>
      <c r="H22" s="252" t="str">
        <f ca="1">Payback</f>
        <v>11 years</v>
      </c>
      <c r="I22" s="250"/>
      <c r="J22" s="12"/>
      <c r="K22" s="248"/>
      <c r="L22" s="238" t="s">
        <v>145</v>
      </c>
      <c r="M22" s="251"/>
      <c r="N22" s="251"/>
      <c r="O22" s="251"/>
      <c r="P22" s="251"/>
      <c r="Q22" s="255">
        <f ca="1">'Final Calculations'!C68+'Final Calculations'!G68+'Final Calculations'!K68+'Final Calculations'!O68</f>
        <v>2.1857425085999971</v>
      </c>
      <c r="R22" s="255">
        <f ca="1">Q22/_YearsModel</f>
        <v>0.10928712542999985</v>
      </c>
      <c r="S22" s="62"/>
      <c r="T22" s="39"/>
    </row>
    <row r="23" spans="3:20" ht="18.75" customHeight="1" x14ac:dyDescent="0.2">
      <c r="C23" s="236"/>
      <c r="D23" s="237"/>
      <c r="E23" s="254"/>
      <c r="F23" s="254"/>
      <c r="G23" s="254"/>
      <c r="H23" s="875"/>
      <c r="I23" s="250"/>
      <c r="J23" s="12"/>
      <c r="K23" s="248"/>
      <c r="L23" s="238" t="s">
        <v>146</v>
      </c>
      <c r="M23" s="251"/>
      <c r="N23" s="251"/>
      <c r="O23" s="251"/>
      <c r="P23" s="251"/>
      <c r="Q23" s="255">
        <f ca="1">'Final Calculations'!C69+'Final Calculations'!G69+'Final Calculations'!K69+'Final Calculations'!O69</f>
        <v>113.34318322880083</v>
      </c>
      <c r="R23" s="255">
        <f ca="1">Q23/_YearsModel</f>
        <v>5.6671591614400416</v>
      </c>
      <c r="S23" s="62"/>
      <c r="T23" s="39"/>
    </row>
    <row r="24" spans="3:20" ht="18.75" customHeight="1" x14ac:dyDescent="0.2">
      <c r="C24" s="236"/>
      <c r="D24" s="237"/>
      <c r="E24" s="254"/>
      <c r="F24" s="254"/>
      <c r="G24" s="254"/>
      <c r="H24" s="875"/>
      <c r="I24" s="250"/>
      <c r="J24" s="12"/>
      <c r="K24" s="248"/>
      <c r="L24" s="238" t="s">
        <v>147</v>
      </c>
      <c r="M24" s="251"/>
      <c r="N24" s="251"/>
      <c r="O24" s="251"/>
      <c r="P24" s="251"/>
      <c r="Q24" s="255">
        <f ca="1">'Final Calculations'!C70+'Final Calculations'!G70+'Final Calculations'!K70+'Final Calculations'!O70</f>
        <v>746.34754818187093</v>
      </c>
      <c r="R24" s="255">
        <f ca="1">Q24/_YearsModel</f>
        <v>37.317377409093545</v>
      </c>
      <c r="S24" s="62"/>
      <c r="T24" s="39"/>
    </row>
    <row r="25" spans="3:20" ht="18" x14ac:dyDescent="0.2">
      <c r="C25" s="236"/>
      <c r="D25" s="257"/>
      <c r="E25" s="258"/>
      <c r="F25" s="258"/>
      <c r="G25" s="258"/>
      <c r="H25" s="259"/>
      <c r="I25" s="260"/>
      <c r="J25" s="12"/>
      <c r="K25" s="261"/>
      <c r="L25" s="124"/>
      <c r="M25" s="124"/>
      <c r="N25" s="124"/>
      <c r="O25" s="124"/>
      <c r="P25" s="124"/>
      <c r="Q25" s="124"/>
      <c r="R25" s="124"/>
      <c r="S25" s="210"/>
      <c r="T25" s="39"/>
    </row>
    <row r="26" spans="3:20" ht="13.5" customHeight="1" x14ac:dyDescent="0.2">
      <c r="C26" s="236"/>
      <c r="D26" s="2"/>
      <c r="E26" s="674"/>
      <c r="F26" s="674"/>
      <c r="G26" s="674"/>
      <c r="H26" s="675"/>
      <c r="I26" s="675"/>
      <c r="J26" s="12"/>
      <c r="K26" s="12"/>
      <c r="T26" s="39"/>
    </row>
    <row r="27" spans="3:20" ht="18.75" customHeight="1" x14ac:dyDescent="0.3">
      <c r="C27" s="236"/>
      <c r="D27" s="267" t="s">
        <v>148</v>
      </c>
      <c r="E27" s="43"/>
      <c r="F27" s="268"/>
      <c r="G27" s="43"/>
      <c r="H27" s="43"/>
      <c r="I27" s="205"/>
      <c r="J27" s="12"/>
      <c r="K27" s="652"/>
      <c r="L27" s="653"/>
      <c r="M27" s="653"/>
      <c r="N27" s="653"/>
      <c r="O27" s="654" t="s">
        <v>149</v>
      </c>
      <c r="P27" s="655"/>
      <c r="Q27" s="654" t="s">
        <v>150</v>
      </c>
      <c r="R27" s="655"/>
      <c r="S27" s="656"/>
      <c r="T27" s="39"/>
    </row>
    <row r="28" spans="3:20" ht="18.75" customHeight="1" x14ac:dyDescent="0.2">
      <c r="C28" s="236"/>
      <c r="D28" s="269"/>
      <c r="E28" s="51"/>
      <c r="F28" s="256"/>
      <c r="G28" s="51"/>
      <c r="H28" s="271"/>
      <c r="I28" s="272"/>
      <c r="J28" s="12"/>
      <c r="K28" s="657"/>
      <c r="L28" s="658"/>
      <c r="M28" s="658"/>
      <c r="N28" s="658"/>
      <c r="O28" s="659" t="s">
        <v>130</v>
      </c>
      <c r="P28" s="659" t="s">
        <v>94</v>
      </c>
      <c r="Q28" s="659" t="s">
        <v>130</v>
      </c>
      <c r="R28" s="659" t="s">
        <v>94</v>
      </c>
      <c r="S28" s="660"/>
      <c r="T28" s="39"/>
    </row>
    <row r="29" spans="3:20" ht="18.75" customHeight="1" x14ac:dyDescent="0.25">
      <c r="C29" s="236"/>
      <c r="D29" s="49"/>
      <c r="E29" s="253" t="s">
        <v>151</v>
      </c>
      <c r="F29" s="51"/>
      <c r="G29" s="51"/>
      <c r="H29" s="273" t="s">
        <v>152</v>
      </c>
      <c r="I29" s="62"/>
      <c r="J29" s="12"/>
      <c r="K29" s="657"/>
      <c r="L29" s="661" t="s">
        <v>153</v>
      </c>
      <c r="M29" s="658"/>
      <c r="N29" s="658"/>
      <c r="O29" s="244" t="str">
        <f>_YearsModel&amp; " Years"</f>
        <v>20 Years</v>
      </c>
      <c r="P29" s="659" t="s">
        <v>133</v>
      </c>
      <c r="Q29" s="244" t="str">
        <f>_YearsModel&amp; " Years"</f>
        <v>20 Years</v>
      </c>
      <c r="R29" s="659" t="s">
        <v>133</v>
      </c>
      <c r="S29" s="660"/>
      <c r="T29" s="39"/>
    </row>
    <row r="30" spans="3:20" ht="18.75" customHeight="1" x14ac:dyDescent="0.2">
      <c r="C30" s="236"/>
      <c r="D30" s="49"/>
      <c r="E30" s="274"/>
      <c r="F30" s="51"/>
      <c r="G30" s="51"/>
      <c r="H30" s="275" t="s">
        <v>154</v>
      </c>
      <c r="I30" s="62"/>
      <c r="J30" s="12"/>
      <c r="K30" s="662"/>
      <c r="L30" s="663" t="s">
        <v>155</v>
      </c>
      <c r="M30" s="664"/>
      <c r="N30" s="665"/>
      <c r="O30" s="255">
        <f ca="1">'Final Calculations'!C60+'Final Calculations'!G60+'Final Calculations'!K60+'Final Calculations'!O60</f>
        <v>46.590454867252291</v>
      </c>
      <c r="P30" s="255">
        <f t="shared" ref="P30:P36" ca="1" si="1">O30/_YearsModel</f>
        <v>2.3295227433626144</v>
      </c>
      <c r="Q30" s="239">
        <f ca="1">IFERROR(('Final Calculations'!D60+'Final Calculations'!H60+'Final Calculations'!L60+'Final Calculations'!P60)/1000000,0)</f>
        <v>2.3057164485011544E-3</v>
      </c>
      <c r="R30" s="239">
        <f ca="1">IFERROR(Q30/_YearsModel,0)</f>
        <v>1.1528582242505772E-4</v>
      </c>
      <c r="S30" s="660"/>
      <c r="T30" s="39"/>
    </row>
    <row r="31" spans="3:20" ht="18.75" customHeight="1" x14ac:dyDescent="0.2">
      <c r="C31" s="236"/>
      <c r="D31" s="49"/>
      <c r="E31" s="253" t="s">
        <v>870</v>
      </c>
      <c r="F31" s="51"/>
      <c r="G31" s="51"/>
      <c r="H31" s="273" t="s">
        <v>152</v>
      </c>
      <c r="I31" s="62"/>
      <c r="J31" s="12"/>
      <c r="K31" s="662"/>
      <c r="L31" s="666" t="s">
        <v>156</v>
      </c>
      <c r="M31" s="667"/>
      <c r="N31" s="668"/>
      <c r="O31" s="255">
        <f ca="1">'Final Calculations'!C61+'Final Calculations'!G61+'Final Calculations'!K61+'Final Calculations'!O61</f>
        <v>45204.121804010741</v>
      </c>
      <c r="P31" s="255">
        <f t="shared" ca="1" si="1"/>
        <v>2260.2060902005369</v>
      </c>
      <c r="Q31" s="239">
        <f ca="1">IFERROR(('Final Calculations'!D61+'Final Calculations'!H61+'Final Calculations'!L61+'Final Calculations'!P61)/1000000,0)</f>
        <v>1.6697462067125382</v>
      </c>
      <c r="R31" s="239">
        <f ca="1">IFERROR(Q31/_YearsModel,0)</f>
        <v>8.348731033562691E-2</v>
      </c>
      <c r="S31" s="660"/>
      <c r="T31" s="39"/>
    </row>
    <row r="32" spans="3:20" ht="18.75" customHeight="1" x14ac:dyDescent="0.2">
      <c r="C32" s="236"/>
      <c r="D32" s="49"/>
      <c r="E32" s="253"/>
      <c r="F32" s="51"/>
      <c r="G32" s="51"/>
      <c r="H32" s="275" t="s">
        <v>154</v>
      </c>
      <c r="I32" s="62"/>
      <c r="J32" s="12"/>
      <c r="K32" s="662"/>
      <c r="L32" s="666" t="s">
        <v>157</v>
      </c>
      <c r="M32" s="667"/>
      <c r="N32" s="668"/>
      <c r="O32" s="255">
        <f ca="1">'Final Calculations'!C62+'Final Calculations'!G62+'Final Calculations'!K62+'Final Calculations'!O62</f>
        <v>24.794665459648602</v>
      </c>
      <c r="P32" s="255">
        <f t="shared" ca="1" si="1"/>
        <v>1.2397332729824302</v>
      </c>
      <c r="Q32" s="239">
        <f ca="1">IFERROR(('Final Calculations'!D62+'Final Calculations'!H62+'Final Calculations'!L62+'Final Calculations'!P62)/1000000,0)</f>
        <v>0.23130059351210677</v>
      </c>
      <c r="R32" s="239">
        <f ca="1">IFERROR(Q32/_YearsModel,0)</f>
        <v>1.1565029675605338E-2</v>
      </c>
      <c r="S32" s="660"/>
      <c r="T32" s="39"/>
    </row>
    <row r="33" spans="3:20" ht="18.75" customHeight="1" x14ac:dyDescent="0.2">
      <c r="C33" s="236"/>
      <c r="D33" s="49"/>
      <c r="E33" s="253" t="s">
        <v>871</v>
      </c>
      <c r="F33" s="51"/>
      <c r="G33" s="51"/>
      <c r="H33" s="273" t="s">
        <v>152</v>
      </c>
      <c r="I33" s="62"/>
      <c r="J33" s="12"/>
      <c r="K33" s="662"/>
      <c r="L33" s="666" t="s">
        <v>159</v>
      </c>
      <c r="M33" s="667"/>
      <c r="N33" s="668"/>
      <c r="O33" s="255">
        <f ca="1">'Final Calculations'!C63+'Final Calculations'!G63+'Final Calculations'!K63+'Final Calculations'!O63</f>
        <v>0.54341898804712097</v>
      </c>
      <c r="P33" s="255">
        <f t="shared" ca="1" si="1"/>
        <v>2.7170949402356048E-2</v>
      </c>
      <c r="Q33" s="239">
        <f ca="1">IFERROR(('Final Calculations'!D63+'Final Calculations'!H63+'Final Calculations'!L63+'Final Calculations'!P63)/1000000,0)</f>
        <v>3.8003704728858952E-2</v>
      </c>
      <c r="R33" s="239">
        <f ca="1">IFERROR(Q33/_YearsModel,0)</f>
        <v>1.9001852364429477E-3</v>
      </c>
      <c r="S33" s="660"/>
      <c r="T33" s="39"/>
    </row>
    <row r="34" spans="3:20" ht="18.75" customHeight="1" x14ac:dyDescent="0.2">
      <c r="C34" s="236"/>
      <c r="D34" s="49"/>
      <c r="E34" s="253"/>
      <c r="F34" s="51"/>
      <c r="G34" s="51"/>
      <c r="H34" s="275" t="s">
        <v>154</v>
      </c>
      <c r="I34" s="62"/>
      <c r="J34" s="12"/>
      <c r="K34" s="662"/>
      <c r="L34" s="666" t="s">
        <v>867</v>
      </c>
      <c r="M34" s="667"/>
      <c r="N34" s="668"/>
      <c r="O34" s="255">
        <f ca="1">'Final Calculations'!C64+'Final Calculations'!G64+'Final Calculations'!K64+'Final Calculations'!O64</f>
        <v>0.51963750968373035</v>
      </c>
      <c r="P34" s="255">
        <f t="shared" ca="1" si="1"/>
        <v>2.5981875484186519E-2</v>
      </c>
      <c r="Q34" s="669"/>
      <c r="R34" s="670"/>
      <c r="S34" s="660"/>
      <c r="T34" s="39"/>
    </row>
    <row r="35" spans="3:20" ht="18.75" customHeight="1" x14ac:dyDescent="0.2">
      <c r="C35" s="236"/>
      <c r="D35" s="49"/>
      <c r="E35" s="253" t="s">
        <v>158</v>
      </c>
      <c r="F35" s="51"/>
      <c r="G35" s="51"/>
      <c r="H35" s="273" t="s">
        <v>152</v>
      </c>
      <c r="I35" s="62"/>
      <c r="J35" s="12"/>
      <c r="K35" s="662"/>
      <c r="L35" s="666" t="s">
        <v>161</v>
      </c>
      <c r="M35" s="667"/>
      <c r="N35" s="668"/>
      <c r="O35" s="255">
        <f ca="1">'Final Calculations'!C65+'Final Calculations'!G65+'Final Calculations'!K65+'Final Calculations'!O65</f>
        <v>0.43419524475762583</v>
      </c>
      <c r="P35" s="255">
        <f t="shared" ca="1" si="1"/>
        <v>2.1709762237881292E-2</v>
      </c>
      <c r="Q35" s="239">
        <f ca="1">IFERROR(('Final Calculations'!D65+'Final Calculations'!H65+'Final Calculations'!L65+'Final Calculations'!P65)/1000000,0)</f>
        <v>1.5301040600915933E-2</v>
      </c>
      <c r="R35" s="239">
        <f ca="1">IFERROR(Q35/_YearsModel,0)</f>
        <v>7.6505203004579669E-4</v>
      </c>
      <c r="S35" s="660"/>
      <c r="T35" s="39"/>
    </row>
    <row r="36" spans="3:20" ht="18.75" customHeight="1" x14ac:dyDescent="0.2">
      <c r="C36" s="236"/>
      <c r="D36" s="49"/>
      <c r="E36" s="274"/>
      <c r="F36" s="51"/>
      <c r="G36" s="51"/>
      <c r="H36" s="275" t="s">
        <v>154</v>
      </c>
      <c r="I36" s="62"/>
      <c r="J36" s="12"/>
      <c r="K36" s="662"/>
      <c r="L36" s="666" t="s">
        <v>163</v>
      </c>
      <c r="M36" s="667"/>
      <c r="N36" s="668"/>
      <c r="O36" s="255">
        <f ca="1">'Final Calculations'!C66+'Final Calculations'!G66+'Final Calculations'!K66+'Final Calculations'!O66</f>
        <v>1.1009981652495699</v>
      </c>
      <c r="P36" s="255">
        <f t="shared" ca="1" si="1"/>
        <v>5.5049908262478499E-2</v>
      </c>
      <c r="Q36" s="239">
        <f ca="1">IFERROR(('Final Calculations'!D66+'Final Calculations'!H66+'Final Calculations'!L66+'Final Calculations'!P66)/1000000,0)</f>
        <v>7.8211296353719205E-4</v>
      </c>
      <c r="R36" s="239">
        <f ca="1">IFERROR(Q36/_YearsModel,0)</f>
        <v>3.9105648176859604E-5</v>
      </c>
      <c r="S36" s="660"/>
      <c r="T36" s="39"/>
    </row>
    <row r="37" spans="3:20" ht="18.75" customHeight="1" x14ac:dyDescent="0.2">
      <c r="C37" s="236"/>
      <c r="D37" s="49"/>
      <c r="E37" s="253" t="s">
        <v>160</v>
      </c>
      <c r="F37" s="51"/>
      <c r="G37" s="51"/>
      <c r="H37" s="273" t="s">
        <v>152</v>
      </c>
      <c r="I37" s="62"/>
      <c r="J37" s="12"/>
      <c r="K37" s="662"/>
      <c r="L37" s="532"/>
      <c r="M37" s="532"/>
      <c r="N37" s="532"/>
      <c r="O37" s="532"/>
      <c r="P37" s="532"/>
      <c r="Q37" s="532"/>
      <c r="R37" s="532"/>
      <c r="S37" s="660"/>
      <c r="T37" s="39"/>
    </row>
    <row r="38" spans="3:20" ht="18.75" customHeight="1" x14ac:dyDescent="0.2">
      <c r="C38" s="236"/>
      <c r="D38" s="49"/>
      <c r="E38" s="276" t="s">
        <v>162</v>
      </c>
      <c r="F38" s="51"/>
      <c r="G38" s="51"/>
      <c r="H38" s="277" t="s">
        <v>154</v>
      </c>
      <c r="I38" s="62"/>
      <c r="J38" s="12"/>
      <c r="K38" s="662"/>
      <c r="L38" s="532"/>
      <c r="M38" s="532"/>
      <c r="N38" s="532"/>
      <c r="O38" s="532"/>
      <c r="P38" s="532"/>
      <c r="Q38" s="532"/>
      <c r="R38" s="532"/>
      <c r="S38" s="660"/>
      <c r="T38" s="39"/>
    </row>
    <row r="39" spans="3:20" ht="18.75" customHeight="1" x14ac:dyDescent="0.2">
      <c r="C39" s="236"/>
      <c r="D39" s="278"/>
      <c r="E39" s="124"/>
      <c r="F39" s="259"/>
      <c r="G39" s="124"/>
      <c r="H39" s="280"/>
      <c r="I39" s="281"/>
      <c r="J39" s="12"/>
      <c r="K39" s="671"/>
      <c r="L39" s="672"/>
      <c r="M39" s="672"/>
      <c r="N39" s="672"/>
      <c r="O39" s="672"/>
      <c r="P39" s="672"/>
      <c r="Q39" s="672"/>
      <c r="R39" s="672"/>
      <c r="S39" s="673"/>
      <c r="T39" s="39"/>
    </row>
    <row r="40" spans="3:20" ht="14.25" customHeight="1" thickBot="1" x14ac:dyDescent="0.25">
      <c r="C40" s="262"/>
      <c r="D40" s="263"/>
      <c r="E40" s="264"/>
      <c r="F40" s="264"/>
      <c r="G40" s="264"/>
      <c r="H40" s="265"/>
      <c r="I40" s="265"/>
      <c r="J40" s="266"/>
      <c r="K40" s="266"/>
      <c r="L40" s="127"/>
      <c r="M40" s="127"/>
      <c r="N40" s="127"/>
      <c r="O40" s="127"/>
      <c r="P40" s="127"/>
      <c r="Q40" s="127"/>
      <c r="R40" s="127"/>
      <c r="S40" s="127"/>
      <c r="T40" s="128"/>
    </row>
    <row r="41" spans="3:20" ht="11.25" customHeight="1" thickTop="1" x14ac:dyDescent="0.2">
      <c r="C41" s="26"/>
      <c r="D41" s="27"/>
      <c r="E41" s="27"/>
      <c r="F41" s="27"/>
      <c r="G41" s="27"/>
      <c r="H41" s="27"/>
      <c r="I41" s="27"/>
      <c r="J41" s="218"/>
      <c r="K41" s="27"/>
      <c r="L41" s="27"/>
      <c r="M41" s="27"/>
      <c r="N41" s="27"/>
      <c r="O41" s="27"/>
      <c r="P41" s="27"/>
      <c r="Q41" s="27"/>
      <c r="R41" s="27"/>
      <c r="S41" s="27"/>
      <c r="T41" s="27"/>
    </row>
    <row r="42" spans="3:20" ht="11.25" customHeight="1" x14ac:dyDescent="0.2">
      <c r="C42" s="2"/>
      <c r="J42" s="12"/>
    </row>
    <row r="43" spans="3:20" ht="11.25" customHeight="1" x14ac:dyDescent="0.2">
      <c r="C43" s="2"/>
      <c r="J43" s="12"/>
    </row>
    <row r="44" spans="3:20" x14ac:dyDescent="0.2">
      <c r="C44" s="2"/>
    </row>
    <row r="45" spans="3:20" ht="5.25" customHeight="1" x14ac:dyDescent="0.2">
      <c r="C45" s="2"/>
    </row>
    <row r="46" spans="3:20" ht="18" customHeight="1" x14ac:dyDescent="0.2"/>
    <row r="47" spans="3:20" ht="15.75" customHeight="1" x14ac:dyDescent="0.2"/>
    <row r="48" spans="3:20" ht="18.75" customHeight="1" x14ac:dyDescent="0.2"/>
    <row r="49" ht="16.5" customHeight="1" x14ac:dyDescent="0.2"/>
    <row r="50" ht="18.75" customHeight="1" x14ac:dyDescent="0.2"/>
    <row r="51" ht="16.5" customHeight="1" x14ac:dyDescent="0.2"/>
    <row r="52" ht="18.75" customHeight="1" x14ac:dyDescent="0.2"/>
    <row r="53" ht="15.75" customHeight="1" x14ac:dyDescent="0.2"/>
    <row r="54" ht="15.75" customHeight="1" x14ac:dyDescent="0.2"/>
  </sheetData>
  <dataValidations disablePrompts="1" count="1">
    <dataValidation type="list" showInputMessage="1" showErrorMessage="1" error="Please enter &quot;Y&quot; or &quot;N&quot;" sqref="H37 H33 H35 H29 H31" xr:uid="{00000000-0002-0000-0400-000000000000}">
      <formula1>"Y,N"</formula1>
    </dataValidation>
  </dataValidations>
  <printOptions horizontalCentered="1"/>
  <pageMargins left="0.75" right="0.75" top="0.75" bottom="0.75" header="0.5" footer="0.5"/>
  <pageSetup scale="70" orientation="landscape" r:id="rId1"/>
  <headerFooter alignWithMargins="0">
    <oddFooter>&amp;L&amp;8Transportation Economics
Caltrans DOTP&amp;C&amp;8Cal-B/C - &amp;A
&amp;F&amp;R&amp;8Page &amp;P
&amp;D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I209"/>
  <sheetViews>
    <sheetView showGridLines="0" zoomScale="70" zoomScaleNormal="70" workbookViewId="0"/>
  </sheetViews>
  <sheetFormatPr defaultColWidth="9.42578125" defaultRowHeight="12.75" x14ac:dyDescent="0.2"/>
  <cols>
    <col min="1" max="1" width="10.5703125" style="1" customWidth="1"/>
    <col min="2" max="2" width="7.5703125" style="184" customWidth="1"/>
    <col min="3" max="3" width="14.5703125" style="184" customWidth="1"/>
    <col min="4" max="4" width="14.5703125" style="283" customWidth="1"/>
    <col min="5" max="6" width="12.5703125" style="283" customWidth="1"/>
    <col min="7" max="8" width="17.5703125" style="3" customWidth="1"/>
    <col min="9" max="9" width="14.5703125" style="1" customWidth="1"/>
    <col min="10" max="12" width="14.5703125" style="3" customWidth="1"/>
    <col min="13" max="14" width="17.42578125" style="3" customWidth="1"/>
    <col min="15" max="15" width="28.140625" style="3" customWidth="1"/>
    <col min="16" max="16" width="20" style="3" customWidth="1"/>
    <col min="17" max="17" width="14.5703125" style="3" customWidth="1"/>
    <col min="18" max="18" width="16.42578125" style="3" customWidth="1"/>
    <col min="19" max="19" width="2.5703125" style="3" customWidth="1"/>
    <col min="20" max="20" width="32.42578125" style="1" bestFit="1" customWidth="1"/>
    <col min="21" max="21" width="9.42578125" style="1"/>
    <col min="22" max="22" width="7.5703125" style="1" customWidth="1"/>
    <col min="23" max="28" width="14.42578125" style="1" customWidth="1"/>
    <col min="29" max="29" width="2.42578125" style="1" customWidth="1"/>
    <col min="30" max="30" width="18.5703125" style="1" customWidth="1"/>
    <col min="31" max="31" width="2.42578125" style="1" customWidth="1"/>
    <col min="32" max="32" width="17" style="1" customWidth="1"/>
    <col min="33" max="33" width="6.42578125" style="1" customWidth="1"/>
    <col min="34" max="34" width="14.42578125" style="1" customWidth="1"/>
    <col min="35" max="35" width="14.5703125" style="1" customWidth="1"/>
    <col min="36" max="16384" width="9.42578125" style="1"/>
  </cols>
  <sheetData>
    <row r="1" spans="1:35" ht="20.25" x14ac:dyDescent="0.3">
      <c r="B1" s="282" t="s">
        <v>164</v>
      </c>
      <c r="Q1" s="282"/>
      <c r="R1" s="282"/>
      <c r="S1" s="184"/>
      <c r="T1" s="283"/>
    </row>
    <row r="2" spans="1:35" x14ac:dyDescent="0.2">
      <c r="Q2" s="184"/>
      <c r="R2" s="184"/>
      <c r="S2" s="184"/>
      <c r="T2" s="283"/>
    </row>
    <row r="3" spans="1:35" ht="18.75" x14ac:dyDescent="0.2">
      <c r="B3" s="284" t="s">
        <v>165</v>
      </c>
      <c r="C3" s="1"/>
      <c r="D3" s="2"/>
      <c r="E3" s="2"/>
      <c r="F3" s="2"/>
      <c r="G3" s="13"/>
      <c r="H3" s="2"/>
      <c r="I3" s="13"/>
      <c r="J3" s="13"/>
      <c r="K3" s="2"/>
      <c r="L3" s="2"/>
      <c r="M3" s="2"/>
      <c r="N3" s="2"/>
      <c r="O3" s="2"/>
      <c r="P3" s="2"/>
      <c r="Q3" s="284"/>
      <c r="R3" s="284"/>
      <c r="S3" s="1"/>
      <c r="T3" s="2"/>
    </row>
    <row r="4" spans="1:35" ht="18.75" x14ac:dyDescent="0.2">
      <c r="B4" s="284"/>
      <c r="C4" s="1"/>
      <c r="D4" s="2"/>
      <c r="E4" s="2"/>
      <c r="F4" s="2"/>
      <c r="G4" s="13"/>
      <c r="H4" s="2"/>
      <c r="I4" s="13"/>
      <c r="J4" s="13"/>
      <c r="K4" s="2"/>
      <c r="L4" s="2"/>
      <c r="M4" s="2"/>
      <c r="Q4" s="284"/>
      <c r="R4" s="284"/>
      <c r="S4" s="1"/>
      <c r="T4" s="2"/>
    </row>
    <row r="5" spans="1:35" ht="18.75" x14ac:dyDescent="0.2">
      <c r="B5" s="285" t="s">
        <v>166</v>
      </c>
      <c r="C5" s="43"/>
      <c r="D5" s="59"/>
      <c r="E5" s="59"/>
      <c r="F5" s="59"/>
      <c r="G5" s="286"/>
      <c r="H5" s="286"/>
      <c r="I5" s="59"/>
      <c r="J5" s="286"/>
      <c r="K5" s="59"/>
      <c r="L5" s="60"/>
      <c r="M5" s="2"/>
      <c r="Q5" s="799"/>
      <c r="R5" s="1034"/>
      <c r="S5" s="1036" t="s">
        <v>167</v>
      </c>
      <c r="T5" s="34"/>
    </row>
    <row r="6" spans="1:35" x14ac:dyDescent="0.2">
      <c r="B6" s="287"/>
      <c r="C6" s="51"/>
      <c r="D6" s="270"/>
      <c r="E6" s="270"/>
      <c r="F6" s="270"/>
      <c r="G6" s="288"/>
      <c r="H6" s="289" t="s">
        <v>168</v>
      </c>
      <c r="I6" s="290"/>
      <c r="J6" s="291"/>
      <c r="K6" s="292"/>
      <c r="L6" s="293" t="s">
        <v>169</v>
      </c>
      <c r="M6" s="2"/>
      <c r="Q6" s="40"/>
      <c r="R6" s="800" t="s">
        <v>170</v>
      </c>
      <c r="S6" s="294"/>
      <c r="T6" s="295"/>
    </row>
    <row r="7" spans="1:35" x14ac:dyDescent="0.2">
      <c r="B7" s="296" t="s">
        <v>171</v>
      </c>
      <c r="C7" s="291"/>
      <c r="D7" s="297"/>
      <c r="E7" s="297"/>
      <c r="F7" s="298"/>
      <c r="G7" s="51"/>
      <c r="H7" s="299" t="s">
        <v>172</v>
      </c>
      <c r="I7" s="270"/>
      <c r="J7" s="872" t="s">
        <v>173</v>
      </c>
      <c r="K7" s="301"/>
      <c r="L7" s="293"/>
      <c r="M7" s="2"/>
      <c r="Q7" s="302"/>
      <c r="R7" s="302"/>
      <c r="S7" s="2"/>
      <c r="T7" s="13"/>
    </row>
    <row r="8" spans="1:35" x14ac:dyDescent="0.2">
      <c r="B8" s="303" t="s">
        <v>174</v>
      </c>
      <c r="C8" s="51"/>
      <c r="D8" s="420" t="s">
        <v>175</v>
      </c>
      <c r="E8" s="420" t="s">
        <v>176</v>
      </c>
      <c r="F8" s="270"/>
      <c r="G8" s="270"/>
      <c r="H8" s="304" t="s">
        <v>177</v>
      </c>
      <c r="I8" s="290"/>
      <c r="J8" s="291"/>
      <c r="K8" s="298"/>
      <c r="L8" s="293"/>
      <c r="M8" s="2"/>
      <c r="Q8" s="305"/>
      <c r="R8" s="305"/>
      <c r="S8" s="1"/>
      <c r="T8" s="2"/>
    </row>
    <row r="9" spans="1:35" x14ac:dyDescent="0.2">
      <c r="B9" s="237"/>
      <c r="C9" s="270"/>
      <c r="D9" s="270"/>
      <c r="E9" s="270"/>
      <c r="F9" s="270"/>
      <c r="G9" s="270"/>
      <c r="H9" s="270"/>
      <c r="I9" s="270"/>
      <c r="J9" s="270"/>
      <c r="K9" s="270"/>
      <c r="L9" s="293"/>
      <c r="M9" s="2"/>
      <c r="Q9" s="2"/>
      <c r="R9" s="2"/>
      <c r="S9" s="2"/>
      <c r="T9" s="2"/>
    </row>
    <row r="10" spans="1:35" x14ac:dyDescent="0.2">
      <c r="B10" s="296" t="s">
        <v>178</v>
      </c>
      <c r="C10" s="291"/>
      <c r="D10" s="297"/>
      <c r="E10" s="297"/>
      <c r="F10" s="292"/>
      <c r="G10" s="270" t="s">
        <v>179</v>
      </c>
      <c r="H10" s="304" t="s">
        <v>180</v>
      </c>
      <c r="I10" s="290"/>
      <c r="J10" s="291"/>
      <c r="K10" s="298"/>
      <c r="L10" s="293"/>
      <c r="M10" s="2"/>
      <c r="N10" s="2"/>
      <c r="O10" s="2">
        <f>MATCH(W$20,$A:$A)</f>
        <v>18</v>
      </c>
      <c r="P10" s="2"/>
      <c r="Q10" s="302"/>
      <c r="R10" s="302"/>
      <c r="S10" s="2"/>
      <c r="T10" s="13"/>
    </row>
    <row r="11" spans="1:35" x14ac:dyDescent="0.2">
      <c r="B11" s="307" t="s">
        <v>181</v>
      </c>
      <c r="C11" s="279"/>
      <c r="D11" s="308" t="s">
        <v>182</v>
      </c>
      <c r="E11" s="308" t="s">
        <v>173</v>
      </c>
      <c r="F11" s="309"/>
      <c r="G11" s="309"/>
      <c r="H11" s="1042" t="s">
        <v>183</v>
      </c>
      <c r="I11" s="1040" t="s">
        <v>184</v>
      </c>
      <c r="J11" s="971" t="s">
        <v>185</v>
      </c>
      <c r="K11" s="124"/>
      <c r="L11" s="210"/>
      <c r="M11" s="2"/>
      <c r="N11" s="2"/>
      <c r="O11" s="2"/>
      <c r="P11" s="2"/>
      <c r="Q11" s="310"/>
      <c r="R11" s="310"/>
      <c r="S11" s="2"/>
      <c r="T11" s="310"/>
    </row>
    <row r="12" spans="1:35" x14ac:dyDescent="0.2">
      <c r="A12" s="310"/>
      <c r="B12" s="2"/>
      <c r="C12" s="310"/>
      <c r="D12" s="311"/>
      <c r="E12" s="311"/>
      <c r="F12" s="311"/>
      <c r="G12" s="310"/>
      <c r="H12" s="1"/>
      <c r="I12" s="2"/>
      <c r="J12" s="310"/>
      <c r="K12" s="310"/>
      <c r="L12" s="310"/>
      <c r="M12" s="310"/>
      <c r="N12" s="310"/>
      <c r="O12" s="310"/>
      <c r="P12" s="310"/>
      <c r="Q12" s="1"/>
      <c r="R12" s="2"/>
      <c r="S12" s="2"/>
      <c r="T12" s="310"/>
    </row>
    <row r="13" spans="1:35" x14ac:dyDescent="0.2">
      <c r="A13" s="310"/>
      <c r="B13" s="2"/>
      <c r="C13" s="310"/>
      <c r="D13" s="311"/>
      <c r="E13" s="311"/>
      <c r="F13" s="311"/>
      <c r="G13" s="310"/>
      <c r="H13" s="310"/>
      <c r="I13" s="2"/>
      <c r="J13" s="310"/>
      <c r="K13" s="310"/>
      <c r="L13" s="310"/>
      <c r="M13" s="310"/>
      <c r="N13" s="310"/>
      <c r="O13" s="310"/>
      <c r="P13" s="310"/>
      <c r="Q13" s="1"/>
      <c r="R13" s="1"/>
      <c r="S13" s="1"/>
      <c r="V13" s="2"/>
      <c r="W13" s="310"/>
      <c r="X13" s="310"/>
      <c r="Y13" s="310"/>
      <c r="Z13" s="310"/>
      <c r="AA13" s="310"/>
      <c r="AB13" s="310"/>
      <c r="AD13" s="311"/>
      <c r="AE13" s="311"/>
      <c r="AF13" s="311"/>
      <c r="AG13" s="311"/>
      <c r="AH13" s="311"/>
      <c r="AI13" s="311"/>
    </row>
    <row r="14" spans="1:35" x14ac:dyDescent="0.2">
      <c r="A14" s="310"/>
      <c r="B14" s="2"/>
      <c r="C14" s="310"/>
      <c r="D14" s="311"/>
      <c r="E14" s="311"/>
      <c r="F14" s="311"/>
      <c r="G14" s="310"/>
      <c r="H14" s="310"/>
      <c r="I14" s="2"/>
      <c r="J14" s="310"/>
      <c r="K14" s="310"/>
      <c r="L14" s="310"/>
      <c r="M14" s="310"/>
      <c r="N14" s="310"/>
      <c r="O14" s="310"/>
      <c r="Q14" s="559"/>
      <c r="R14" s="1"/>
      <c r="S14" s="1"/>
      <c r="V14" s="2"/>
      <c r="W14" s="310"/>
      <c r="X14" s="310"/>
      <c r="Y14" s="310"/>
      <c r="Z14" s="310"/>
      <c r="AA14" s="310"/>
      <c r="AB14" s="310"/>
      <c r="AD14" s="311"/>
      <c r="AE14" s="311"/>
      <c r="AF14" s="311"/>
      <c r="AG14" s="311"/>
      <c r="AH14" s="311"/>
      <c r="AI14" s="311"/>
    </row>
    <row r="15" spans="1:35" ht="20.25" x14ac:dyDescent="0.3">
      <c r="A15" s="310"/>
      <c r="B15" s="159" t="s">
        <v>186</v>
      </c>
      <c r="C15" s="312" t="s">
        <v>187</v>
      </c>
      <c r="D15" s="313"/>
      <c r="E15" s="313"/>
      <c r="F15" s="313"/>
      <c r="G15" s="314"/>
      <c r="H15" s="314"/>
      <c r="I15" s="313"/>
      <c r="J15" s="314"/>
      <c r="K15" s="314"/>
      <c r="L15" s="314"/>
      <c r="M15" s="314"/>
      <c r="N15" s="314"/>
      <c r="O15" s="314"/>
      <c r="P15" s="314"/>
      <c r="Q15" s="559"/>
      <c r="R15" s="807"/>
      <c r="S15" s="315"/>
      <c r="V15" s="159" t="s">
        <v>188</v>
      </c>
      <c r="W15" s="312" t="s">
        <v>189</v>
      </c>
      <c r="X15" s="312"/>
      <c r="Y15" s="312"/>
      <c r="Z15" s="312"/>
      <c r="AA15" s="312"/>
      <c r="AB15" s="312"/>
      <c r="AC15" s="162"/>
      <c r="AD15" s="313"/>
      <c r="AE15" s="313"/>
      <c r="AF15" s="313"/>
      <c r="AG15" s="313"/>
      <c r="AH15" s="313"/>
      <c r="AI15" s="313"/>
    </row>
    <row r="16" spans="1:35" ht="15" customHeight="1" x14ac:dyDescent="0.25">
      <c r="A16" s="310"/>
      <c r="B16" s="2"/>
      <c r="C16" s="763"/>
      <c r="D16" s="763"/>
      <c r="E16" s="311"/>
      <c r="F16" s="311"/>
      <c r="G16" s="763"/>
      <c r="H16" s="763"/>
      <c r="I16" s="2"/>
      <c r="J16" s="310"/>
      <c r="K16" s="310"/>
      <c r="L16" s="310"/>
      <c r="M16" s="310"/>
      <c r="N16" s="310"/>
      <c r="O16" s="310"/>
      <c r="P16" s="310"/>
      <c r="Q16" s="775"/>
      <c r="R16" s="1"/>
      <c r="S16" s="1"/>
      <c r="V16" s="316"/>
      <c r="W16" s="310"/>
      <c r="X16" s="310"/>
      <c r="Y16" s="310"/>
      <c r="Z16" s="310"/>
      <c r="AA16" s="310"/>
      <c r="AB16" s="310"/>
      <c r="AD16" s="311"/>
      <c r="AE16" s="311"/>
      <c r="AF16" s="311"/>
      <c r="AG16" s="311"/>
      <c r="AH16" s="311"/>
      <c r="AI16" s="311"/>
    </row>
    <row r="17" spans="1:34" ht="15" customHeight="1" x14ac:dyDescent="0.2">
      <c r="A17" s="317"/>
      <c r="B17" s="2"/>
      <c r="C17" s="763"/>
      <c r="D17" s="763"/>
      <c r="E17" s="318"/>
      <c r="F17" s="318"/>
      <c r="G17" s="763"/>
      <c r="H17" s="763"/>
      <c r="I17" s="2"/>
      <c r="J17" s="317"/>
      <c r="K17" s="317"/>
      <c r="L17" s="317"/>
      <c r="M17" s="317"/>
      <c r="N17" s="317"/>
      <c r="O17" s="317"/>
      <c r="P17" s="317"/>
      <c r="Q17" s="2"/>
      <c r="R17" s="1"/>
      <c r="S17" s="1"/>
    </row>
    <row r="18" spans="1:34" ht="15" customHeight="1" x14ac:dyDescent="0.25">
      <c r="A18" s="1">
        <f>MAX($A$1:A17)+1</f>
        <v>1</v>
      </c>
      <c r="B18" s="319" t="str">
        <f>IF(ISBLANK(INDEX(ModelGroup,A18,1)),"Not Used",INDEX(ModelGroup,A18,1))</f>
        <v>SB Off-ramp to Ave 280</v>
      </c>
      <c r="C18" s="2"/>
      <c r="D18" s="2"/>
      <c r="E18" s="2"/>
      <c r="F18" s="2"/>
      <c r="G18"/>
      <c r="H18"/>
      <c r="I18" s="320"/>
      <c r="J18" s="320"/>
      <c r="K18" s="320"/>
      <c r="L18" s="320"/>
      <c r="M18" s="320"/>
      <c r="N18" s="320"/>
      <c r="O18" s="320"/>
      <c r="P18" s="317"/>
      <c r="Q18" s="2"/>
      <c r="R18" s="2"/>
      <c r="S18" s="2"/>
    </row>
    <row r="19" spans="1:34" x14ac:dyDescent="0.2">
      <c r="B19" s="2"/>
      <c r="C19" s="38"/>
      <c r="D19" s="877"/>
      <c r="E19" s="38"/>
      <c r="F19" s="877"/>
      <c r="G19" s="877"/>
      <c r="H19" s="877"/>
      <c r="I19" s="38"/>
      <c r="J19" s="877"/>
      <c r="K19" s="38"/>
      <c r="L19" s="38"/>
      <c r="M19" s="2"/>
      <c r="N19" s="2"/>
      <c r="P19" s="2"/>
      <c r="Q19" s="2"/>
      <c r="R19" s="149"/>
      <c r="S19" s="149"/>
    </row>
    <row r="20" spans="1:34" ht="15.75" x14ac:dyDescent="0.2">
      <c r="A20" s="1776"/>
      <c r="B20" s="322"/>
      <c r="C20" s="323" t="s">
        <v>190</v>
      </c>
      <c r="D20" s="324"/>
      <c r="E20" s="323" t="s">
        <v>191</v>
      </c>
      <c r="F20" s="324"/>
      <c r="G20" s="323" t="str">
        <f>IF(INDEX(HwyTransitModelGroup,A18,1)=Hwy,"TOTAL VEHICLE TRIPS","TOTAL PERSON TRIPS")</f>
        <v>TOTAL VEHICLE TRIPS</v>
      </c>
      <c r="H20" s="324"/>
      <c r="I20" s="323" t="s">
        <v>192</v>
      </c>
      <c r="J20" s="324"/>
      <c r="K20" s="323" t="s">
        <v>193</v>
      </c>
      <c r="L20" s="324"/>
      <c r="M20" s="323" t="s">
        <v>194</v>
      </c>
      <c r="N20" s="324"/>
      <c r="O20" s="919" t="str">
        <f>IF(INDEX(HwyTransitModelGroup,A18,1)=Hwy,"TOTAL VEHICLE TRIPS","TOTAL PERSON TRIPS")</f>
        <v>TOTAL VEHICLE TRIPS</v>
      </c>
      <c r="P20" s="919" t="s">
        <v>195</v>
      </c>
      <c r="Q20" s="991"/>
      <c r="R20" s="330"/>
      <c r="S20" s="2"/>
      <c r="T20" s="331" t="s">
        <v>196</v>
      </c>
      <c r="V20" s="322"/>
      <c r="W20" s="52">
        <v>1</v>
      </c>
      <c r="X20" s="52">
        <v>2</v>
      </c>
      <c r="Y20" s="52">
        <v>3</v>
      </c>
      <c r="Z20" s="52">
        <v>4</v>
      </c>
      <c r="AA20" s="52">
        <v>5</v>
      </c>
      <c r="AB20" s="52">
        <v>6</v>
      </c>
      <c r="AD20" s="333" t="s">
        <v>39</v>
      </c>
      <c r="AE20" s="334"/>
      <c r="AF20" s="333"/>
      <c r="AH20" s="331" t="s">
        <v>56</v>
      </c>
    </row>
    <row r="21" spans="1:34" ht="14.25" x14ac:dyDescent="0.2">
      <c r="A21" s="1776"/>
      <c r="B21" s="335"/>
      <c r="C21" s="336" t="s">
        <v>197</v>
      </c>
      <c r="D21" s="337"/>
      <c r="E21" s="338" t="s">
        <v>198</v>
      </c>
      <c r="F21" s="337"/>
      <c r="G21" s="338" t="s">
        <v>199</v>
      </c>
      <c r="H21" s="337"/>
      <c r="I21" s="764" t="s">
        <v>200</v>
      </c>
      <c r="J21" s="339"/>
      <c r="K21" s="765" t="s">
        <v>201</v>
      </c>
      <c r="L21" s="337"/>
      <c r="M21" s="777" t="s">
        <v>202</v>
      </c>
      <c r="N21" s="339"/>
      <c r="O21" s="920" t="s">
        <v>199</v>
      </c>
      <c r="P21" s="920" t="s">
        <v>203</v>
      </c>
      <c r="Q21" s="992"/>
      <c r="R21" s="343"/>
      <c r="S21" s="2"/>
      <c r="T21" s="920" t="s">
        <v>201</v>
      </c>
      <c r="V21" s="335"/>
      <c r="W21" s="1777" t="str">
        <f t="shared" ref="W21:AB21" si="0">IF(ISBLANK(INDEX(ModelGroup,W20,1)),"Not Used",INDEX(ModelGroup,W20,1))</f>
        <v>SB Off-ramp to Ave 280</v>
      </c>
      <c r="X21" s="1777" t="str">
        <f t="shared" si="0"/>
        <v>SB On-ramp from Ave 280</v>
      </c>
      <c r="Y21" s="1777" t="str">
        <f t="shared" si="0"/>
        <v>NB Off-ramp to Ave 280</v>
      </c>
      <c r="Z21" s="1777" t="str">
        <f t="shared" si="0"/>
        <v>NB On-ramp from Ave 280</v>
      </c>
      <c r="AA21" s="1777" t="str">
        <f t="shared" si="0"/>
        <v>NB Mainline</v>
      </c>
      <c r="AB21" s="1777" t="str">
        <f t="shared" si="0"/>
        <v>SB Mainline</v>
      </c>
      <c r="AD21" s="347" t="s">
        <v>204</v>
      </c>
      <c r="AE21" s="334"/>
      <c r="AF21" s="347"/>
      <c r="AH21" s="344" t="s">
        <v>205</v>
      </c>
    </row>
    <row r="22" spans="1:34" ht="15" x14ac:dyDescent="0.2">
      <c r="A22" s="1776"/>
      <c r="B22" s="77" t="s">
        <v>34</v>
      </c>
      <c r="C22" s="348"/>
      <c r="D22" s="349"/>
      <c r="E22" s="348"/>
      <c r="F22" s="349"/>
      <c r="G22" s="348"/>
      <c r="H22" s="349"/>
      <c r="I22" s="348"/>
      <c r="J22" s="349"/>
      <c r="K22" s="348"/>
      <c r="L22" s="349"/>
      <c r="M22" s="348"/>
      <c r="N22" s="349"/>
      <c r="O22" s="921" t="s">
        <v>206</v>
      </c>
      <c r="P22" s="995" t="s">
        <v>207</v>
      </c>
      <c r="Q22" s="993" t="s">
        <v>208</v>
      </c>
      <c r="R22" s="347" t="s">
        <v>39</v>
      </c>
      <c r="S22" s="352"/>
      <c r="T22" s="353" t="s">
        <v>207</v>
      </c>
      <c r="V22" s="77" t="s">
        <v>34</v>
      </c>
      <c r="W22" s="1778"/>
      <c r="X22" s="1778"/>
      <c r="Y22" s="1778"/>
      <c r="Z22" s="1778"/>
      <c r="AA22" s="1778"/>
      <c r="AB22" s="1778"/>
      <c r="AD22" s="347" t="s">
        <v>209</v>
      </c>
      <c r="AE22" s="334"/>
      <c r="AF22" s="347" t="s">
        <v>208</v>
      </c>
      <c r="AH22" s="353" t="s">
        <v>210</v>
      </c>
    </row>
    <row r="23" spans="1:34" ht="15" x14ac:dyDescent="0.2">
      <c r="A23" s="1776"/>
      <c r="B23" s="355"/>
      <c r="C23" s="356" t="s">
        <v>74</v>
      </c>
      <c r="D23" s="357" t="s">
        <v>125</v>
      </c>
      <c r="E23" s="356" t="s">
        <v>74</v>
      </c>
      <c r="F23" s="357" t="s">
        <v>125</v>
      </c>
      <c r="G23" s="356" t="s">
        <v>74</v>
      </c>
      <c r="H23" s="357" t="s">
        <v>125</v>
      </c>
      <c r="I23" s="356" t="s">
        <v>74</v>
      </c>
      <c r="J23" s="357" t="s">
        <v>125</v>
      </c>
      <c r="K23" s="356" t="s">
        <v>74</v>
      </c>
      <c r="L23" s="357" t="s">
        <v>125</v>
      </c>
      <c r="M23" s="348" t="s">
        <v>74</v>
      </c>
      <c r="N23" s="349" t="s">
        <v>125</v>
      </c>
      <c r="O23" s="94" t="s">
        <v>125</v>
      </c>
      <c r="P23" s="94" t="s">
        <v>211</v>
      </c>
      <c r="Q23" s="994" t="s">
        <v>48</v>
      </c>
      <c r="R23" s="360" t="s">
        <v>49</v>
      </c>
      <c r="S23" s="352"/>
      <c r="T23" s="361" t="s">
        <v>211</v>
      </c>
      <c r="V23" s="355"/>
      <c r="W23" s="1779"/>
      <c r="X23" s="1779"/>
      <c r="Y23" s="1779"/>
      <c r="Z23" s="1779"/>
      <c r="AA23" s="1779"/>
      <c r="AB23" s="1779"/>
      <c r="AD23" s="360" t="str">
        <f>IF(Induced="Y","Benefits","Benefits*")</f>
        <v>Benefits</v>
      </c>
      <c r="AE23" s="334"/>
      <c r="AF23" s="360" t="s">
        <v>48</v>
      </c>
      <c r="AH23" s="361" t="s">
        <v>212</v>
      </c>
    </row>
    <row r="24" spans="1:34" x14ac:dyDescent="0.2">
      <c r="B24" s="363">
        <f>YearFirst</f>
        <v>2026</v>
      </c>
      <c r="C24" s="364">
        <f>IF(INDEX(HwyTransitModelGroup,A18,1)=Hwy,INDEX(ModelData1NB,A18,3),0)*AnnualFactor</f>
        <v>17520</v>
      </c>
      <c r="D24" s="365">
        <f>IF(INDEX(HwyTransitModelGroup,A18,1)=Hwy,INDEX(ModelData1B,A18,3),0)*AnnualFactor</f>
        <v>17155</v>
      </c>
      <c r="E24" s="972">
        <f>IF(INDEX(HwyTransitModelGroup,A18,1)=Hwy,INDEX(ModelData1NB,A18,8),0)</f>
        <v>1.45</v>
      </c>
      <c r="F24" s="973">
        <f>IF(INDEX(HwyTransitModelGroup,A18,1)=Hwy,INDEX(ModelData1B,A18,8),0)</f>
        <v>1.45</v>
      </c>
      <c r="G24" s="364">
        <f>IF(AND(INDEX(HwyTransitModelGroup,A18,1)=Hwy,INDEX(ModelData1NB,A18,1)=0),1,INDEX(ModelData1NB,A18,1)*AnnualFactor)</f>
        <v>1</v>
      </c>
      <c r="H24" s="365">
        <f>IF(AND(INDEX(HwyTransitModelGroup,A18,1)=Hwy,INDEX(ModelData1B,A18,1)=0),1,INDEX(ModelData1B,A18,1)*AnnualFactor)</f>
        <v>1</v>
      </c>
      <c r="I24" s="976">
        <f>IF(INDEX(HwyTransitModelGroup,A18,1)=Hwy,INDEX(ModelData1NB,A18,9),0)</f>
        <v>0.24</v>
      </c>
      <c r="J24" s="977">
        <f>IF(INDEX(HwyTransitModelGroup,A18,1)=Hwy,INDEX(ModelData1B,A18,9),0)</f>
        <v>0.24</v>
      </c>
      <c r="K24" s="364">
        <f>IF(INDEX(HwyTransitModelGroup,A18,1)=Hwy,0,INDEX(ModelData1NB,A18,5))*AnnualFactor</f>
        <v>0</v>
      </c>
      <c r="L24" s="365">
        <f>IF(INDEX(HwyTransitModelGroup,A18,1)=Hwy,0,INDEX(ModelData1B,A18,5))*AnnualFactor</f>
        <v>0</v>
      </c>
      <c r="M24" s="366">
        <f>IFERROR(IF(INDEX(HwyTransitModelGroup,A18,1)=Hwy,C24*E24/G24,K24/G24),0)</f>
        <v>25404</v>
      </c>
      <c r="N24" s="778">
        <f>IFERROR(IF(INDEX(HwyTransitModelGroup,A18,1)=Hwy,D24*F24/H24,L24/H24),0)</f>
        <v>24874.75</v>
      </c>
      <c r="O24" s="946">
        <f>$H24-INDEX(ModeShare1,A18)*SUMIF('Consumer Surplus'!$C$157:$C$160,INDEX(HwyTransitModelGroup,A18,1),'Consumer Surplus'!$G$157:$G$160)</f>
        <v>1</v>
      </c>
      <c r="P24" s="996">
        <f>IF(INDEX(HwyTransitModelGroup,A18,1)=Hwy,G24*M24*(I24*ValTimeTruck+(1-I24)*ValTimeAuto)-O24*N24*(J24*ValTimeTruck+(1-J24)*ValTimeAuto),G24*IF(INDEX(NoTransit1,A18)=TRUE,INDEX(DivIndTrips,A18,2)/IF(INDEX(DivIndTrips,A18,1)=0,1,INDEX(DivIndTrips,A18,1)),M24)*ValTimeAuto-O24*N24*ValTimeAuto)*(1+TTUprater)^($B24-YearCurrent)</f>
        <v>11076.144000000029</v>
      </c>
      <c r="Q24" s="780">
        <f>SUM(P24)</f>
        <v>11076.144000000029</v>
      </c>
      <c r="R24" s="370">
        <f>Q24/(1+DiscRate)^(B24-YearCurrent)</f>
        <v>9467.9343116487744</v>
      </c>
      <c r="S24" s="371"/>
      <c r="T24" s="989">
        <f>IF(INDEX(HwyTransitModelGroup,A18,1)=Hwy,G24*M24-O24*N24,G24*IF(INDEX(NoTransit1,A18)=TRUE,INDEX(DivIndTrips,A18,2)/IF(INDEX(DivIndTrips,A18,1)=0,1,INDEX(DivIndTrips,A18,1)),M24)-O24*N24)</f>
        <v>529.25</v>
      </c>
      <c r="V24" s="375">
        <f>YearOpen</f>
        <v>2026</v>
      </c>
      <c r="W24" s="376">
        <f t="shared" ref="W24:W43" ca="1" si="1">OFFSET($R9,MATCH(W$20,$A:$A),0)</f>
        <v>9467.9343116487744</v>
      </c>
      <c r="X24" s="376">
        <f t="shared" ref="X24:AB33" ca="1" si="2">OFFSET($R9,MATCH(X$20,$A:$A),0)</f>
        <v>0</v>
      </c>
      <c r="Y24" s="376">
        <f t="shared" ca="1" si="2"/>
        <v>85211.408804838778</v>
      </c>
      <c r="Z24" s="376">
        <f t="shared" ca="1" si="2"/>
        <v>293505.96366111137</v>
      </c>
      <c r="AA24" s="376">
        <f t="shared" ca="1" si="2"/>
        <v>492332.58420573489</v>
      </c>
      <c r="AB24" s="376">
        <f t="shared" ca="1" si="2"/>
        <v>719563.00768530509</v>
      </c>
      <c r="AD24" s="370">
        <f ca="1">SUM($W24:AC24)</f>
        <v>1600080.8986686389</v>
      </c>
      <c r="AE24" s="377"/>
      <c r="AF24" s="370">
        <f t="shared" ref="AF24:AF43" ca="1" si="3">$AD24*(1+DiscRate)^($V24-YearCurrent)</f>
        <v>1871868.3360000001</v>
      </c>
      <c r="AH24" s="378">
        <f ca="1">SUM($W58:AC58)</f>
        <v>89443.25</v>
      </c>
    </row>
    <row r="25" spans="1:34" x14ac:dyDescent="0.2">
      <c r="B25" s="379">
        <f>YearLast</f>
        <v>2046</v>
      </c>
      <c r="C25" s="380">
        <f>IF(INDEX(HwyTransitModelGroup,A18,1)=Hwy,INDEX(ModelData20NB,A18,3),0)*AnnualFactor</f>
        <v>22630</v>
      </c>
      <c r="D25" s="381">
        <f>IF(INDEX(HwyTransitModelGroup,A18,1)=Hwy,INDEX(ModelData20B,A18,3),0)*AnnualFactor</f>
        <v>24820</v>
      </c>
      <c r="E25" s="974">
        <f>IF(INDEX(HwyTransitModelGroup,A18,1)=Hwy,INDEX(ModelData20NB,A18,8),0)</f>
        <v>1.45</v>
      </c>
      <c r="F25" s="975">
        <f>IF(INDEX(HwyTransitModelGroup,A18,1)=Hwy,INDEX(ModelData20B,A18,8),0)</f>
        <v>1.45</v>
      </c>
      <c r="G25" s="380">
        <f>IF(AND(INDEX(HwyTransitModelGroup,A18,1)=Hwy,INDEX(ModelData20NB,A18,1)=0),1,INDEX(ModelData20NB,A18,1)*AnnualFactor)</f>
        <v>1</v>
      </c>
      <c r="H25" s="381">
        <f>IF(AND(INDEX(HwyTransitModelGroup,A18,1)=Hwy,INDEX(ModelData20B,A18,1)=0),1,INDEX(ModelData20B,A18,1)*AnnualFactor)</f>
        <v>1</v>
      </c>
      <c r="I25" s="978">
        <f>IF(INDEX(HwyTransitModelGroup,A18,1)=Hwy,INDEX(ModelData20NB,A18,9),0)</f>
        <v>0.24</v>
      </c>
      <c r="J25" s="979">
        <f>IF(INDEX(HwyTransitModelGroup,A18,1)=Hwy,INDEX(ModelData20B,A18,9),0)</f>
        <v>0.24</v>
      </c>
      <c r="K25" s="380">
        <f>IF(INDEX(HwyTransitModelGroup,A18,1)=Hwy,0,INDEX(ModelData20NB,A18,5))*AnnualFactor</f>
        <v>0</v>
      </c>
      <c r="L25" s="381">
        <f>IF(INDEX(HwyTransitModelGroup,A18,1)=Hwy,0,INDEX(ModelData20B,A18,5))*AnnualFactor</f>
        <v>0</v>
      </c>
      <c r="M25" s="382">
        <f>IFERROR(IF(INDEX(HwyTransitModelGroup,A18,1)=Hwy,C25*E25/G25,K25/G25),0)</f>
        <v>32813.5</v>
      </c>
      <c r="N25" s="779">
        <f>IFERROR(IF(INDEX(HwyTransitModelGroup,A18,1)=Hwy,D25*F25/H25,L25/H25),0)</f>
        <v>35989</v>
      </c>
      <c r="O25" s="947">
        <f>$H25-INDEX(ModeShare20,A18)*SUMIF('Consumer Surplus'!$C$157:$C$160,INDEX(HwyTransitModelGroup,A18,1),'Consumer Surplus'!$K$157:$K$160)</f>
        <v>1</v>
      </c>
      <c r="P25" s="703">
        <f>IF(INDEX(HwyTransitModelGroup,A18,1)=Hwy,G25*M25*(I25*ValTimeTruck+(1-I25)*ValTimeAuto)-O25*N25*(J25*ValTimeTruck+(1-J25)*ValTimeAuto),G25*IF(INDEX(NoTransit20,A18)=TRUE,INDEX(DivIndTrips,A18,4)/IF(INDEX(DivIndTrips,A18,3)=0,1,INDEX(DivIndTrips,A18,3)),M25)*ValTimeAuto-O25*N25*ValTimeAuto)*(1+TTUprater)^($B25-YearCurrent)</f>
        <v>-66456.863999999943</v>
      </c>
      <c r="Q25" s="780">
        <f>SUM(P25)</f>
        <v>-66456.863999999943</v>
      </c>
      <c r="R25" s="370">
        <f>Q25/(1+DiscRate)^(B25-YearCurrent)</f>
        <v>-25926.249763966811</v>
      </c>
      <c r="S25" s="371"/>
      <c r="T25" s="990">
        <f>IF(INDEX(HwyTransitModelGroup,A18,1)=Hwy,G25*M25-O25*N25,G25*IF(INDEX(NoTransit1,A18)=TRUE,INDEX(DivIndTrips,A18,2)/IF(INDEX(DivIndTrips,A18,1)=0,1,INDEX(DivIndTrips,A18,1)),M25)-O25*N25)</f>
        <v>-3175.5</v>
      </c>
      <c r="V25" s="375">
        <f>V24+1</f>
        <v>2027</v>
      </c>
      <c r="W25" s="376">
        <f t="shared" ca="1" si="1"/>
        <v>5917.4589447805056</v>
      </c>
      <c r="X25" s="376">
        <f t="shared" ca="1" si="2"/>
        <v>455.189149598482</v>
      </c>
      <c r="Y25" s="376">
        <f t="shared" ca="1" si="2"/>
        <v>84209.992675722038</v>
      </c>
      <c r="Z25" s="376">
        <f t="shared" ca="1" si="2"/>
        <v>285858.78594785649</v>
      </c>
      <c r="AA25" s="376">
        <f t="shared" ca="1" si="2"/>
        <v>499797.68625915074</v>
      </c>
      <c r="AB25" s="376">
        <f t="shared" ca="1" si="2"/>
        <v>713736.58657044428</v>
      </c>
      <c r="AD25" s="370">
        <f ca="1">SUM($W25:AC25)</f>
        <v>1589975.6995475525</v>
      </c>
      <c r="AE25" s="377"/>
      <c r="AF25" s="370">
        <f t="shared" ca="1" si="3"/>
        <v>1934448.5496000007</v>
      </c>
      <c r="AH25" s="378">
        <f ca="1">SUM($W59:AC59)</f>
        <v>92433.512499999459</v>
      </c>
    </row>
    <row r="26" spans="1:34" x14ac:dyDescent="0.2">
      <c r="B26" s="385"/>
      <c r="C26" s="386"/>
      <c r="D26" s="386"/>
      <c r="E26" s="387"/>
      <c r="F26" s="387"/>
      <c r="G26" s="387"/>
      <c r="H26" s="387"/>
      <c r="I26" s="388"/>
      <c r="J26" s="388"/>
      <c r="K26" s="773"/>
      <c r="L26" s="773"/>
      <c r="M26" s="774"/>
      <c r="N26" s="774"/>
      <c r="O26" s="774"/>
      <c r="P26" s="374"/>
      <c r="Q26" s="388"/>
      <c r="R26" s="389"/>
      <c r="S26" s="390"/>
      <c r="T26" s="391"/>
      <c r="V26" s="375">
        <f t="shared" ref="V26:V43" si="4">V25+1</f>
        <v>2028</v>
      </c>
      <c r="W26" s="376">
        <f t="shared" ca="1" si="1"/>
        <v>2626.0912476837339</v>
      </c>
      <c r="X26" s="376">
        <f t="shared" ca="1" si="2"/>
        <v>875.36374922785001</v>
      </c>
      <c r="Y26" s="376">
        <f t="shared" ca="1" si="2"/>
        <v>83159.55617664865</v>
      </c>
      <c r="Z26" s="376">
        <f t="shared" ca="1" si="2"/>
        <v>278365.67225446587</v>
      </c>
      <c r="AA26" s="376">
        <f t="shared" ca="1" si="2"/>
        <v>505960.24705371552</v>
      </c>
      <c r="AB26" s="376">
        <f t="shared" ca="1" si="2"/>
        <v>707293.90937612706</v>
      </c>
      <c r="AD26" s="370">
        <f ca="1">SUM($W26:AC26)</f>
        <v>1578280.8398578689</v>
      </c>
      <c r="AE26" s="377"/>
      <c r="AF26" s="370">
        <f t="shared" ca="1" si="3"/>
        <v>1997028.7632000018</v>
      </c>
      <c r="AH26" s="378">
        <f ca="1">SUM($W60:AC60)</f>
        <v>95423.774999999863</v>
      </c>
    </row>
    <row r="27" spans="1:34" x14ac:dyDescent="0.2">
      <c r="B27" s="375">
        <f>YearOpen</f>
        <v>2026</v>
      </c>
      <c r="C27" s="393">
        <f>MAX(TREND(C24:C25,B24:B25,B27),0)</f>
        <v>17520</v>
      </c>
      <c r="D27" s="394">
        <f>MAX(TREND(D24:D25,B24:B25,B27),0)</f>
        <v>17155</v>
      </c>
      <c r="E27" s="395">
        <f>MAX(TREND(E24:E25,B24:B25,B27),0)</f>
        <v>1.45</v>
      </c>
      <c r="F27" s="396">
        <f>MAX(TREND(F24:F25,B24:B25,B27),0)</f>
        <v>1.45</v>
      </c>
      <c r="G27" s="393">
        <f>MAX(TREND(G24:G25,$B24:$B25,$B27),0)</f>
        <v>1</v>
      </c>
      <c r="H27" s="394">
        <f>MAX(TREND(H24:H25,$B24:$B25,$B27),0)</f>
        <v>1</v>
      </c>
      <c r="I27" s="397">
        <f>MIN(MAX(TREND(I24:I25,B24:B25,B27),0),1)</f>
        <v>0.24</v>
      </c>
      <c r="J27" s="771">
        <f>MIN(MAX(TREND(J24:J25,B24:B25,B27),0),1)</f>
        <v>0.24</v>
      </c>
      <c r="K27" s="393">
        <f>MAX(TREND(K24:K25,B24:B25,B27),0)</f>
        <v>0</v>
      </c>
      <c r="L27" s="394">
        <f>MAX(TREND(L24:L25,B24:B25,B27),0)</f>
        <v>0</v>
      </c>
      <c r="M27" s="395">
        <f>IFERROR(IF(INDEX(HwyTransitModelGroup,A18,1)=Hwy,C27*E27/G27,K27/G27),0)</f>
        <v>25404</v>
      </c>
      <c r="N27" s="396">
        <f>IFERROR(IF(INDEX(HwyTransitModelGroup,A18,1)=Hwy,D27*F27/H27,L27/H27),0)</f>
        <v>24874.75</v>
      </c>
      <c r="O27" s="394">
        <f>TREND(O24:O25,$B24:$B25,$B27)</f>
        <v>1</v>
      </c>
      <c r="P27" s="997">
        <f>IF(INDEX(HwyTransitModelGroup,A18,1)=Hwy,G27*M27*(I27*ValTimeTruck+(1-I27)*ValTimeAuto)-O27*N27*(J27*ValTimeTruck+(1-J27)*ValTimeAuto),G27*IF(INDEX(NoTransit20,A18)=TRUE,INDEX(DivIndTrips,A18,4)/IF(INDEX(DivIndTrips,A18,3)=0,1,INDEX(DivIndTrips,A18,3)),M27)*ValTimeAuto-O27*N27*ValTimeAuto)*(1+TTUprater)^($B27-YearCurrent)</f>
        <v>11076.144000000029</v>
      </c>
      <c r="Q27" s="780">
        <f t="shared" ref="Q27:Q46" si="5">SUM(P27)</f>
        <v>11076.144000000029</v>
      </c>
      <c r="R27" s="370">
        <f t="shared" ref="R27:R46" si="6">Q27/(1+DiscRate)^(B27-YearCurrent)</f>
        <v>9467.9343116487744</v>
      </c>
      <c r="S27" s="371"/>
      <c r="T27" s="1023">
        <f>TREND(T24:T25,$B24:$B25,$B27)</f>
        <v>529.25</v>
      </c>
      <c r="V27" s="375">
        <f t="shared" si="4"/>
        <v>2029</v>
      </c>
      <c r="W27" s="376">
        <f t="shared" ca="1" si="1"/>
        <v>-420.84795635958756</v>
      </c>
      <c r="X27" s="376">
        <f t="shared" ca="1" si="2"/>
        <v>1262.54386907863</v>
      </c>
      <c r="Y27" s="376">
        <f t="shared" ca="1" si="2"/>
        <v>82065.351490113782</v>
      </c>
      <c r="Z27" s="376">
        <f t="shared" ca="1" si="2"/>
        <v>271026.08389555529</v>
      </c>
      <c r="AA27" s="376">
        <f t="shared" ca="1" si="2"/>
        <v>510909.41902050446</v>
      </c>
      <c r="AB27" s="376">
        <f t="shared" ca="1" si="2"/>
        <v>700290.99938230345</v>
      </c>
      <c r="AD27" s="370">
        <f ca="1">SUM($W27:AC27)</f>
        <v>1565133.5497011961</v>
      </c>
      <c r="AE27" s="377"/>
      <c r="AF27" s="370">
        <f t="shared" ca="1" si="3"/>
        <v>2059608.9768000015</v>
      </c>
      <c r="AH27" s="378">
        <f ca="1">SUM($W61:AC61)</f>
        <v>98414.037500000268</v>
      </c>
    </row>
    <row r="28" spans="1:34" x14ac:dyDescent="0.2">
      <c r="B28" s="375">
        <f>B27+1</f>
        <v>2027</v>
      </c>
      <c r="C28" s="401">
        <f>MAX(TREND(C24:C25,B24:B25,B28),0)</f>
        <v>17775.5</v>
      </c>
      <c r="D28" s="402">
        <f>MAX(TREND(D24:D25,B24:B25,B28),0)</f>
        <v>17538.25</v>
      </c>
      <c r="E28" s="403">
        <f>MAX(TREND(E24:E25,B24:B25,B28),0)</f>
        <v>1.45</v>
      </c>
      <c r="F28" s="404">
        <f>MAX(TREND(F24:F25,B24:B25,B28),0)</f>
        <v>1.45</v>
      </c>
      <c r="G28" s="401">
        <f>MAX(TREND(G24:G25,$B24:$B25,$B28),0)</f>
        <v>1</v>
      </c>
      <c r="H28" s="402">
        <f>MAX(TREND(H24:H25,$B24:$B25,$B28),0)</f>
        <v>1</v>
      </c>
      <c r="I28" s="405">
        <f>MIN(MAX(TREND(I24:I25,B24:B25,B28),0),1)</f>
        <v>0.24</v>
      </c>
      <c r="J28" s="772">
        <f>MIN(MAX(TREND(J24:J25,B24:B25,B28),0),1)</f>
        <v>0.24</v>
      </c>
      <c r="K28" s="401">
        <f>MAX(TREND(K24:K25,B24:B25,B28),0)</f>
        <v>0</v>
      </c>
      <c r="L28" s="402">
        <f>MAX(TREND(L24:L25,B24:B25,B28),0)</f>
        <v>0</v>
      </c>
      <c r="M28" s="403">
        <f>IFERROR(IF(INDEX(HwyTransitModelGroup,A18,1)=Hwy,C28*E28/G28,K28/G28),0)</f>
        <v>25774.474999999999</v>
      </c>
      <c r="N28" s="404">
        <f>IFERROR(IF(INDEX(HwyTransitModelGroup,A18,1)=Hwy,D28*F28/H28,L28/H28),0)</f>
        <v>25430.462499999998</v>
      </c>
      <c r="O28" s="402">
        <f>TREND(O24:O25,$B24:$B25,$B28)</f>
        <v>1</v>
      </c>
      <c r="P28" s="998">
        <f>IF(INDEX(HwyTransitModelGroup,A18,1)=Hwy,G28*M28*(I28*ValTimeTruck+(1-I28)*ValTimeAuto)-O28*N28*(J28*ValTimeTruck+(1-J28)*ValTimeAuto),G28*IF(INDEX(NoTransit20,A18)=TRUE,INDEX(DivIndTrips,A18,4)/IF(INDEX(DivIndTrips,A18,3)=0,1,INDEX(DivIndTrips,A18,3)),M28)*ValTimeAuto-O28*N28*ValTimeAuto)*(1+TTUprater)^($B28-YearCurrent)</f>
        <v>7199.4936000000453</v>
      </c>
      <c r="Q28" s="780">
        <f t="shared" si="5"/>
        <v>7199.4936000000453</v>
      </c>
      <c r="R28" s="370">
        <f t="shared" si="6"/>
        <v>5917.4589447805056</v>
      </c>
      <c r="S28" s="371"/>
      <c r="T28" s="378">
        <f>TREND(T24:T25,$B24:$B25,$B28)</f>
        <v>344.01250000001164</v>
      </c>
      <c r="V28" s="375">
        <f t="shared" si="4"/>
        <v>2030</v>
      </c>
      <c r="W28" s="376">
        <f t="shared" ca="1" si="1"/>
        <v>-3237.2919719965716</v>
      </c>
      <c r="X28" s="376">
        <f t="shared" ca="1" si="2"/>
        <v>1618.6459859983283</v>
      </c>
      <c r="Y28" s="376">
        <f t="shared" ca="1" si="2"/>
        <v>80932.299299914928</v>
      </c>
      <c r="Z28" s="376">
        <f t="shared" ca="1" si="2"/>
        <v>263839.29571772274</v>
      </c>
      <c r="AA28" s="376">
        <f t="shared" ca="1" si="2"/>
        <v>514729.42354745942</v>
      </c>
      <c r="AB28" s="376">
        <f t="shared" ca="1" si="2"/>
        <v>692780.48200727196</v>
      </c>
      <c r="AD28" s="370">
        <f ca="1">SUM($W28:AC28)</f>
        <v>1550662.8545863708</v>
      </c>
      <c r="AE28" s="377"/>
      <c r="AF28" s="370">
        <f t="shared" ca="1" si="3"/>
        <v>2122189.1904000011</v>
      </c>
      <c r="AH28" s="378">
        <f ca="1">SUM($W62:AC62)</f>
        <v>101404.29999999973</v>
      </c>
    </row>
    <row r="29" spans="1:34" x14ac:dyDescent="0.2">
      <c r="B29" s="375">
        <f t="shared" ref="B29:B46" si="7">B28+1</f>
        <v>2028</v>
      </c>
      <c r="C29" s="401">
        <f>MAX(TREND(C24:C25,B24:B25,B29),0)</f>
        <v>18031</v>
      </c>
      <c r="D29" s="402">
        <f>MAX(TREND(D24:D25,B24:B25,B29),0)</f>
        <v>17921.5</v>
      </c>
      <c r="E29" s="403">
        <f>MAX(TREND(E24:E25,B24:B25,B29),0)</f>
        <v>1.45</v>
      </c>
      <c r="F29" s="404">
        <f>MAX(TREND(F24:F25,B24:B25,B29),0)</f>
        <v>1.45</v>
      </c>
      <c r="G29" s="401">
        <f>MAX(TREND(G24:G25,$B24:$B25,$B29),0)</f>
        <v>1</v>
      </c>
      <c r="H29" s="402">
        <f>MAX(TREND(H24:H25,$B24:$B25,$B29),0)</f>
        <v>1</v>
      </c>
      <c r="I29" s="405">
        <f>MIN(MAX(TREND(I24:I25,B24:B25,B29),0),1)</f>
        <v>0.24</v>
      </c>
      <c r="J29" s="772">
        <f>MIN(MAX(TREND(J24:J25,B24:B25,B29),0),1)</f>
        <v>0.24</v>
      </c>
      <c r="K29" s="401">
        <f>MAX(TREND(K24:K25,B24:B25,B29),0)</f>
        <v>0</v>
      </c>
      <c r="L29" s="402">
        <f>MAX(TREND(L24:L25,B24:B25,B29),0)</f>
        <v>0</v>
      </c>
      <c r="M29" s="403">
        <f>IFERROR(IF(INDEX(HwyTransitModelGroup,A18,1)=Hwy,C29*E29/G29,K29/G29),0)</f>
        <v>26144.95</v>
      </c>
      <c r="N29" s="404">
        <f>IFERROR(IF(INDEX(HwyTransitModelGroup,A18,1)=Hwy,D29*F29/H29,L29/H29),0)</f>
        <v>25986.174999999999</v>
      </c>
      <c r="O29" s="402">
        <f>TREND(O24:O25,$B24:$B25,$B29)</f>
        <v>1</v>
      </c>
      <c r="P29" s="998">
        <f>IF(INDEX(HwyTransitModelGroup,A18,1)=Hwy,G29*M29*(I29*ValTimeTruck+(1-I29)*ValTimeAuto)-O29*N29*(J29*ValTimeTruck+(1-J29)*ValTimeAuto),G29*IF(INDEX(NoTransit20,A18)=TRUE,INDEX(DivIndTrips,A18,4)/IF(INDEX(DivIndTrips,A18,3)=0,1,INDEX(DivIndTrips,A18,3)),M29)*ValTimeAuto-O29*N29*ValTimeAuto)*(1+TTUprater)^($B29-YearCurrent)</f>
        <v>3322.8432000001194</v>
      </c>
      <c r="Q29" s="780">
        <f t="shared" si="5"/>
        <v>3322.8432000001194</v>
      </c>
      <c r="R29" s="370">
        <f t="shared" si="6"/>
        <v>2626.0912476837339</v>
      </c>
      <c r="S29" s="371"/>
      <c r="T29" s="378">
        <f>TREND(T24:T25,$B24:$B25,$B29)</f>
        <v>158.77500000002328</v>
      </c>
      <c r="V29" s="375">
        <f t="shared" si="4"/>
        <v>2031</v>
      </c>
      <c r="W29" s="376">
        <f t="shared" ca="1" si="1"/>
        <v>-5836.4638918207929</v>
      </c>
      <c r="X29" s="376">
        <f t="shared" ca="1" si="2"/>
        <v>1945.487963940278</v>
      </c>
      <c r="Y29" s="376">
        <f t="shared" ca="1" si="2"/>
        <v>79765.006521550778</v>
      </c>
      <c r="Z29" s="376">
        <f t="shared" ca="1" si="2"/>
        <v>256804.41124011471</v>
      </c>
      <c r="AA29" s="376">
        <f t="shared" ca="1" si="2"/>
        <v>517499.7984081094</v>
      </c>
      <c r="AB29" s="376">
        <f t="shared" ca="1" si="2"/>
        <v>684811.76330697257</v>
      </c>
      <c r="AD29" s="370">
        <f ca="1">SUM($W29:AC29)</f>
        <v>1534990.0035488671</v>
      </c>
      <c r="AE29" s="377"/>
      <c r="AF29" s="370">
        <f t="shared" ca="1" si="3"/>
        <v>2184769.4040000001</v>
      </c>
      <c r="AH29" s="378">
        <f ca="1">SUM($W63:AC63)</f>
        <v>104394.5625</v>
      </c>
    </row>
    <row r="30" spans="1:34" x14ac:dyDescent="0.2">
      <c r="B30" s="375">
        <f t="shared" si="7"/>
        <v>2029</v>
      </c>
      <c r="C30" s="401">
        <f>MAX(TREND(C24:C25,B24:B25,B30),0)</f>
        <v>18286.5</v>
      </c>
      <c r="D30" s="402">
        <f>MAX(TREND(D24:D25,B24:B25,B30),0)</f>
        <v>18304.75</v>
      </c>
      <c r="E30" s="403">
        <f>MAX(TREND(E24:E25,B24:B25,B30),0)</f>
        <v>1.45</v>
      </c>
      <c r="F30" s="404">
        <f>MAX(TREND(F24:F25,B24:B25,B30),0)</f>
        <v>1.45</v>
      </c>
      <c r="G30" s="401">
        <f>MAX(TREND(G24:G25,$B24:$B25,$B30),0)</f>
        <v>1</v>
      </c>
      <c r="H30" s="402">
        <f>MAX(TREND(H24:H25,$B24:$B25,$B30),0)</f>
        <v>1</v>
      </c>
      <c r="I30" s="405">
        <f>MIN(MAX(TREND(I24:I25,B24:B25,B30),0),1)</f>
        <v>0.24</v>
      </c>
      <c r="J30" s="772">
        <f>MIN(MAX(TREND(J24:J25,B24:B25,B30),0),1)</f>
        <v>0.24</v>
      </c>
      <c r="K30" s="401">
        <f>MAX(TREND(K24:K25,B24:B25,B30),0)</f>
        <v>0</v>
      </c>
      <c r="L30" s="402">
        <f>MAX(TREND(L24:L25,B24:B25,B30),0)</f>
        <v>0</v>
      </c>
      <c r="M30" s="403">
        <f>IFERROR(IF(INDEX(HwyTransitModelGroup,A18,1)=Hwy,C30*E30/G30,K30/G30),0)</f>
        <v>26515.424999999999</v>
      </c>
      <c r="N30" s="404">
        <f>IFERROR(IF(INDEX(HwyTransitModelGroup,A18,1)=Hwy,D30*F30/H30,L30/H30),0)</f>
        <v>26541.887500000001</v>
      </c>
      <c r="O30" s="402">
        <f>TREND(O24:O25,$B24:$B25,$B30)</f>
        <v>1</v>
      </c>
      <c r="P30" s="998">
        <f>IF(INDEX(HwyTransitModelGroup,A18,1)=Hwy,G30*M30*(I30*ValTimeTruck+(1-I30)*ValTimeAuto)-O30*N30*(J30*ValTimeTruck+(1-J30)*ValTimeAuto),G30*IF(INDEX(NoTransit20,A18)=TRUE,INDEX(DivIndTrips,A18,4)/IF(INDEX(DivIndTrips,A18,3)=0,1,INDEX(DivIndTrips,A18,3)),M30)*ValTimeAuto-O30*N30*ValTimeAuto)*(1+TTUprater)^($B30-YearCurrent)</f>
        <v>-553.8072000000393</v>
      </c>
      <c r="Q30" s="780">
        <f t="shared" si="5"/>
        <v>-553.8072000000393</v>
      </c>
      <c r="R30" s="370">
        <f t="shared" si="6"/>
        <v>-420.84795635958756</v>
      </c>
      <c r="S30" s="371"/>
      <c r="T30" s="378">
        <f>TREND(T24:T25,$B24:$B25,$B30)</f>
        <v>-26.462499999965075</v>
      </c>
      <c r="V30" s="375">
        <f t="shared" si="4"/>
        <v>2032</v>
      </c>
      <c r="W30" s="376">
        <f t="shared" ca="1" si="1"/>
        <v>-8230.910616670375</v>
      </c>
      <c r="X30" s="376">
        <f t="shared" ca="1" si="2"/>
        <v>2244.7938045464193</v>
      </c>
      <c r="Y30" s="376">
        <f t="shared" ca="1" si="2"/>
        <v>78567.783159126018</v>
      </c>
      <c r="Z30" s="376">
        <f t="shared" ca="1" si="2"/>
        <v>249920.37690617223</v>
      </c>
      <c r="AA30" s="376">
        <f t="shared" ca="1" si="2"/>
        <v>519295.63345174643</v>
      </c>
      <c r="AB30" s="376">
        <f t="shared" ca="1" si="2"/>
        <v>676431.19976999855</v>
      </c>
      <c r="AD30" s="370">
        <f ca="1">SUM($W30:AC30)</f>
        <v>1518228.8764749193</v>
      </c>
      <c r="AE30" s="377"/>
      <c r="AF30" s="370">
        <f t="shared" ca="1" si="3"/>
        <v>2247349.6175999986</v>
      </c>
      <c r="AH30" s="378">
        <f ca="1">SUM($W64:AC64)</f>
        <v>107384.82499999946</v>
      </c>
    </row>
    <row r="31" spans="1:34" x14ac:dyDescent="0.2">
      <c r="B31" s="375">
        <f t="shared" si="7"/>
        <v>2030</v>
      </c>
      <c r="C31" s="401">
        <f>MAX(TREND(C24:C25,B24:B25,B31),0)</f>
        <v>18542</v>
      </c>
      <c r="D31" s="402">
        <f>MAX(TREND(D24:D25,B24:B25,B31),0)</f>
        <v>18688</v>
      </c>
      <c r="E31" s="403">
        <f>MAX(TREND(E24:E25,B24:B25,B31),0)</f>
        <v>1.45</v>
      </c>
      <c r="F31" s="404">
        <f>MAX(TREND(F24:F25,B24:B25,B31),0)</f>
        <v>1.45</v>
      </c>
      <c r="G31" s="401">
        <f>MAX(TREND(G24:G25,$B24:$B25,$B31),0)</f>
        <v>1</v>
      </c>
      <c r="H31" s="402">
        <f>MAX(TREND(H24:H25,$B24:$B25,$B31),0)</f>
        <v>1</v>
      </c>
      <c r="I31" s="405">
        <f>MIN(MAX(TREND(I24:I25,B24:B25,B31),0),1)</f>
        <v>0.24</v>
      </c>
      <c r="J31" s="772">
        <f>MIN(MAX(TREND(J24:J25,B24:B25,B31),0),1)</f>
        <v>0.24</v>
      </c>
      <c r="K31" s="401">
        <f>MAX(TREND(K24:K25,B24:B25,B31),0)</f>
        <v>0</v>
      </c>
      <c r="L31" s="402">
        <f>MAX(TREND(L24:L25,B24:B25,B31),0)</f>
        <v>0</v>
      </c>
      <c r="M31" s="403">
        <f>IFERROR(IF(INDEX(HwyTransitModelGroup,A18,1)=Hwy,C31*E31/G31,K31/G31),0)</f>
        <v>26885.899999999998</v>
      </c>
      <c r="N31" s="404">
        <f>IFERROR(IF(INDEX(HwyTransitModelGroup,A18,1)=Hwy,D31*F31/H31,L31/H31),0)</f>
        <v>27097.599999999999</v>
      </c>
      <c r="O31" s="402">
        <f>TREND(O24:O25,$B24:$B25,$B31)</f>
        <v>1</v>
      </c>
      <c r="P31" s="998">
        <f>IF(INDEX(HwyTransitModelGroup,A18,1)=Hwy,G31*M31*(I31*ValTimeTruck+(1-I31)*ValTimeAuto)-O31*N31*(J31*ValTimeTruck+(1-J31)*ValTimeAuto),G31*IF(INDEX(NoTransit20,A18)=TRUE,INDEX(DivIndTrips,A18,4)/IF(INDEX(DivIndTrips,A18,3)=0,1,INDEX(DivIndTrips,A18,3)),M31)*ValTimeAuto-O31*N31*ValTimeAuto)*(1+TTUprater)^($B31-YearCurrent)</f>
        <v>-4430.4575999999652</v>
      </c>
      <c r="Q31" s="780">
        <f t="shared" si="5"/>
        <v>-4430.4575999999652</v>
      </c>
      <c r="R31" s="370">
        <f t="shared" si="6"/>
        <v>-3237.2919719965716</v>
      </c>
      <c r="S31" s="371"/>
      <c r="T31" s="378">
        <f>TREND(T24:T25,$B24:$B25,$B31)</f>
        <v>-211.69999999995343</v>
      </c>
      <c r="V31" s="375">
        <f t="shared" si="4"/>
        <v>2033</v>
      </c>
      <c r="W31" s="376">
        <f t="shared" ca="1" si="1"/>
        <v>-10432.53530959089</v>
      </c>
      <c r="X31" s="376">
        <f t="shared" ca="1" si="2"/>
        <v>2518.1981781771046</v>
      </c>
      <c r="Y31" s="376">
        <f t="shared" ca="1" si="2"/>
        <v>77344.658329725688</v>
      </c>
      <c r="Z31" s="376">
        <f t="shared" ca="1" si="2"/>
        <v>243185.99549253282</v>
      </c>
      <c r="AA31" s="376">
        <f t="shared" ca="1" si="2"/>
        <v>520187.79509201593</v>
      </c>
      <c r="AB31" s="376">
        <f t="shared" ca="1" si="2"/>
        <v>667682.25981381757</v>
      </c>
      <c r="AD31" s="370">
        <f ca="1">SUM($W31:AC31)</f>
        <v>1500486.3715966782</v>
      </c>
      <c r="AE31" s="377"/>
      <c r="AF31" s="370">
        <f t="shared" ca="1" si="3"/>
        <v>2309929.8311999999</v>
      </c>
      <c r="AH31" s="378">
        <f ca="1">SUM($W65:AC65)</f>
        <v>110375.08749999986</v>
      </c>
    </row>
    <row r="32" spans="1:34" x14ac:dyDescent="0.2">
      <c r="B32" s="375">
        <f t="shared" si="7"/>
        <v>2031</v>
      </c>
      <c r="C32" s="401">
        <f>MAX(TREND(C24:C25,B24:B25,B32),0)</f>
        <v>18797.5</v>
      </c>
      <c r="D32" s="402">
        <f>MAX(TREND(D24:D25,B24:B25,B32),0)</f>
        <v>19071.25</v>
      </c>
      <c r="E32" s="403">
        <f>MAX(TREND(E24:E25,B24:B25,B32),0)</f>
        <v>1.45</v>
      </c>
      <c r="F32" s="404">
        <f>MAX(TREND(F24:F25,B24:B25,B32),0)</f>
        <v>1.45</v>
      </c>
      <c r="G32" s="401">
        <f>MAX(TREND(G24:G25,$B24:$B25,$B32),0)</f>
        <v>1</v>
      </c>
      <c r="H32" s="402">
        <f>MAX(TREND(H24:H25,$B24:$B25,$B32),0)</f>
        <v>1</v>
      </c>
      <c r="I32" s="405">
        <f>MIN(MAX(TREND(I24:I25,B24:B25,B32),0),1)</f>
        <v>0.24</v>
      </c>
      <c r="J32" s="772">
        <f>MIN(MAX(TREND(J24:J25,B24:B25,B32),0),1)</f>
        <v>0.24</v>
      </c>
      <c r="K32" s="401">
        <f>MAX(TREND(K24:K25,B24:B25,B32),0)</f>
        <v>0</v>
      </c>
      <c r="L32" s="402">
        <f>MAX(TREND(L24:L25,B24:B25,B32),0)</f>
        <v>0</v>
      </c>
      <c r="M32" s="403">
        <f>IFERROR(IF(INDEX(HwyTransitModelGroup,A18,1)=Hwy,C32*E32/G32,K32/G32),0)</f>
        <v>27256.375</v>
      </c>
      <c r="N32" s="404">
        <f>IFERROR(IF(INDEX(HwyTransitModelGroup,A18,1)=Hwy,D32*F32/H32,L32/H32),0)</f>
        <v>27653.3125</v>
      </c>
      <c r="O32" s="402">
        <f>TREND(O24:O25,$B24:$B25,$B32)</f>
        <v>1</v>
      </c>
      <c r="P32" s="998">
        <f>IF(INDEX(HwyTransitModelGroup,A18,1)=Hwy,G32*M32*(I32*ValTimeTruck+(1-I32)*ValTimeAuto)-O32*N32*(J32*ValTimeTruck+(1-J32)*ValTimeAuto),G32*IF(INDEX(NoTransit20,A18)=TRUE,INDEX(DivIndTrips,A18,4)/IF(INDEX(DivIndTrips,A18,3)=0,1,INDEX(DivIndTrips,A18,3)),M32)*ValTimeAuto-O32*N32*ValTimeAuto)*(1+TTUprater)^($B32-YearCurrent)</f>
        <v>-8307.1080000000075</v>
      </c>
      <c r="Q32" s="780">
        <f t="shared" si="5"/>
        <v>-8307.1080000000075</v>
      </c>
      <c r="R32" s="370">
        <f t="shared" si="6"/>
        <v>-5836.4638918207929</v>
      </c>
      <c r="S32" s="371"/>
      <c r="T32" s="378">
        <f>TREND(T24:T25,$B24:$B25,$B32)</f>
        <v>-396.9375</v>
      </c>
      <c r="V32" s="375">
        <f t="shared" si="4"/>
        <v>2034</v>
      </c>
      <c r="W32" s="376">
        <f t="shared" ca="1" si="1"/>
        <v>-12452.628353623106</v>
      </c>
      <c r="X32" s="376">
        <f t="shared" ca="1" si="2"/>
        <v>2767.2507452495911</v>
      </c>
      <c r="Y32" s="376">
        <f t="shared" ca="1" si="2"/>
        <v>76099.395494363373</v>
      </c>
      <c r="Z32" s="376">
        <f t="shared" ca="1" si="2"/>
        <v>236599.93871883876</v>
      </c>
      <c r="AA32" s="376">
        <f t="shared" ca="1" si="2"/>
        <v>520243.14010692062</v>
      </c>
      <c r="AB32" s="376">
        <f t="shared" ca="1" si="2"/>
        <v>658605.67736939876</v>
      </c>
      <c r="AD32" s="370">
        <f ca="1">SUM($W32:AC32)</f>
        <v>1481862.774081148</v>
      </c>
      <c r="AE32" s="377"/>
      <c r="AF32" s="370">
        <f t="shared" ca="1" si="3"/>
        <v>2372510.0447999998</v>
      </c>
      <c r="AH32" s="378">
        <f ca="1">SUM($W66:AC66)</f>
        <v>113365.35000000027</v>
      </c>
    </row>
    <row r="33" spans="2:34" x14ac:dyDescent="0.2">
      <c r="B33" s="375">
        <f t="shared" si="7"/>
        <v>2032</v>
      </c>
      <c r="C33" s="401">
        <f>MAX(TREND(C24:C25,B24:B25,B33),0)</f>
        <v>19053</v>
      </c>
      <c r="D33" s="402">
        <f>MAX(TREND(D24:D25,B24:B25,B33),0)</f>
        <v>19454.5</v>
      </c>
      <c r="E33" s="403">
        <f>MAX(TREND(E24:E25,B24:B25,B33),0)</f>
        <v>1.45</v>
      </c>
      <c r="F33" s="404">
        <f>MAX(TREND(F24:F25,B24:B25,B33),0)</f>
        <v>1.45</v>
      </c>
      <c r="G33" s="401">
        <f>MAX(TREND(G24:G25,$B24:$B25,$B33),0)</f>
        <v>1</v>
      </c>
      <c r="H33" s="402">
        <f>MAX(TREND(H24:H25,$B24:$B25,$B33),0)</f>
        <v>1</v>
      </c>
      <c r="I33" s="405">
        <f>MIN(MAX(TREND(I24:I25,B24:B25,B33),0),1)</f>
        <v>0.24</v>
      </c>
      <c r="J33" s="772">
        <f>MIN(MAX(TREND(J24:J25,B24:B25,B33),0),1)</f>
        <v>0.24</v>
      </c>
      <c r="K33" s="401">
        <f>MAX(TREND(K24:K25,B24:B25,B33),0)</f>
        <v>0</v>
      </c>
      <c r="L33" s="402">
        <f>MAX(TREND(L24:L25,B24:B25,B33),0)</f>
        <v>0</v>
      </c>
      <c r="M33" s="403">
        <f>IFERROR(IF(INDEX(HwyTransitModelGroup,A18,1)=Hwy,C33*E33/G33,K33/G33),0)</f>
        <v>27626.85</v>
      </c>
      <c r="N33" s="404">
        <f>IFERROR(IF(INDEX(HwyTransitModelGroup,A18,1)=Hwy,D33*F33/H33,L33/H33),0)</f>
        <v>28209.024999999998</v>
      </c>
      <c r="O33" s="402">
        <f>TREND(O24:O25,$B24:$B25,$B33)</f>
        <v>1</v>
      </c>
      <c r="P33" s="998">
        <f>IF(INDEX(HwyTransitModelGroup,A18,1)=Hwy,G33*M33*(I33*ValTimeTruck+(1-I33)*ValTimeAuto)-O33*N33*(J33*ValTimeTruck+(1-J33)*ValTimeAuto),G33*IF(INDEX(NoTransit20,A18)=TRUE,INDEX(DivIndTrips,A18,4)/IF(INDEX(DivIndTrips,A18,3)=0,1,INDEX(DivIndTrips,A18,3)),M33)*ValTimeAuto-O33*N33*ValTimeAuto)*(1+TTUprater)^($B33-YearCurrent)</f>
        <v>-12183.75840000005</v>
      </c>
      <c r="Q33" s="780">
        <f t="shared" si="5"/>
        <v>-12183.75840000005</v>
      </c>
      <c r="R33" s="370">
        <f t="shared" si="6"/>
        <v>-8230.910616670375</v>
      </c>
      <c r="S33" s="371"/>
      <c r="T33" s="378">
        <f>TREND(T24:T25,$B24:$B25,$B33)</f>
        <v>-582.17499999998836</v>
      </c>
      <c r="V33" s="375">
        <f t="shared" si="4"/>
        <v>2035</v>
      </c>
      <c r="W33" s="376">
        <f t="shared" ca="1" si="1"/>
        <v>-14301.896880496644</v>
      </c>
      <c r="X33" s="376">
        <f t="shared" ca="1" si="2"/>
        <v>2993.4202773132465</v>
      </c>
      <c r="Y33" s="376">
        <f t="shared" ca="1" si="2"/>
        <v>74835.506932831122</v>
      </c>
      <c r="Z33" s="376">
        <f t="shared" ca="1" si="2"/>
        <v>230160.75910008501</v>
      </c>
      <c r="AA33" s="376">
        <f t="shared" ca="1" si="2"/>
        <v>519524.71924036468</v>
      </c>
      <c r="AB33" s="376">
        <f t="shared" ca="1" si="2"/>
        <v>649239.59792393877</v>
      </c>
      <c r="AD33" s="370">
        <f ca="1">SUM($W33:AC33)</f>
        <v>1462452.1065940363</v>
      </c>
      <c r="AE33" s="377"/>
      <c r="AF33" s="370">
        <f t="shared" ca="1" si="3"/>
        <v>2435090.2583999992</v>
      </c>
      <c r="AH33" s="378">
        <f ca="1">SUM($W67:AC67)</f>
        <v>116355.61249999973</v>
      </c>
    </row>
    <row r="34" spans="2:34" x14ac:dyDescent="0.2">
      <c r="B34" s="375">
        <f t="shared" si="7"/>
        <v>2033</v>
      </c>
      <c r="C34" s="401">
        <f>MAX(TREND(C24:C25,B24:B25,B34),0)</f>
        <v>19308.5</v>
      </c>
      <c r="D34" s="402">
        <f>MAX(TREND(D24:D25,B24:B25,B34),0)</f>
        <v>19837.75</v>
      </c>
      <c r="E34" s="403">
        <f>MAX(TREND(E24:E25,B24:B25,B34),0)</f>
        <v>1.45</v>
      </c>
      <c r="F34" s="404">
        <f>MAX(TREND(F24:F25,B24:B25,B34),0)</f>
        <v>1.45</v>
      </c>
      <c r="G34" s="401">
        <f>MAX(TREND(G24:G25,$B24:$B25,$B34),0)</f>
        <v>1</v>
      </c>
      <c r="H34" s="402">
        <f>MAX(TREND(H24:H25,$B24:$B25,$B34),0)</f>
        <v>1</v>
      </c>
      <c r="I34" s="405">
        <f>MIN(MAX(TREND(I24:I25,B24:B25,B34),0),1)</f>
        <v>0.24</v>
      </c>
      <c r="J34" s="772">
        <f>MIN(MAX(TREND(J24:J25,B24:B25,B34),0),1)</f>
        <v>0.24</v>
      </c>
      <c r="K34" s="401">
        <f>MAX(TREND(K24:K25,B24:B25,B34),0)</f>
        <v>0</v>
      </c>
      <c r="L34" s="402">
        <f>MAX(TREND(L24:L25,B24:B25,B34),0)</f>
        <v>0</v>
      </c>
      <c r="M34" s="403">
        <f>IFERROR(IF(INDEX(HwyTransitModelGroup,A18,1)=Hwy,C34*E34/G34,K34/G34),0)</f>
        <v>27997.325000000001</v>
      </c>
      <c r="N34" s="404">
        <f>IFERROR(IF(INDEX(HwyTransitModelGroup,A18,1)=Hwy,D34*F34/H34,L34/H34),0)</f>
        <v>28764.737499999999</v>
      </c>
      <c r="O34" s="402">
        <f>TREND(O24:O25,$B24:$B25,$B34)</f>
        <v>1</v>
      </c>
      <c r="P34" s="998">
        <f>IF(INDEX(HwyTransitModelGroup,A18,1)=Hwy,G34*M34*(I34*ValTimeTruck+(1-I34)*ValTimeAuto)-O34*N34*(J34*ValTimeTruck+(1-J34)*ValTimeAuto),G34*IF(INDEX(NoTransit20,A18)=TRUE,INDEX(DivIndTrips,A18,4)/IF(INDEX(DivIndTrips,A18,3)=0,1,INDEX(DivIndTrips,A18,3)),M34)*ValTimeAuto-O34*N34*ValTimeAuto)*(1+TTUprater)^($B34-YearCurrent)</f>
        <v>-16060.408799999976</v>
      </c>
      <c r="Q34" s="780">
        <f t="shared" si="5"/>
        <v>-16060.408799999976</v>
      </c>
      <c r="R34" s="370">
        <f t="shared" si="6"/>
        <v>-10432.53530959089</v>
      </c>
      <c r="S34" s="371"/>
      <c r="T34" s="378">
        <f>TREND(T24:T25,$B24:$B25,$B34)</f>
        <v>-767.41249999997672</v>
      </c>
      <c r="V34" s="375">
        <f t="shared" si="4"/>
        <v>2036</v>
      </c>
      <c r="W34" s="376">
        <f t="shared" ca="1" si="1"/>
        <v>-15990.492934365609</v>
      </c>
      <c r="X34" s="376">
        <f t="shared" ref="X34:AB43" ca="1" si="8">OFFSET($R19,MATCH(X$20,$A:$A),0)</f>
        <v>3198.0985868731154</v>
      </c>
      <c r="Y34" s="376">
        <f t="shared" ca="1" si="8"/>
        <v>73556.267498081885</v>
      </c>
      <c r="Z34" s="376">
        <f t="shared" ca="1" si="8"/>
        <v>223866.9010811187</v>
      </c>
      <c r="AA34" s="376">
        <f t="shared" ca="1" si="8"/>
        <v>518091.9710734465</v>
      </c>
      <c r="AB34" s="376">
        <f t="shared" ca="1" si="8"/>
        <v>639619.71737462492</v>
      </c>
      <c r="AD34" s="370">
        <f ca="1">SUM($W34:AC34)</f>
        <v>1442342.4626797796</v>
      </c>
      <c r="AE34" s="377"/>
      <c r="AF34" s="370">
        <f t="shared" ca="1" si="3"/>
        <v>2497670.4720000015</v>
      </c>
      <c r="AH34" s="378">
        <f ca="1">SUM($W68:AC68)</f>
        <v>119345.875</v>
      </c>
    </row>
    <row r="35" spans="2:34" x14ac:dyDescent="0.2">
      <c r="B35" s="375">
        <f t="shared" si="7"/>
        <v>2034</v>
      </c>
      <c r="C35" s="401">
        <f>MAX(TREND(C24:C25,B24:B25,B35),0)</f>
        <v>19564</v>
      </c>
      <c r="D35" s="402">
        <f>MAX(TREND(D24:D25,B24:B25,B35),0)</f>
        <v>20221</v>
      </c>
      <c r="E35" s="403">
        <f>MAX(TREND(E24:E25,B24:B25,B35),0)</f>
        <v>1.45</v>
      </c>
      <c r="F35" s="404">
        <f>MAX(TREND(F24:F25,B24:B25,B35),0)</f>
        <v>1.45</v>
      </c>
      <c r="G35" s="401">
        <f>MAX(TREND(G24:G25,$B24:$B25,$B35),0)</f>
        <v>1</v>
      </c>
      <c r="H35" s="402">
        <f>MAX(TREND(H24:H25,$B24:$B25,$B35),0)</f>
        <v>1</v>
      </c>
      <c r="I35" s="405">
        <f>MIN(MAX(TREND(I24:I25,B24:B25,B35),0),1)</f>
        <v>0.24</v>
      </c>
      <c r="J35" s="772">
        <f>MIN(MAX(TREND(J24:J25,B24:B25,B35),0),1)</f>
        <v>0.24</v>
      </c>
      <c r="K35" s="401">
        <f>MAX(TREND(K24:K25,B24:B25,B35),0)</f>
        <v>0</v>
      </c>
      <c r="L35" s="402">
        <f>MAX(TREND(L24:L25,B24:B25,B35),0)</f>
        <v>0</v>
      </c>
      <c r="M35" s="403">
        <f>IFERROR(IF(INDEX(HwyTransitModelGroup,A18,1)=Hwy,C35*E35/G35,K35/G35),0)</f>
        <v>28367.8</v>
      </c>
      <c r="N35" s="404">
        <f>IFERROR(IF(INDEX(HwyTransitModelGroup,A18,1)=Hwy,D35*F35/H35,L35/H35),0)</f>
        <v>29320.45</v>
      </c>
      <c r="O35" s="402">
        <f>TREND(O24:O25,$B24:$B25,$B35)</f>
        <v>1</v>
      </c>
      <c r="P35" s="998">
        <f>IF(INDEX(HwyTransitModelGroup,A18,1)=Hwy,G35*M35*(I35*ValTimeTruck+(1-I35)*ValTimeAuto)-O35*N35*(J35*ValTimeTruck+(1-J35)*ValTimeAuto),G35*IF(INDEX(NoTransit20,A18)=TRUE,INDEX(DivIndTrips,A18,4)/IF(INDEX(DivIndTrips,A18,3)=0,1,INDEX(DivIndTrips,A18,3)),M35)*ValTimeAuto-O35*N35*ValTimeAuto)*(1+TTUprater)^($B35-YearCurrent)</f>
        <v>-19937.059200000018</v>
      </c>
      <c r="Q35" s="780">
        <f t="shared" si="5"/>
        <v>-19937.059200000018</v>
      </c>
      <c r="R35" s="370">
        <f t="shared" si="6"/>
        <v>-12452.628353623106</v>
      </c>
      <c r="S35" s="371"/>
      <c r="T35" s="378">
        <f>TREND(T24:T25,$B24:$B25,$B35)</f>
        <v>-952.64999999996508</v>
      </c>
      <c r="V35" s="375">
        <f t="shared" si="4"/>
        <v>2037</v>
      </c>
      <c r="W35" s="376">
        <f t="shared" ca="1" si="1"/>
        <v>-17528.040331900724</v>
      </c>
      <c r="X35" s="376">
        <f t="shared" ca="1" si="8"/>
        <v>3382.6042745773238</v>
      </c>
      <c r="Y35" s="376">
        <f t="shared" ca="1" si="8"/>
        <v>72264.727684152342</v>
      </c>
      <c r="Z35" s="376">
        <f t="shared" ca="1" si="8"/>
        <v>217716.71149097814</v>
      </c>
      <c r="AA35" s="376">
        <f t="shared" ca="1" si="8"/>
        <v>516000.90661279851</v>
      </c>
      <c r="AB35" s="376">
        <f t="shared" ca="1" si="8"/>
        <v>629779.41403039999</v>
      </c>
      <c r="AD35" s="370">
        <f ca="1">SUM($W35:AC35)</f>
        <v>1421616.3237610054</v>
      </c>
      <c r="AE35" s="377"/>
      <c r="AF35" s="370">
        <f t="shared" ca="1" si="3"/>
        <v>2560250.6856000009</v>
      </c>
      <c r="AH35" s="378">
        <f ca="1">SUM($W69:AC69)</f>
        <v>122336.13749999946</v>
      </c>
    </row>
    <row r="36" spans="2:34" x14ac:dyDescent="0.2">
      <c r="B36" s="375">
        <f t="shared" si="7"/>
        <v>2035</v>
      </c>
      <c r="C36" s="401">
        <f>MAX(TREND(C24:C25,B24:B25,B36),0)</f>
        <v>19819.5</v>
      </c>
      <c r="D36" s="402">
        <f>MAX(TREND(D24:D25,B24:B25,B36),0)</f>
        <v>20604.25</v>
      </c>
      <c r="E36" s="403">
        <f>MAX(TREND(E24:E25,B24:B25,B36),0)</f>
        <v>1.45</v>
      </c>
      <c r="F36" s="404">
        <f>MAX(TREND(F24:F25,B24:B25,B36),0)</f>
        <v>1.45</v>
      </c>
      <c r="G36" s="401">
        <f>MAX(TREND(G24:G25,$B24:$B25,$B36),0)</f>
        <v>1</v>
      </c>
      <c r="H36" s="402">
        <f>MAX(TREND(H24:H25,$B24:$B25,$B36),0)</f>
        <v>1</v>
      </c>
      <c r="I36" s="405">
        <f>MIN(MAX(TREND(I24:I25,B24:B25,B36),0),1)</f>
        <v>0.24</v>
      </c>
      <c r="J36" s="772">
        <f>MIN(MAX(TREND(J24:J25,B24:B25,B36),0),1)</f>
        <v>0.24</v>
      </c>
      <c r="K36" s="401">
        <f>MAX(TREND(K24:K25,B24:B25,B36),0)</f>
        <v>0</v>
      </c>
      <c r="L36" s="402">
        <f>MAX(TREND(L24:L25,B24:B25,B36),0)</f>
        <v>0</v>
      </c>
      <c r="M36" s="403">
        <f>IFERROR(IF(INDEX(HwyTransitModelGroup,A18,1)=Hwy,C36*E36/G36,K36/G36),0)</f>
        <v>28738.274999999998</v>
      </c>
      <c r="N36" s="404">
        <f>IFERROR(IF(INDEX(HwyTransitModelGroup,A18,1)=Hwy,D36*F36/H36,L36/H36),0)</f>
        <v>29876.162499999999</v>
      </c>
      <c r="O36" s="402">
        <f>TREND(O24:O25,$B24:$B25,$B36)</f>
        <v>1</v>
      </c>
      <c r="P36" s="998">
        <f>IF(INDEX(HwyTransitModelGroup,A18,1)=Hwy,G36*M36*(I36*ValTimeTruck+(1-I36)*ValTimeAuto)-O36*N36*(J36*ValTimeTruck+(1-J36)*ValTimeAuto),G36*IF(INDEX(NoTransit20,A18)=TRUE,INDEX(DivIndTrips,A18,4)/IF(INDEX(DivIndTrips,A18,3)=0,1,INDEX(DivIndTrips,A18,3)),M36)*ValTimeAuto-O36*N36*ValTimeAuto)*(1+TTUprater)^($B36-YearCurrent)</f>
        <v>-23813.70960000006</v>
      </c>
      <c r="Q36" s="780">
        <f t="shared" si="5"/>
        <v>-23813.70960000006</v>
      </c>
      <c r="R36" s="370">
        <f t="shared" si="6"/>
        <v>-14301.896880496644</v>
      </c>
      <c r="S36" s="371"/>
      <c r="T36" s="378">
        <f>TREND(T24:T25,$B24:$B25,$B36)</f>
        <v>-1137.8874999999534</v>
      </c>
      <c r="V36" s="375">
        <f t="shared" si="4"/>
        <v>2038</v>
      </c>
      <c r="W36" s="376">
        <f t="shared" ca="1" si="1"/>
        <v>-18923.660277355797</v>
      </c>
      <c r="X36" s="376">
        <f t="shared" ca="1" si="8"/>
        <v>3548.1863020042078</v>
      </c>
      <c r="Y36" s="376">
        <f t="shared" ca="1" si="8"/>
        <v>70963.72604008409</v>
      </c>
      <c r="Z36" s="376">
        <f t="shared" ca="1" si="8"/>
        <v>211708.44935291755</v>
      </c>
      <c r="AA36" s="376">
        <f t="shared" ca="1" si="8"/>
        <v>513304.28502327506</v>
      </c>
      <c r="AB36" s="376">
        <f t="shared" ca="1" si="8"/>
        <v>619749.87408340129</v>
      </c>
      <c r="AD36" s="370">
        <f ca="1">SUM($W36:AC36)</f>
        <v>1400350.8605243266</v>
      </c>
      <c r="AE36" s="377"/>
      <c r="AF36" s="370">
        <f t="shared" ca="1" si="3"/>
        <v>2622830.8992000008</v>
      </c>
      <c r="AH36" s="378">
        <f ca="1">SUM($W70:AC70)</f>
        <v>125326.39999999986</v>
      </c>
    </row>
    <row r="37" spans="2:34" x14ac:dyDescent="0.2">
      <c r="B37" s="375">
        <f t="shared" si="7"/>
        <v>2036</v>
      </c>
      <c r="C37" s="401">
        <f>MAX(TREND(C24:C25,B24:B25,B37),0)</f>
        <v>20075</v>
      </c>
      <c r="D37" s="402">
        <f>MAX(TREND(D24:D25,B24:B25,B37),0)</f>
        <v>20987.5</v>
      </c>
      <c r="E37" s="403">
        <f>MAX(TREND(E24:E25,B24:B25,B37),0)</f>
        <v>1.45</v>
      </c>
      <c r="F37" s="404">
        <f>MAX(TREND(F24:F25,B24:B25,B37),0)</f>
        <v>1.45</v>
      </c>
      <c r="G37" s="401">
        <f>MAX(TREND(G24:G25,$B24:$B25,$B37),0)</f>
        <v>1</v>
      </c>
      <c r="H37" s="402">
        <f>MAX(TREND(H24:H25,$B24:$B25,$B37),0)</f>
        <v>1</v>
      </c>
      <c r="I37" s="405">
        <f>MIN(MAX(TREND(I24:I25,B24:B25,B37),0),1)</f>
        <v>0.24</v>
      </c>
      <c r="J37" s="772">
        <f>MIN(MAX(TREND(J24:J25,B24:B25,B37),0),1)</f>
        <v>0.24</v>
      </c>
      <c r="K37" s="401">
        <f>MAX(TREND(K24:K25,B24:B25,B37),0)</f>
        <v>0</v>
      </c>
      <c r="L37" s="402">
        <f>MAX(TREND(L24:L25,B24:B25,B37),0)</f>
        <v>0</v>
      </c>
      <c r="M37" s="403">
        <f>IFERROR(IF(INDEX(HwyTransitModelGroup,A18,1)=Hwy,C37*E37/G37,K37/G37),0)</f>
        <v>29108.75</v>
      </c>
      <c r="N37" s="404">
        <f>IFERROR(IF(INDEX(HwyTransitModelGroup,A18,1)=Hwy,D37*F37/H37,L37/H37),0)</f>
        <v>30431.875</v>
      </c>
      <c r="O37" s="402">
        <f>TREND(O24:O25,$B24:$B25,$B37)</f>
        <v>1</v>
      </c>
      <c r="P37" s="998">
        <f>IF(INDEX(HwyTransitModelGroup,A18,1)=Hwy,G37*M37*(I37*ValTimeTruck+(1-I37)*ValTimeAuto)-O37*N37*(J37*ValTimeTruck+(1-J37)*ValTimeAuto),G37*IF(INDEX(NoTransit20,A18)=TRUE,INDEX(DivIndTrips,A18,4)/IF(INDEX(DivIndTrips,A18,3)=0,1,INDEX(DivIndTrips,A18,3)),M37)*ValTimeAuto-O37*N37*ValTimeAuto)*(1+TTUprater)^($B37-YearCurrent)</f>
        <v>-27690.359999999986</v>
      </c>
      <c r="Q37" s="780">
        <f t="shared" si="5"/>
        <v>-27690.359999999986</v>
      </c>
      <c r="R37" s="370">
        <f t="shared" si="6"/>
        <v>-15990.492934365609</v>
      </c>
      <c r="S37" s="371"/>
      <c r="T37" s="378">
        <f>TREND(T24:T25,$B24:$B25,$B37)</f>
        <v>-1323.125</v>
      </c>
      <c r="V37" s="375">
        <f t="shared" si="4"/>
        <v>2039</v>
      </c>
      <c r="W37" s="376">
        <f t="shared" ca="1" si="1"/>
        <v>-20185.995788645774</v>
      </c>
      <c r="X37" s="376">
        <f t="shared" ca="1" si="8"/>
        <v>3696.0273979210697</v>
      </c>
      <c r="Y37" s="376">
        <f t="shared" ca="1" si="8"/>
        <v>69655.900960819738</v>
      </c>
      <c r="Z37" s="376">
        <f t="shared" ca="1" si="8"/>
        <v>205840.29508421829</v>
      </c>
      <c r="AA37" s="376">
        <f t="shared" ca="1" si="8"/>
        <v>510051.78091310489</v>
      </c>
      <c r="AB37" s="376">
        <f t="shared" ca="1" si="8"/>
        <v>609560.2108571328</v>
      </c>
      <c r="AD37" s="370">
        <f ca="1">SUM($W37:AC37)</f>
        <v>1378618.2194245509</v>
      </c>
      <c r="AE37" s="377"/>
      <c r="AF37" s="370">
        <f t="shared" ca="1" si="3"/>
        <v>2685411.1128000012</v>
      </c>
      <c r="AH37" s="378">
        <f ca="1">SUM($W71:AC71)</f>
        <v>128316.66250000027</v>
      </c>
    </row>
    <row r="38" spans="2:34" x14ac:dyDescent="0.2">
      <c r="B38" s="375">
        <f t="shared" si="7"/>
        <v>2037</v>
      </c>
      <c r="C38" s="401">
        <f>MAX(TREND(C24:C25,B24:B25,B38),0)</f>
        <v>20330.5</v>
      </c>
      <c r="D38" s="402">
        <f>MAX(TREND(D24:D25,B24:B25,B38),0)</f>
        <v>21370.75</v>
      </c>
      <c r="E38" s="403">
        <f>MAX(TREND(E24:E25,B24:B25,B38),0)</f>
        <v>1.45</v>
      </c>
      <c r="F38" s="404">
        <f>MAX(TREND(F24:F25,B24:B25,B38),0)</f>
        <v>1.45</v>
      </c>
      <c r="G38" s="401">
        <f>MAX(TREND(G24:G25,$B24:$B25,$B38),0)</f>
        <v>1</v>
      </c>
      <c r="H38" s="402">
        <f>MAX(TREND(H24:H25,$B24:$B25,$B38),0)</f>
        <v>1</v>
      </c>
      <c r="I38" s="405">
        <f>MIN(MAX(TREND(I24:I25,B24:B25,B38),0),1)</f>
        <v>0.24</v>
      </c>
      <c r="J38" s="772">
        <f>MIN(MAX(TREND(J24:J25,B24:B25,B38),0),1)</f>
        <v>0.24</v>
      </c>
      <c r="K38" s="401">
        <f>MAX(TREND(K24:K25,B24:B25,B38),0)</f>
        <v>0</v>
      </c>
      <c r="L38" s="402">
        <f>MAX(TREND(L24:L25,B24:B25,B38),0)</f>
        <v>0</v>
      </c>
      <c r="M38" s="403">
        <f>IFERROR(IF(INDEX(HwyTransitModelGroup,A18,1)=Hwy,C38*E38/G38,K38/G38),0)</f>
        <v>29479.224999999999</v>
      </c>
      <c r="N38" s="404">
        <f>IFERROR(IF(INDEX(HwyTransitModelGroup,A18,1)=Hwy,D38*F38/H38,L38/H38),0)</f>
        <v>30987.587499999998</v>
      </c>
      <c r="O38" s="402">
        <f>TREND(O24:O25,$B24:$B25,$B38)</f>
        <v>1</v>
      </c>
      <c r="P38" s="998">
        <f>IF(INDEX(HwyTransitModelGroup,A18,1)=Hwy,G38*M38*(I38*ValTimeTruck+(1-I38)*ValTimeAuto)-O38*N38*(J38*ValTimeTruck+(1-J38)*ValTimeAuto),G38*IF(INDEX(NoTransit20,A18)=TRUE,INDEX(DivIndTrips,A18,4)/IF(INDEX(DivIndTrips,A18,3)=0,1,INDEX(DivIndTrips,A18,3)),M38)*ValTimeAuto-O38*N38*ValTimeAuto)*(1+TTUprater)^($B38-YearCurrent)</f>
        <v>-31567.010399999912</v>
      </c>
      <c r="Q38" s="780">
        <f t="shared" si="5"/>
        <v>-31567.010399999912</v>
      </c>
      <c r="R38" s="370">
        <f t="shared" si="6"/>
        <v>-17528.040331900724</v>
      </c>
      <c r="S38" s="371"/>
      <c r="T38" s="378">
        <f>TREND(T24:T25,$B24:$B25,$B38)</f>
        <v>-1508.3624999999884</v>
      </c>
      <c r="V38" s="375">
        <f t="shared" si="4"/>
        <v>2040</v>
      </c>
      <c r="W38" s="376">
        <f t="shared" ca="1" si="1"/>
        <v>-21323.234988006054</v>
      </c>
      <c r="X38" s="376">
        <f t="shared" ca="1" si="8"/>
        <v>3827.247305539529</v>
      </c>
      <c r="Y38" s="376">
        <f t="shared" ca="1" si="8"/>
        <v>68343.701884634749</v>
      </c>
      <c r="Z38" s="376">
        <f t="shared" ca="1" si="8"/>
        <v>200110.3591182105</v>
      </c>
      <c r="AA38" s="376">
        <f t="shared" ca="1" si="8"/>
        <v>506290.14356137387</v>
      </c>
      <c r="AB38" s="376">
        <f t="shared" ca="1" si="8"/>
        <v>599237.57812447706</v>
      </c>
      <c r="AD38" s="370">
        <f ca="1">SUM($W38:AC38)</f>
        <v>1356485.7950062295</v>
      </c>
      <c r="AE38" s="377"/>
      <c r="AF38" s="370">
        <f t="shared" ca="1" si="3"/>
        <v>2747991.3263999992</v>
      </c>
      <c r="AH38" s="378">
        <f ca="1">SUM($W72:AC72)</f>
        <v>131306.92499999973</v>
      </c>
    </row>
    <row r="39" spans="2:34" x14ac:dyDescent="0.2">
      <c r="B39" s="375">
        <f t="shared" si="7"/>
        <v>2038</v>
      </c>
      <c r="C39" s="401">
        <f>MAX(TREND(C24:C25,B24:B25,B39),0)</f>
        <v>20586</v>
      </c>
      <c r="D39" s="402">
        <f>MAX(TREND(D24:D25,B24:B25,B39),0)</f>
        <v>21754</v>
      </c>
      <c r="E39" s="403">
        <f>MAX(TREND(E24:E25,B24:B25,B39),0)</f>
        <v>1.45</v>
      </c>
      <c r="F39" s="404">
        <f>MAX(TREND(F24:F25,B24:B25,B39),0)</f>
        <v>1.45</v>
      </c>
      <c r="G39" s="401">
        <f>MAX(TREND(G24:G25,$B24:$B25,$B39),0)</f>
        <v>1</v>
      </c>
      <c r="H39" s="402">
        <f>MAX(TREND(H24:H25,$B24:$B25,$B39),0)</f>
        <v>1</v>
      </c>
      <c r="I39" s="405">
        <f>MIN(MAX(TREND(I24:I25,B24:B25,B39),0),1)</f>
        <v>0.24</v>
      </c>
      <c r="J39" s="772">
        <f>MIN(MAX(TREND(J24:J25,B24:B25,B39),0),1)</f>
        <v>0.24</v>
      </c>
      <c r="K39" s="401">
        <f>MAX(TREND(K24:K25,B24:B25,B39),0)</f>
        <v>0</v>
      </c>
      <c r="L39" s="402">
        <f>MAX(TREND(L24:L25,B24:B25,B39),0)</f>
        <v>0</v>
      </c>
      <c r="M39" s="403">
        <f>IFERROR(IF(INDEX(HwyTransitModelGroup,A18,1)=Hwy,C39*E39/G39,K39/G39),0)</f>
        <v>29849.7</v>
      </c>
      <c r="N39" s="404">
        <f>IFERROR(IF(INDEX(HwyTransitModelGroup,A18,1)=Hwy,D39*F39/H39,L39/H39),0)</f>
        <v>31543.3</v>
      </c>
      <c r="O39" s="402">
        <f>TREND(O24:O25,$B24:$B25,$B39)</f>
        <v>1</v>
      </c>
      <c r="P39" s="998">
        <f>IF(INDEX(HwyTransitModelGroup,A18,1)=Hwy,G39*M39*(I39*ValTimeTruck+(1-I39)*ValTimeAuto)-O39*N39*(J39*ValTimeTruck+(1-J39)*ValTimeAuto),G39*IF(INDEX(NoTransit20,A18)=TRUE,INDEX(DivIndTrips,A18,4)/IF(INDEX(DivIndTrips,A18,3)=0,1,INDEX(DivIndTrips,A18,3)),M39)*ValTimeAuto-O39*N39*ValTimeAuto)*(1+TTUprater)^($B39-YearCurrent)</f>
        <v>-35443.660800000071</v>
      </c>
      <c r="Q39" s="780">
        <f t="shared" si="5"/>
        <v>-35443.660800000071</v>
      </c>
      <c r="R39" s="370">
        <f t="shared" si="6"/>
        <v>-18923.660277355797</v>
      </c>
      <c r="S39" s="371"/>
      <c r="T39" s="378">
        <f>TREND(T24:T25,$B24:$B25,$B39)</f>
        <v>-1693.5999999999767</v>
      </c>
      <c r="V39" s="375">
        <f t="shared" si="4"/>
        <v>2041</v>
      </c>
      <c r="W39" s="376">
        <f t="shared" ca="1" si="1"/>
        <v>-22343.133308438315</v>
      </c>
      <c r="X39" s="376">
        <f t="shared" ca="1" si="8"/>
        <v>3942.9058779596994</v>
      </c>
      <c r="Y39" s="376">
        <f t="shared" ca="1" si="8"/>
        <v>67029.399925314836</v>
      </c>
      <c r="Z39" s="376">
        <f t="shared" ca="1" si="8"/>
        <v>194516.68997934504</v>
      </c>
      <c r="AA39" s="376">
        <f t="shared" ca="1" si="8"/>
        <v>502063.34846020141</v>
      </c>
      <c r="AB39" s="376">
        <f t="shared" ca="1" si="8"/>
        <v>588807.2777753144</v>
      </c>
      <c r="AD39" s="370">
        <f ca="1">SUM($W39:AC39)</f>
        <v>1334016.488709697</v>
      </c>
      <c r="AE39" s="377"/>
      <c r="AF39" s="370">
        <f t="shared" ca="1" si="3"/>
        <v>2810571.54</v>
      </c>
      <c r="AH39" s="378">
        <f ca="1">SUM($W73:AC73)</f>
        <v>134297.1875</v>
      </c>
    </row>
    <row r="40" spans="2:34" x14ac:dyDescent="0.2">
      <c r="B40" s="375">
        <f t="shared" si="7"/>
        <v>2039</v>
      </c>
      <c r="C40" s="401">
        <f>MAX(TREND(C24:C25,B24:B25,B40),0)</f>
        <v>20841.5</v>
      </c>
      <c r="D40" s="402">
        <f>MAX(TREND(D24:D25,B24:B25,B40),0)</f>
        <v>22137.25</v>
      </c>
      <c r="E40" s="403">
        <f>MAX(TREND(E24:E25,B24:B25,B40),0)</f>
        <v>1.45</v>
      </c>
      <c r="F40" s="404">
        <f>MAX(TREND(F24:F25,B24:B25,B40),0)</f>
        <v>1.45</v>
      </c>
      <c r="G40" s="401">
        <f>MAX(TREND(G24:G25,$B24:$B25,$B40),0)</f>
        <v>1</v>
      </c>
      <c r="H40" s="402">
        <f>MAX(TREND(H24:H25,$B24:$B25,$B40),0)</f>
        <v>1</v>
      </c>
      <c r="I40" s="405">
        <f>MIN(MAX(TREND(I24:I25,B24:B25,B40),0),1)</f>
        <v>0.24</v>
      </c>
      <c r="J40" s="772">
        <f>MIN(MAX(TREND(J24:J25,B24:B25,B40),0),1)</f>
        <v>0.24</v>
      </c>
      <c r="K40" s="401">
        <f>MAX(TREND(K24:K25,B24:B25,B40),0)</f>
        <v>0</v>
      </c>
      <c r="L40" s="402">
        <f>MAX(TREND(L24:L25,B24:B25,B40),0)</f>
        <v>0</v>
      </c>
      <c r="M40" s="403">
        <f>IFERROR(IF(INDEX(HwyTransitModelGroup,A18,1)=Hwy,C40*E40/G40,K40/G40),0)</f>
        <v>30220.174999999999</v>
      </c>
      <c r="N40" s="404">
        <f>IFERROR(IF(INDEX(HwyTransitModelGroup,A18,1)=Hwy,D40*F40/H40,L40/H40),0)</f>
        <v>32099.012500000001</v>
      </c>
      <c r="O40" s="402">
        <f>TREND(O24:O25,$B24:$B25,$B40)</f>
        <v>1</v>
      </c>
      <c r="P40" s="998">
        <f>IF(INDEX(HwyTransitModelGroup,A18,1)=Hwy,G40*M40*(I40*ValTimeTruck+(1-I40)*ValTimeAuto)-O40*N40*(J40*ValTimeTruck+(1-J40)*ValTimeAuto),G40*IF(INDEX(NoTransit20,A18)=TRUE,INDEX(DivIndTrips,A18,4)/IF(INDEX(DivIndTrips,A18,3)=0,1,INDEX(DivIndTrips,A18,3)),M40)*ValTimeAuto-O40*N40*ValTimeAuto)*(1+TTUprater)^($B40-YearCurrent)</f>
        <v>-39320.311200000113</v>
      </c>
      <c r="Q40" s="780">
        <f t="shared" si="5"/>
        <v>-39320.311200000113</v>
      </c>
      <c r="R40" s="370">
        <f t="shared" si="6"/>
        <v>-20185.995788645774</v>
      </c>
      <c r="S40" s="371"/>
      <c r="T40" s="378">
        <f>TREND(T24:T25,$B24:$B25,$B40)</f>
        <v>-1878.8374999999651</v>
      </c>
      <c r="V40" s="375">
        <f t="shared" si="4"/>
        <v>2042</v>
      </c>
      <c r="W40" s="376">
        <f t="shared" ca="1" si="1"/>
        <v>-23253.034664890569</v>
      </c>
      <c r="X40" s="376">
        <f t="shared" ca="1" si="8"/>
        <v>4044.0060286766056</v>
      </c>
      <c r="Y40" s="376">
        <f t="shared" ca="1" si="8"/>
        <v>65715.097965994923</v>
      </c>
      <c r="Z40" s="376">
        <f t="shared" ca="1" si="8"/>
        <v>189057.28184063162</v>
      </c>
      <c r="AA40" s="376">
        <f t="shared" ca="1" si="8"/>
        <v>497412.74152722274</v>
      </c>
      <c r="AB40" s="376">
        <f t="shared" ca="1" si="8"/>
        <v>578292.86210075603</v>
      </c>
      <c r="AD40" s="370">
        <f ca="1">SUM($W40:AC40)</f>
        <v>1311268.9547983913</v>
      </c>
      <c r="AE40" s="377"/>
      <c r="AF40" s="370">
        <f t="shared" ca="1" si="3"/>
        <v>2873151.7536000004</v>
      </c>
      <c r="AH40" s="378">
        <f ca="1">SUM($W74:AC74)</f>
        <v>137287.44999999946</v>
      </c>
    </row>
    <row r="41" spans="2:34" x14ac:dyDescent="0.2">
      <c r="B41" s="375">
        <f t="shared" si="7"/>
        <v>2040</v>
      </c>
      <c r="C41" s="401">
        <f>MAX(TREND(C24:C25,B24:B25,B41),0)</f>
        <v>21097</v>
      </c>
      <c r="D41" s="402">
        <f>MAX(TREND(D24:D25,B24:B25,B41),0)</f>
        <v>22520.5</v>
      </c>
      <c r="E41" s="403">
        <f>MAX(TREND(E24:E25,B24:B25,B41),0)</f>
        <v>1.45</v>
      </c>
      <c r="F41" s="404">
        <f>MAX(TREND(F24:F25,B24:B25,B41),0)</f>
        <v>1.45</v>
      </c>
      <c r="G41" s="401">
        <f>MAX(TREND(G24:G25,$B24:$B25,$B41),0)</f>
        <v>1</v>
      </c>
      <c r="H41" s="402">
        <f>MAX(TREND(H24:H25,$B24:$B25,$B41),0)</f>
        <v>1</v>
      </c>
      <c r="I41" s="405">
        <f>MIN(MAX(TREND(I24:I25,B24:B25,B41),0),1)</f>
        <v>0.24</v>
      </c>
      <c r="J41" s="772">
        <f>MIN(MAX(TREND(J24:J25,B24:B25,B41),0),1)</f>
        <v>0.24</v>
      </c>
      <c r="K41" s="401">
        <f>MAX(TREND(K24:K25,B24:B25,B41),0)</f>
        <v>0</v>
      </c>
      <c r="L41" s="402">
        <f>MAX(TREND(L24:L25,B24:B25,B41),0)</f>
        <v>0</v>
      </c>
      <c r="M41" s="403">
        <f>IFERROR(IF(INDEX(HwyTransitModelGroup,A18,1)=Hwy,C41*E41/G41,K41/G41),0)</f>
        <v>30590.649999999998</v>
      </c>
      <c r="N41" s="404">
        <f>IFERROR(IF(INDEX(HwyTransitModelGroup,A18,1)=Hwy,D41*F41/H41,L41/H41),0)</f>
        <v>32654.724999999999</v>
      </c>
      <c r="O41" s="402">
        <f>TREND(O24:O25,$B24:$B25,$B41)</f>
        <v>1</v>
      </c>
      <c r="P41" s="998">
        <f>IF(INDEX(HwyTransitModelGroup,A18,1)=Hwy,G41*M41*(I41*ValTimeTruck+(1-I41)*ValTimeAuto)-O41*N41*(J41*ValTimeTruck+(1-J41)*ValTimeAuto),G41*IF(INDEX(NoTransit20,A18)=TRUE,INDEX(DivIndTrips,A18,4)/IF(INDEX(DivIndTrips,A18,3)=0,1,INDEX(DivIndTrips,A18,3)),M41)*ValTimeAuto-O41*N41*ValTimeAuto)*(1+TTUprater)^($B41-YearCurrent)</f>
        <v>-43196.961600000039</v>
      </c>
      <c r="Q41" s="780">
        <f t="shared" si="5"/>
        <v>-43196.961600000039</v>
      </c>
      <c r="R41" s="370">
        <f t="shared" si="6"/>
        <v>-21323.234988006054</v>
      </c>
      <c r="S41" s="371"/>
      <c r="T41" s="378">
        <f>TREND(T24:T25,$B24:$B25,$B41)</f>
        <v>-2064.0749999999534</v>
      </c>
      <c r="V41" s="375">
        <f t="shared" si="4"/>
        <v>2043</v>
      </c>
      <c r="W41" s="376">
        <f t="shared" ca="1" si="1"/>
        <v>-24059.891636958168</v>
      </c>
      <c r="X41" s="376">
        <f t="shared" ca="1" si="8"/>
        <v>4131.4965437200808</v>
      </c>
      <c r="Y41" s="376">
        <f t="shared" ca="1" si="8"/>
        <v>64402.740240342646</v>
      </c>
      <c r="Z41" s="376">
        <f t="shared" ca="1" si="8"/>
        <v>183730.08159131714</v>
      </c>
      <c r="AA41" s="376">
        <f t="shared" ca="1" si="8"/>
        <v>492377.17632805434</v>
      </c>
      <c r="AB41" s="376">
        <f t="shared" ca="1" si="8"/>
        <v>567716.23094883119</v>
      </c>
      <c r="AD41" s="370">
        <f ca="1">SUM($W41:AC41)</f>
        <v>1288297.8340153072</v>
      </c>
      <c r="AE41" s="377"/>
      <c r="AF41" s="370">
        <f t="shared" ca="1" si="3"/>
        <v>2935731.9672000003</v>
      </c>
      <c r="AH41" s="378">
        <f ca="1">SUM($W75:AC75)</f>
        <v>140277.71249999985</v>
      </c>
    </row>
    <row r="42" spans="2:34" x14ac:dyDescent="0.2">
      <c r="B42" s="375">
        <f t="shared" si="7"/>
        <v>2041</v>
      </c>
      <c r="C42" s="401">
        <f>MAX(TREND(C24:C25,B24:B25,B42),0)</f>
        <v>21352.5</v>
      </c>
      <c r="D42" s="402">
        <f>MAX(TREND(D24:D25,B24:B25,B42),0)</f>
        <v>22903.75</v>
      </c>
      <c r="E42" s="403">
        <f>MAX(TREND(E24:E25,B24:B25,B42),0)</f>
        <v>1.45</v>
      </c>
      <c r="F42" s="404">
        <f>MAX(TREND(F24:F25,B24:B25,B42),0)</f>
        <v>1.45</v>
      </c>
      <c r="G42" s="401">
        <f>MAX(TREND(G24:G25,$B24:$B25,$B42),0)</f>
        <v>1</v>
      </c>
      <c r="H42" s="402">
        <f>MAX(TREND(H24:H25,$B24:$B25,$B42),0)</f>
        <v>1</v>
      </c>
      <c r="I42" s="405">
        <f>MIN(MAX(TREND(I24:I25,B24:B25,B42),0),1)</f>
        <v>0.24</v>
      </c>
      <c r="J42" s="772">
        <f>MIN(MAX(TREND(J24:J25,B24:B25,B42),0),1)</f>
        <v>0.24</v>
      </c>
      <c r="K42" s="401">
        <f>MAX(TREND(K24:K25,B24:B25,B42),0)</f>
        <v>0</v>
      </c>
      <c r="L42" s="402">
        <f>MAX(TREND(L24:L25,B24:B25,B42),0)</f>
        <v>0</v>
      </c>
      <c r="M42" s="403">
        <f>IFERROR(IF(INDEX(HwyTransitModelGroup,A18,1)=Hwy,C42*E42/G42,K42/G42),0)</f>
        <v>30961.125</v>
      </c>
      <c r="N42" s="404">
        <f>IFERROR(IF(INDEX(HwyTransitModelGroup,A18,1)=Hwy,D42*F42/H42,L42/H42),0)</f>
        <v>33210.4375</v>
      </c>
      <c r="O42" s="402">
        <f>TREND(O24:O25,$B24:$B25,$B42)</f>
        <v>1</v>
      </c>
      <c r="P42" s="998">
        <f>IF(INDEX(HwyTransitModelGroup,A18,1)=Hwy,G42*M42*(I42*ValTimeTruck+(1-I42)*ValTimeAuto)-O42*N42*(J42*ValTimeTruck+(1-J42)*ValTimeAuto),G42*IF(INDEX(NoTransit20,A18)=TRUE,INDEX(DivIndTrips,A18,4)/IF(INDEX(DivIndTrips,A18,3)=0,1,INDEX(DivIndTrips,A18,3)),M42)*ValTimeAuto-O42*N42*ValTimeAuto)*(1+TTUprater)^($B42-YearCurrent)</f>
        <v>-47073.612000000081</v>
      </c>
      <c r="Q42" s="780">
        <f t="shared" si="5"/>
        <v>-47073.612000000081</v>
      </c>
      <c r="R42" s="370">
        <f t="shared" si="6"/>
        <v>-22343.133308438315</v>
      </c>
      <c r="S42" s="371"/>
      <c r="T42" s="378">
        <f>TREND(T24:T25,$B24:$B25,$B42)</f>
        <v>-2249.3125</v>
      </c>
      <c r="V42" s="375">
        <f t="shared" si="4"/>
        <v>2044</v>
      </c>
      <c r="W42" s="376">
        <f t="shared" ca="1" si="1"/>
        <v>-24770.284707824085</v>
      </c>
      <c r="X42" s="376">
        <f t="shared" ca="1" si="8"/>
        <v>4206.2747617059822</v>
      </c>
      <c r="Y42" s="376">
        <f t="shared" ca="1" si="8"/>
        <v>63094.121425589714</v>
      </c>
      <c r="Z42" s="376">
        <f t="shared" ca="1" si="8"/>
        <v>178532.99544129823</v>
      </c>
      <c r="AA42" s="376">
        <f t="shared" ca="1" si="8"/>
        <v>486993.14463307016</v>
      </c>
      <c r="AB42" s="376">
        <f t="shared" ca="1" si="8"/>
        <v>557097.72399483575</v>
      </c>
      <c r="AD42" s="370">
        <f ca="1">SUM($W42:AC42)</f>
        <v>1265153.9755486757</v>
      </c>
      <c r="AE42" s="377"/>
      <c r="AF42" s="370">
        <f t="shared" ca="1" si="3"/>
        <v>2998312.1807999993</v>
      </c>
      <c r="AH42" s="378">
        <f ca="1">SUM($W76:AC76)</f>
        <v>143267.97500000027</v>
      </c>
    </row>
    <row r="43" spans="2:34" x14ac:dyDescent="0.2">
      <c r="B43" s="375">
        <f t="shared" si="7"/>
        <v>2042</v>
      </c>
      <c r="C43" s="401">
        <f>MAX(TREND(C24:C25,B24:B25,B43),0)</f>
        <v>21608</v>
      </c>
      <c r="D43" s="402">
        <f>MAX(TREND(D24:D25,B24:B25,B43),0)</f>
        <v>23287</v>
      </c>
      <c r="E43" s="403">
        <f>MAX(TREND(E24:E25,B24:B25,B43),0)</f>
        <v>1.45</v>
      </c>
      <c r="F43" s="404">
        <f>MAX(TREND(F24:F25,B24:B25,B43),0)</f>
        <v>1.45</v>
      </c>
      <c r="G43" s="401">
        <f>MAX(TREND(G24:G25,$B24:$B25,$B43),0)</f>
        <v>1</v>
      </c>
      <c r="H43" s="402">
        <f>MAX(TREND(H24:H25,$B24:$B25,$B43),0)</f>
        <v>1</v>
      </c>
      <c r="I43" s="405">
        <f>MIN(MAX(TREND(I24:I25,B24:B25,B43),0),1)</f>
        <v>0.24</v>
      </c>
      <c r="J43" s="772">
        <f>MIN(MAX(TREND(J24:J25,B24:B25,B43),0),1)</f>
        <v>0.24</v>
      </c>
      <c r="K43" s="401">
        <f>MAX(TREND(K24:K25,B24:B25,B43),0)</f>
        <v>0</v>
      </c>
      <c r="L43" s="402">
        <f>MAX(TREND(L24:L25,B24:B25,B43),0)</f>
        <v>0</v>
      </c>
      <c r="M43" s="403">
        <f>IFERROR(IF(INDEX(HwyTransitModelGroup,A18,1)=Hwy,C43*E43/G43,K43/G43),0)</f>
        <v>31331.599999999999</v>
      </c>
      <c r="N43" s="404">
        <f>IFERROR(IF(INDEX(HwyTransitModelGroup,A18,1)=Hwy,D43*F43/H43,L43/H43),0)</f>
        <v>33766.15</v>
      </c>
      <c r="O43" s="402">
        <f>TREND(O24:O25,$B24:$B25,$B43)</f>
        <v>1</v>
      </c>
      <c r="P43" s="998">
        <f>IF(INDEX(HwyTransitModelGroup,A18,1)=Hwy,G43*M43*(I43*ValTimeTruck+(1-I43)*ValTimeAuto)-O43*N43*(J43*ValTimeTruck+(1-J43)*ValTimeAuto),G43*IF(INDEX(NoTransit20,A18)=TRUE,INDEX(DivIndTrips,A18,4)/IF(INDEX(DivIndTrips,A18,3)=0,1,INDEX(DivIndTrips,A18,3)),M43)*ValTimeAuto-O43*N43*ValTimeAuto)*(1+TTUprater)^($B43-YearCurrent)</f>
        <v>-50950.262400000123</v>
      </c>
      <c r="Q43" s="780">
        <f t="shared" si="5"/>
        <v>-50950.262400000123</v>
      </c>
      <c r="R43" s="370">
        <f t="shared" si="6"/>
        <v>-23253.034664890569</v>
      </c>
      <c r="S43" s="371"/>
      <c r="T43" s="378">
        <f>TREND(T24:T25,$B24:$B25,$B43)</f>
        <v>-2434.5499999999884</v>
      </c>
      <c r="V43" s="375">
        <f t="shared" si="4"/>
        <v>2045</v>
      </c>
      <c r="W43" s="376">
        <f t="shared" ca="1" si="1"/>
        <v>-25390.440602178194</v>
      </c>
      <c r="X43" s="376">
        <f t="shared" ca="1" si="8"/>
        <v>4269.1891277998675</v>
      </c>
      <c r="Y43" s="376">
        <f t="shared" ca="1" si="8"/>
        <v>61790.895270787616</v>
      </c>
      <c r="Z43" s="376">
        <f t="shared" ca="1" si="8"/>
        <v>173463.89508744745</v>
      </c>
      <c r="AA43" s="376">
        <f t="shared" ca="1" si="8"/>
        <v>481294.90061827999</v>
      </c>
      <c r="AB43" s="376">
        <f t="shared" ca="1" si="8"/>
        <v>546456.20835838385</v>
      </c>
      <c r="AD43" s="370">
        <f ca="1">SUM($W43:AC43)</f>
        <v>1241884.6478605205</v>
      </c>
      <c r="AE43" s="377"/>
      <c r="AF43" s="370">
        <f t="shared" ca="1" si="3"/>
        <v>3060892.3943999996</v>
      </c>
      <c r="AH43" s="378">
        <f ca="1">SUM($W77:AC77)</f>
        <v>146258.23749999973</v>
      </c>
    </row>
    <row r="44" spans="2:34" x14ac:dyDescent="0.2">
      <c r="B44" s="375">
        <f t="shared" si="7"/>
        <v>2043</v>
      </c>
      <c r="C44" s="401">
        <f>MAX(TREND(C24:C25,B24:B25,B44),0)</f>
        <v>21863.5</v>
      </c>
      <c r="D44" s="402">
        <f>MAX(TREND(D24:D25,B24:B25,B44),0)</f>
        <v>23670.25</v>
      </c>
      <c r="E44" s="403">
        <f>MAX(TREND(E24:E25,B24:B25,B44),0)</f>
        <v>1.45</v>
      </c>
      <c r="F44" s="404">
        <f>MAX(TREND(F24:F25,B24:B25,B44),0)</f>
        <v>1.45</v>
      </c>
      <c r="G44" s="401">
        <f>MAX(TREND(G24:G25,$B24:$B25,$B44),0)</f>
        <v>1</v>
      </c>
      <c r="H44" s="402">
        <f>MAX(TREND(H24:H25,$B24:$B25,$B44),0)</f>
        <v>1</v>
      </c>
      <c r="I44" s="405">
        <f>MIN(MAX(TREND(I24:I25,B24:B25,B44),0),1)</f>
        <v>0.24</v>
      </c>
      <c r="J44" s="772">
        <f>MIN(MAX(TREND(J24:J25,B24:B25,B44),0),1)</f>
        <v>0.24</v>
      </c>
      <c r="K44" s="401">
        <f>MAX(TREND(K24:K25,B24:B25,B44),0)</f>
        <v>0</v>
      </c>
      <c r="L44" s="402">
        <f>MAX(TREND(L24:L25,B24:B25,B44),0)</f>
        <v>0</v>
      </c>
      <c r="M44" s="403">
        <f>IFERROR(IF(INDEX(HwyTransitModelGroup,A18,1)=Hwy,C44*E44/G44,K44/G44),0)</f>
        <v>31702.075000000001</v>
      </c>
      <c r="N44" s="404">
        <f>IFERROR(IF(INDEX(HwyTransitModelGroup,A18,1)=Hwy,D44*F44/H44,L44/H44),0)</f>
        <v>34321.862499999996</v>
      </c>
      <c r="O44" s="402">
        <f>TREND(O24:O25,$B24:$B25,$B44)</f>
        <v>1</v>
      </c>
      <c r="P44" s="998">
        <f>IF(INDEX(HwyTransitModelGroup,A18,1)=Hwy,G44*M44*(I44*ValTimeTruck+(1-I44)*ValTimeAuto)-O44*N44*(J44*ValTimeTruck+(1-J44)*ValTimeAuto),G44*IF(INDEX(NoTransit20,A18)=TRUE,INDEX(DivIndTrips,A18,4)/IF(INDEX(DivIndTrips,A18,3)=0,1,INDEX(DivIndTrips,A18,3)),M44)*ValTimeAuto-O44*N44*ValTimeAuto)*(1+TTUprater)^($B44-YearCurrent)</f>
        <v>-54826.912799999933</v>
      </c>
      <c r="Q44" s="780">
        <f t="shared" si="5"/>
        <v>-54826.912799999933</v>
      </c>
      <c r="R44" s="370">
        <f t="shared" si="6"/>
        <v>-24059.891636958168</v>
      </c>
      <c r="S44" s="371"/>
      <c r="T44" s="378">
        <f>TREND(T24:T25,$B24:$B25,$B44)</f>
        <v>-2619.7874999999767</v>
      </c>
      <c r="V44" s="385"/>
      <c r="W44" s="389"/>
      <c r="X44" s="389"/>
      <c r="Y44" s="389"/>
      <c r="Z44" s="389"/>
      <c r="AA44" s="389"/>
      <c r="AB44" s="389"/>
      <c r="AD44" s="389"/>
      <c r="AE44" s="390"/>
      <c r="AF44" s="389"/>
      <c r="AH44" s="389"/>
    </row>
    <row r="45" spans="2:34" x14ac:dyDescent="0.2">
      <c r="B45" s="375">
        <f t="shared" si="7"/>
        <v>2044</v>
      </c>
      <c r="C45" s="401">
        <f>MAX(TREND(C24:C25,B24:B25,B45),0)</f>
        <v>22119</v>
      </c>
      <c r="D45" s="402">
        <f>MAX(TREND(D24:D25,B24:B25,B45),0)</f>
        <v>24053.5</v>
      </c>
      <c r="E45" s="403">
        <f>MAX(TREND(E24:E25,B24:B25,B45),0)</f>
        <v>1.45</v>
      </c>
      <c r="F45" s="404">
        <f>MAX(TREND(F24:F25,B24:B25,B45),0)</f>
        <v>1.45</v>
      </c>
      <c r="G45" s="401">
        <f>MAX(TREND(G24:G25,$B24:$B25,$B45),0)</f>
        <v>1</v>
      </c>
      <c r="H45" s="402">
        <f>MAX(TREND(H24:H25,$B24:$B25,$B45),0)</f>
        <v>1</v>
      </c>
      <c r="I45" s="405">
        <f>MIN(MAX(TREND(I24:I25,B24:B25,B45),0),1)</f>
        <v>0.24</v>
      </c>
      <c r="J45" s="772">
        <f>MIN(MAX(TREND(J24:J25,B24:B25,B45),0),1)</f>
        <v>0.24</v>
      </c>
      <c r="K45" s="401">
        <f>MAX(TREND(K24:K25,B24:B25,B45),0)</f>
        <v>0</v>
      </c>
      <c r="L45" s="402">
        <f>MAX(TREND(L24:L25,B24:B25,B45),0)</f>
        <v>0</v>
      </c>
      <c r="M45" s="403">
        <f>IFERROR(IF(INDEX(HwyTransitModelGroup,A18,1)=Hwy,C45*E45/G45,K45/G45),0)</f>
        <v>32072.55</v>
      </c>
      <c r="N45" s="404">
        <f>IFERROR(IF(INDEX(HwyTransitModelGroup,A18,1)=Hwy,D45*F45/H45,L45/H45),0)</f>
        <v>34877.574999999997</v>
      </c>
      <c r="O45" s="402">
        <f>TREND(O24:O25,$B24:$B25,$B45)</f>
        <v>1</v>
      </c>
      <c r="P45" s="998">
        <f>IF(INDEX(HwyTransitModelGroup,A18,1)=Hwy,G45*M45*(I45*ValTimeTruck+(1-I45)*ValTimeAuto)-O45*N45*(J45*ValTimeTruck+(1-J45)*ValTimeAuto),G45*IF(INDEX(NoTransit20,A18)=TRUE,INDEX(DivIndTrips,A18,4)/IF(INDEX(DivIndTrips,A18,3)=0,1,INDEX(DivIndTrips,A18,3)),M45)*ValTimeAuto-O45*N45*ValTimeAuto)*(1+TTUprater)^($B45-YearCurrent)</f>
        <v>-58703.563199999975</v>
      </c>
      <c r="Q45" s="780">
        <f t="shared" si="5"/>
        <v>-58703.563199999975</v>
      </c>
      <c r="R45" s="370">
        <f t="shared" si="6"/>
        <v>-24770.284707824085</v>
      </c>
      <c r="S45" s="371"/>
      <c r="T45" s="378">
        <f>TREND(T24:T25,$B24:$B25,$B45)</f>
        <v>-2805.0249999999651</v>
      </c>
      <c r="V45" s="407" t="s">
        <v>56</v>
      </c>
      <c r="W45" s="408">
        <f t="shared" ref="W45:AB45" ca="1" si="9">SUM(W24:W43)</f>
        <v>-250669.29971700825</v>
      </c>
      <c r="X45" s="408">
        <f t="shared" ca="1" si="9"/>
        <v>54926.929929907397</v>
      </c>
      <c r="Y45" s="408">
        <f t="shared" ca="1" si="9"/>
        <v>1479007.5377806379</v>
      </c>
      <c r="Z45" s="408">
        <f t="shared" ca="1" si="9"/>
        <v>4587810.9430019381</v>
      </c>
      <c r="AA45" s="408">
        <f t="shared" ca="1" si="9"/>
        <v>10144360.845136547</v>
      </c>
      <c r="AB45" s="408">
        <f t="shared" ca="1" si="9"/>
        <v>12806752.580853736</v>
      </c>
      <c r="AD45" s="409">
        <f ca="1">SUM(AD24:AD43)</f>
        <v>28822189.536985759</v>
      </c>
      <c r="AE45" s="410"/>
      <c r="AF45" s="409">
        <f ca="1">SUM(AF24:AF43)</f>
        <v>49327607.304000013</v>
      </c>
      <c r="AH45" s="411">
        <f ca="1">SUM(W79:AC79)</f>
        <v>2357014.8749999972</v>
      </c>
    </row>
    <row r="46" spans="2:34" x14ac:dyDescent="0.2">
      <c r="B46" s="375">
        <f t="shared" si="7"/>
        <v>2045</v>
      </c>
      <c r="C46" s="401">
        <f>MAX(TREND(C24:C25,B24:B25,B46),0)</f>
        <v>22374.5</v>
      </c>
      <c r="D46" s="402">
        <f>MAX(TREND(D24:D25,B24:B25,B46),0)</f>
        <v>24436.75</v>
      </c>
      <c r="E46" s="403">
        <f>MAX(TREND(E24:E25,B24:B25,B46),0)</f>
        <v>1.45</v>
      </c>
      <c r="F46" s="404">
        <f>MAX(TREND(F24:F25,B24:B25,B46),0)</f>
        <v>1.45</v>
      </c>
      <c r="G46" s="401">
        <f>MAX(TREND(G24:G25,$B24:$B25,$B46),0)</f>
        <v>1</v>
      </c>
      <c r="H46" s="402">
        <f>MAX(TREND(H24:H25,$B24:$B25,$B46),0)</f>
        <v>1</v>
      </c>
      <c r="I46" s="405">
        <f>MIN(MAX(TREND(I24:I25,B24:B25,B46),0),1)</f>
        <v>0.24</v>
      </c>
      <c r="J46" s="772">
        <f>MIN(MAX(TREND(J24:J25,B24:B25,B46),0),1)</f>
        <v>0.24</v>
      </c>
      <c r="K46" s="401">
        <f>MAX(TREND(K24:K25,B24:B25,B46),0)</f>
        <v>0</v>
      </c>
      <c r="L46" s="402">
        <f>MAX(TREND(L24:L25,B24:B25,B46),0)</f>
        <v>0</v>
      </c>
      <c r="M46" s="403">
        <f>IFERROR(IF(INDEX(HwyTransitModelGroup,A18,1)=Hwy,C46*E46/G46,K46/G46),0)</f>
        <v>32443.024999999998</v>
      </c>
      <c r="N46" s="404">
        <f>IFERROR(IF(INDEX(HwyTransitModelGroup,A18,1)=Hwy,D46*F46/H46,L46/H46),0)</f>
        <v>35433.287499999999</v>
      </c>
      <c r="O46" s="402">
        <f>TREND(O24:O25,$B24:$B25,$B46)</f>
        <v>1</v>
      </c>
      <c r="P46" s="998">
        <f>IF(INDEX(HwyTransitModelGroup,A18,1)=Hwy,G46*M46*(I46*ValTimeTruck+(1-I46)*ValTimeAuto)-O46*N46*(J46*ValTimeTruck+(1-J46)*ValTimeAuto),G46*IF(INDEX(NoTransit20,A18)=TRUE,INDEX(DivIndTrips,A18,4)/IF(INDEX(DivIndTrips,A18,3)=0,1,INDEX(DivIndTrips,A18,3)),M46)*ValTimeAuto-O46*N46*ValTimeAuto)*(1+TTUprater)^($B46-YearCurrent)</f>
        <v>-62580.213600000017</v>
      </c>
      <c r="Q46" s="780">
        <f t="shared" si="5"/>
        <v>-62580.213600000017</v>
      </c>
      <c r="R46" s="370">
        <f t="shared" si="6"/>
        <v>-25390.440602178194</v>
      </c>
      <c r="S46" s="371"/>
      <c r="T46" s="378">
        <f>TREND(T24:T25,$B24:$B25,$B46)</f>
        <v>-2990.2624999999534</v>
      </c>
    </row>
    <row r="47" spans="2:34" ht="15" x14ac:dyDescent="0.2">
      <c r="B47" s="385"/>
      <c r="C47" s="386"/>
      <c r="D47" s="386"/>
      <c r="E47" s="388"/>
      <c r="F47" s="388"/>
      <c r="G47" s="388"/>
      <c r="H47" s="388"/>
      <c r="I47" s="388"/>
      <c r="J47" s="388"/>
      <c r="K47" s="774"/>
      <c r="L47" s="774"/>
      <c r="M47" s="388"/>
      <c r="N47" s="388"/>
      <c r="O47" s="388"/>
      <c r="P47" s="388"/>
      <c r="Q47" s="388"/>
      <c r="R47" s="389"/>
      <c r="S47" s="390"/>
      <c r="T47" s="388"/>
      <c r="V47" s="412" t="str">
        <f>IF(Induced="Y","","* Induced Travel Not Counted")</f>
        <v/>
      </c>
    </row>
    <row r="48" spans="2:34" x14ac:dyDescent="0.2">
      <c r="B48" s="407" t="s">
        <v>56</v>
      </c>
      <c r="C48" s="413"/>
      <c r="D48" s="414"/>
      <c r="E48" s="414"/>
      <c r="F48" s="414"/>
      <c r="G48" s="414"/>
      <c r="H48" s="414"/>
      <c r="I48" s="414"/>
      <c r="J48" s="414"/>
      <c r="K48" s="414"/>
      <c r="L48" s="414"/>
      <c r="M48" s="414"/>
      <c r="N48" s="414"/>
      <c r="O48" s="414"/>
      <c r="P48" s="414"/>
      <c r="Q48" s="414"/>
      <c r="R48" s="409">
        <f>SUM(R27:R46)</f>
        <v>-250669.29971700825</v>
      </c>
      <c r="S48" s="416"/>
      <c r="T48" s="411">
        <f>SUM(T27:T46)</f>
        <v>-24610.124999999534</v>
      </c>
    </row>
    <row r="49" spans="1:34" ht="20.25" x14ac:dyDescent="0.25">
      <c r="B49" s="2"/>
      <c r="C49" s="418"/>
      <c r="D49" s="2"/>
      <c r="E49" s="2"/>
      <c r="F49" s="2"/>
      <c r="G49" s="2"/>
      <c r="H49" s="2"/>
      <c r="I49" s="2"/>
      <c r="J49" s="2"/>
      <c r="K49" s="2"/>
      <c r="L49" s="2"/>
      <c r="M49" s="2"/>
      <c r="N49" s="2"/>
      <c r="O49" s="2"/>
      <c r="P49" s="2"/>
      <c r="Q49" s="2"/>
      <c r="R49" s="2"/>
      <c r="S49" s="2"/>
      <c r="V49" s="316" t="s">
        <v>213</v>
      </c>
      <c r="AD49" s="313"/>
      <c r="AE49" s="313"/>
      <c r="AF49" s="313"/>
      <c r="AG49" s="313"/>
      <c r="AH49" s="313"/>
    </row>
    <row r="50" spans="1:34" ht="15" x14ac:dyDescent="0.25">
      <c r="A50" s="1">
        <f>MAX($A$1:A49)+1</f>
        <v>2</v>
      </c>
      <c r="B50" s="319" t="str">
        <f>IF(ISBLANK(INDEX(ModelGroup,A50,1)),"Not Used",INDEX(ModelGroup,A50,1))</f>
        <v>SB On-ramp from Ave 280</v>
      </c>
      <c r="C50" s="2"/>
      <c r="D50" s="2"/>
      <c r="E50" s="2"/>
      <c r="F50" s="2"/>
      <c r="G50"/>
      <c r="H50"/>
      <c r="I50" s="320"/>
      <c r="J50" s="320"/>
      <c r="K50" s="320"/>
      <c r="L50" s="320"/>
      <c r="M50" s="320"/>
      <c r="N50" s="320"/>
      <c r="O50" s="320"/>
      <c r="P50" s="317"/>
      <c r="Q50" s="2"/>
      <c r="R50" s="2"/>
      <c r="S50" s="2"/>
      <c r="V50" s="2"/>
      <c r="W50" s="310"/>
      <c r="X50" s="310"/>
      <c r="Y50" s="310"/>
      <c r="Z50" s="310"/>
      <c r="AA50" s="310"/>
      <c r="AB50" s="310"/>
      <c r="AD50" s="311"/>
      <c r="AE50" s="311"/>
      <c r="AF50" s="311"/>
      <c r="AG50" s="311"/>
      <c r="AH50" s="311"/>
    </row>
    <row r="51" spans="1:34" x14ac:dyDescent="0.2">
      <c r="B51" s="2"/>
      <c r="C51" s="38"/>
      <c r="D51" s="877"/>
      <c r="E51" s="38"/>
      <c r="F51" s="877"/>
      <c r="G51" s="877"/>
      <c r="H51" s="877"/>
      <c r="I51" s="38"/>
      <c r="J51" s="877"/>
      <c r="K51" s="38"/>
      <c r="L51" s="38"/>
      <c r="M51" s="2"/>
      <c r="N51" s="2"/>
      <c r="P51" s="2"/>
      <c r="Q51" s="2"/>
      <c r="R51" s="149"/>
      <c r="S51" s="149"/>
    </row>
    <row r="52" spans="1:34" ht="15.75" x14ac:dyDescent="0.2">
      <c r="A52" s="1776"/>
      <c r="B52" s="322"/>
      <c r="C52" s="323" t="s">
        <v>190</v>
      </c>
      <c r="D52" s="324"/>
      <c r="E52" s="323" t="s">
        <v>191</v>
      </c>
      <c r="F52" s="324"/>
      <c r="G52" s="323" t="str">
        <f>IF(INDEX(HwyTransitModelGroup,A50,1)=Hwy,"TOTAL VEHICLE TRIPS","TOTAL PERSON TRIPS")</f>
        <v>TOTAL VEHICLE TRIPS</v>
      </c>
      <c r="H52" s="324"/>
      <c r="I52" s="323" t="s">
        <v>192</v>
      </c>
      <c r="J52" s="324"/>
      <c r="K52" s="323" t="s">
        <v>193</v>
      </c>
      <c r="L52" s="324"/>
      <c r="M52" s="323" t="s">
        <v>194</v>
      </c>
      <c r="N52" s="324"/>
      <c r="O52" s="919" t="str">
        <f>IF(INDEX(HwyTransitModelGroup,A50,1)=Hwy,"TOTAL VEHICLE TRIPS","TOTAL PERSON TRIPS")</f>
        <v>TOTAL VEHICLE TRIPS</v>
      </c>
      <c r="P52" s="919" t="s">
        <v>195</v>
      </c>
      <c r="Q52" s="991"/>
      <c r="R52" s="330"/>
      <c r="S52" s="2"/>
      <c r="T52" s="331" t="s">
        <v>196</v>
      </c>
    </row>
    <row r="53" spans="1:34" ht="14.25" x14ac:dyDescent="0.2">
      <c r="A53" s="1776"/>
      <c r="B53" s="335"/>
      <c r="C53" s="336" t="s">
        <v>197</v>
      </c>
      <c r="D53" s="337"/>
      <c r="E53" s="338" t="s">
        <v>198</v>
      </c>
      <c r="F53" s="337"/>
      <c r="G53" s="338" t="s">
        <v>199</v>
      </c>
      <c r="H53" s="337"/>
      <c r="I53" s="764" t="s">
        <v>200</v>
      </c>
      <c r="J53" s="339"/>
      <c r="K53" s="765" t="s">
        <v>201</v>
      </c>
      <c r="L53" s="337"/>
      <c r="M53" s="777" t="s">
        <v>202</v>
      </c>
      <c r="N53" s="339"/>
      <c r="O53" s="920" t="s">
        <v>199</v>
      </c>
      <c r="P53" s="920" t="s">
        <v>203</v>
      </c>
      <c r="Q53" s="992"/>
      <c r="R53" s="343"/>
      <c r="S53" s="2"/>
      <c r="T53" s="920" t="s">
        <v>201</v>
      </c>
    </row>
    <row r="54" spans="1:34" ht="15" x14ac:dyDescent="0.2">
      <c r="A54" s="1776"/>
      <c r="B54" s="77" t="s">
        <v>34</v>
      </c>
      <c r="C54" s="348"/>
      <c r="D54" s="349"/>
      <c r="E54" s="348"/>
      <c r="F54" s="349"/>
      <c r="G54" s="348"/>
      <c r="H54" s="349"/>
      <c r="I54" s="348"/>
      <c r="J54" s="349"/>
      <c r="K54" s="348"/>
      <c r="L54" s="349"/>
      <c r="M54" s="348"/>
      <c r="N54" s="349"/>
      <c r="O54" s="921" t="s">
        <v>206</v>
      </c>
      <c r="P54" s="995" t="s">
        <v>207</v>
      </c>
      <c r="Q54" s="993" t="s">
        <v>208</v>
      </c>
      <c r="R54" s="347" t="s">
        <v>39</v>
      </c>
      <c r="S54" s="352"/>
      <c r="T54" s="353" t="s">
        <v>207</v>
      </c>
      <c r="V54" s="322"/>
      <c r="W54" s="52">
        <v>1</v>
      </c>
      <c r="X54" s="52">
        <v>2</v>
      </c>
      <c r="Y54" s="52">
        <v>3</v>
      </c>
      <c r="Z54" s="52">
        <v>4</v>
      </c>
      <c r="AA54" s="52">
        <v>5</v>
      </c>
      <c r="AB54" s="52">
        <v>6</v>
      </c>
    </row>
    <row r="55" spans="1:34" ht="15" x14ac:dyDescent="0.2">
      <c r="A55" s="1776"/>
      <c r="B55" s="355"/>
      <c r="C55" s="356" t="s">
        <v>74</v>
      </c>
      <c r="D55" s="357" t="s">
        <v>125</v>
      </c>
      <c r="E55" s="356" t="s">
        <v>74</v>
      </c>
      <c r="F55" s="357" t="s">
        <v>125</v>
      </c>
      <c r="G55" s="356" t="s">
        <v>74</v>
      </c>
      <c r="H55" s="357" t="s">
        <v>125</v>
      </c>
      <c r="I55" s="356" t="s">
        <v>74</v>
      </c>
      <c r="J55" s="357" t="s">
        <v>125</v>
      </c>
      <c r="K55" s="356" t="s">
        <v>74</v>
      </c>
      <c r="L55" s="357" t="s">
        <v>125</v>
      </c>
      <c r="M55" s="348" t="s">
        <v>74</v>
      </c>
      <c r="N55" s="349" t="s">
        <v>125</v>
      </c>
      <c r="O55" s="94" t="s">
        <v>125</v>
      </c>
      <c r="P55" s="94" t="s">
        <v>211</v>
      </c>
      <c r="Q55" s="994" t="s">
        <v>48</v>
      </c>
      <c r="R55" s="360" t="s">
        <v>49</v>
      </c>
      <c r="S55" s="352"/>
      <c r="T55" s="361" t="s">
        <v>211</v>
      </c>
      <c r="V55" s="335"/>
      <c r="W55" s="1777" t="str">
        <f t="shared" ref="W55:AB55" si="10">IF(ISBLANK(INDEX(ModelGroup,W54,1)),"Not Used",INDEX(ModelGroup,W54,1))</f>
        <v>SB Off-ramp to Ave 280</v>
      </c>
      <c r="X55" s="1777" t="str">
        <f t="shared" si="10"/>
        <v>SB On-ramp from Ave 280</v>
      </c>
      <c r="Y55" s="1777" t="str">
        <f t="shared" si="10"/>
        <v>NB Off-ramp to Ave 280</v>
      </c>
      <c r="Z55" s="1777" t="str">
        <f t="shared" si="10"/>
        <v>NB On-ramp from Ave 280</v>
      </c>
      <c r="AA55" s="1777" t="str">
        <f t="shared" si="10"/>
        <v>NB Mainline</v>
      </c>
      <c r="AB55" s="1777" t="str">
        <f t="shared" si="10"/>
        <v>SB Mainline</v>
      </c>
    </row>
    <row r="56" spans="1:34" x14ac:dyDescent="0.2">
      <c r="B56" s="363">
        <f>YearFirst</f>
        <v>2026</v>
      </c>
      <c r="C56" s="364">
        <f>IF(INDEX(HwyTransitModelGroup,A50,1)=Hwy,INDEX(ModelData1NB,A50,3),0)*AnnualFactor</f>
        <v>10220</v>
      </c>
      <c r="D56" s="365">
        <f>IF(INDEX(HwyTransitModelGroup,A50,1)=Hwy,INDEX(ModelData1B,A50,3),0)*AnnualFactor</f>
        <v>10220</v>
      </c>
      <c r="E56" s="972">
        <f>IF(INDEX(HwyTransitModelGroup,A50,1)=Hwy,INDEX(ModelData1NB,A50,8),0)</f>
        <v>1.45</v>
      </c>
      <c r="F56" s="973">
        <f>IF(INDEX(HwyTransitModelGroup,A50,1)=Hwy,INDEX(ModelData1B,A50,8),0)</f>
        <v>1.45</v>
      </c>
      <c r="G56" s="364">
        <f>IF(AND(INDEX(HwyTransitModelGroup,A50,1)=Hwy,INDEX(ModelData1NB,A50,1)=0),1,INDEX(ModelData1NB,A50,1)*AnnualFactor)</f>
        <v>1</v>
      </c>
      <c r="H56" s="365">
        <f>IF(AND(INDEX(HwyTransitModelGroup,A50,1)=Hwy,INDEX(ModelData1B,A50,1)=0),1,INDEX(ModelData1B,A50,1)*AnnualFactor)</f>
        <v>1</v>
      </c>
      <c r="I56" s="976">
        <f>IF(INDEX(HwyTransitModelGroup,A50,1)=Hwy,INDEX(ModelData1NB,A50,9),0)</f>
        <v>0.24</v>
      </c>
      <c r="J56" s="977">
        <f>IF(INDEX(HwyTransitModelGroup,A50,1)=Hwy,INDEX(ModelData1B,A50,9),0)</f>
        <v>0.24</v>
      </c>
      <c r="K56" s="364">
        <f>IF(INDEX(HwyTransitModelGroup,A50,1)=Hwy,0,INDEX(ModelData1NB,A50,5))*AnnualFactor</f>
        <v>0</v>
      </c>
      <c r="L56" s="365">
        <f>IF(INDEX(HwyTransitModelGroup,A50,1)=Hwy,0,INDEX(ModelData1B,A50,5))*AnnualFactor</f>
        <v>0</v>
      </c>
      <c r="M56" s="366">
        <f>IFERROR(IF(INDEX(HwyTransitModelGroup,A50,1)=Hwy,C56*E56/G56,K56/G56),0)</f>
        <v>14819</v>
      </c>
      <c r="N56" s="778">
        <f>IFERROR(IF(INDEX(HwyTransitModelGroup,A50,1)=Hwy,D56*F56/H56,L56/H56),0)</f>
        <v>14819</v>
      </c>
      <c r="O56" s="946">
        <f>$H56-INDEX(ModeShare1,A50)*SUMIF('Consumer Surplus'!$C$157:$C$160,INDEX(HwyTransitModelGroup,A50,1),'Consumer Surplus'!$G$157:$G$160)</f>
        <v>1</v>
      </c>
      <c r="P56" s="996">
        <f>IF(INDEX(HwyTransitModelGroup,A50,1)=Hwy,G56*M56*(I56*ValTimeTruck+(1-I56)*ValTimeAuto)-O56*N56*(J56*ValTimeTruck+(1-J56)*ValTimeAuto),G56*IF(INDEX(NoTransit1,A50)=TRUE,INDEX(DivIndTrips,A50,2)/IF(INDEX(DivIndTrips,A50,1)=0,1,INDEX(DivIndTrips,A50,1)),M56)*ValTimeAuto-O56*N56*ValTimeAuto)*(1+TTUprater)^($B56-YearCurrent)</f>
        <v>0</v>
      </c>
      <c r="Q56" s="780">
        <f>SUM(P56)</f>
        <v>0</v>
      </c>
      <c r="R56" s="370">
        <f>Q56/(1+DiscRate)^(B56-YearCurrent)</f>
        <v>0</v>
      </c>
      <c r="S56" s="371"/>
      <c r="T56" s="989">
        <f>IF(INDEX(HwyTransitModelGroup,A50,1)=Hwy,G56*M56-O56*N56,G56*IF(INDEX(NoTransit1,A50)=TRUE,INDEX(DivIndTrips,A50,2)/IF(INDEX(DivIndTrips,A50,1)=0,1,INDEX(DivIndTrips,A50,1)),M56)-O56*N56)</f>
        <v>0</v>
      </c>
      <c r="V56" s="77" t="s">
        <v>34</v>
      </c>
      <c r="W56" s="1778"/>
      <c r="X56" s="1778"/>
      <c r="Y56" s="1778"/>
      <c r="Z56" s="1778"/>
      <c r="AA56" s="1778"/>
      <c r="AB56" s="1778"/>
    </row>
    <row r="57" spans="1:34" x14ac:dyDescent="0.2">
      <c r="B57" s="379">
        <f>YearLast</f>
        <v>2046</v>
      </c>
      <c r="C57" s="380">
        <f>IF(INDEX(HwyTransitModelGroup,A50,1)=Hwy,INDEX(ModelData20NB,A50,3),0)*AnnualFactor</f>
        <v>14235</v>
      </c>
      <c r="D57" s="381">
        <f>IF(INDEX(HwyTransitModelGroup,A50,1)=Hwy,INDEX(ModelData20B,A50,3),0)*AnnualFactor</f>
        <v>13870</v>
      </c>
      <c r="E57" s="974">
        <f>IF(INDEX(HwyTransitModelGroup,A50,1)=Hwy,INDEX(ModelData20NB,A50,8),0)</f>
        <v>1.45</v>
      </c>
      <c r="F57" s="975">
        <f>IF(INDEX(HwyTransitModelGroup,A50,1)=Hwy,INDEX(ModelData20B,A50,8),0)</f>
        <v>1.45</v>
      </c>
      <c r="G57" s="380">
        <f>IF(AND(INDEX(HwyTransitModelGroup,A50,1)=Hwy,INDEX(ModelData20NB,A50,1)=0),1,INDEX(ModelData20NB,A50,1)*AnnualFactor)</f>
        <v>1</v>
      </c>
      <c r="H57" s="381">
        <f>IF(AND(INDEX(HwyTransitModelGroup,A50,1)=Hwy,INDEX(ModelData20B,A50,1)=0),1,INDEX(ModelData20B,A50,1)*AnnualFactor)</f>
        <v>1</v>
      </c>
      <c r="I57" s="978">
        <f>IF(INDEX(HwyTransitModelGroup,A50,1)=Hwy,INDEX(ModelData20NB,A50,9),0)</f>
        <v>0.24</v>
      </c>
      <c r="J57" s="979">
        <f>IF(INDEX(HwyTransitModelGroup,A50,1)=Hwy,INDEX(ModelData20B,A50,9),0)</f>
        <v>0.24</v>
      </c>
      <c r="K57" s="380">
        <f>IF(INDEX(HwyTransitModelGroup,A50,1)=Hwy,0,INDEX(ModelData20NB,A50,5))*AnnualFactor</f>
        <v>0</v>
      </c>
      <c r="L57" s="381">
        <f>IF(INDEX(HwyTransitModelGroup,A50,1)=Hwy,0,INDEX(ModelData20B,A50,5))*AnnualFactor</f>
        <v>0</v>
      </c>
      <c r="M57" s="382">
        <f>IFERROR(IF(INDEX(HwyTransitModelGroup,A50,1)=Hwy,C57*E57/G57,K57/G57),0)</f>
        <v>20640.75</v>
      </c>
      <c r="N57" s="779">
        <f>IFERROR(IF(INDEX(HwyTransitModelGroup,A50,1)=Hwy,D57*F57/H57,L57/H57),0)</f>
        <v>20111.5</v>
      </c>
      <c r="O57" s="947">
        <f>$H57-INDEX(ModeShare20,A50)*SUMIF('Consumer Surplus'!$C$157:$C$160,INDEX(HwyTransitModelGroup,A50,1),'Consumer Surplus'!$K$157:$K$160)</f>
        <v>1</v>
      </c>
      <c r="P57" s="703">
        <f>IF(INDEX(HwyTransitModelGroup,A50,1)=Hwy,G57*M57*(I57*ValTimeTruck+(1-I57)*ValTimeAuto)-O57*N57*(J57*ValTimeTruck+(1-J57)*ValTimeAuto),G57*IF(INDEX(NoTransit20,A50)=TRUE,INDEX(DivIndTrips,A50,4)/IF(INDEX(DivIndTrips,A50,3)=0,1,INDEX(DivIndTrips,A50,3)),M57)*ValTimeAuto-O57*N57*ValTimeAuto)*(1+TTUprater)^($B57-YearCurrent)</f>
        <v>11076.144000000029</v>
      </c>
      <c r="Q57" s="780">
        <f>SUM(P57)</f>
        <v>11076.144000000029</v>
      </c>
      <c r="R57" s="370">
        <f>Q57/(1+DiscRate)^(B57-YearCurrent)</f>
        <v>4321.041627327817</v>
      </c>
      <c r="S57" s="371"/>
      <c r="T57" s="990">
        <f>IF(INDEX(HwyTransitModelGroup,A50,1)=Hwy,G57*M57-O57*N57,G57*IF(INDEX(NoTransit1,A50)=TRUE,INDEX(DivIndTrips,A50,2)/IF(INDEX(DivIndTrips,A50,1)=0,1,INDEX(DivIndTrips,A50,1)),M57)-O57*N57)</f>
        <v>529.25</v>
      </c>
      <c r="V57" s="355"/>
      <c r="W57" s="1779"/>
      <c r="X57" s="1779"/>
      <c r="Y57" s="1779"/>
      <c r="Z57" s="1779"/>
      <c r="AA57" s="1779"/>
      <c r="AB57" s="1779"/>
    </row>
    <row r="58" spans="1:34" x14ac:dyDescent="0.2">
      <c r="B58" s="385"/>
      <c r="C58" s="386"/>
      <c r="D58" s="386"/>
      <c r="E58" s="387"/>
      <c r="F58" s="387"/>
      <c r="G58" s="387"/>
      <c r="H58" s="387"/>
      <c r="I58" s="388"/>
      <c r="J58" s="388"/>
      <c r="K58" s="773"/>
      <c r="L58" s="773"/>
      <c r="M58" s="774"/>
      <c r="N58" s="774"/>
      <c r="O58" s="774"/>
      <c r="P58" s="374"/>
      <c r="Q58" s="388"/>
      <c r="R58" s="389"/>
      <c r="S58" s="390"/>
      <c r="T58" s="391"/>
      <c r="V58" s="375">
        <f>YearOpen</f>
        <v>2026</v>
      </c>
      <c r="W58" s="378">
        <f t="shared" ref="W58:W77" ca="1" si="11">OFFSET($T9,MATCH(W$54,$A:$A),0)</f>
        <v>529.25</v>
      </c>
      <c r="X58" s="378">
        <f t="shared" ref="X58:AB67" ca="1" si="12">OFFSET($T9,MATCH(X$54,$A:$A),0)</f>
        <v>0</v>
      </c>
      <c r="Y58" s="378">
        <f t="shared" ca="1" si="12"/>
        <v>4763.25</v>
      </c>
      <c r="Z58" s="378">
        <f t="shared" ca="1" si="12"/>
        <v>16406.75</v>
      </c>
      <c r="AA58" s="378">
        <f t="shared" ca="1" si="12"/>
        <v>27521</v>
      </c>
      <c r="AB58" s="378">
        <f t="shared" ca="1" si="12"/>
        <v>40223</v>
      </c>
    </row>
    <row r="59" spans="1:34" x14ac:dyDescent="0.2">
      <c r="B59" s="375">
        <f>YearOpen</f>
        <v>2026</v>
      </c>
      <c r="C59" s="393">
        <f>MAX(TREND(C56:C57,B56:B57,B59),0)</f>
        <v>10220</v>
      </c>
      <c r="D59" s="394">
        <f>MAX(TREND(D56:D57,B56:B57,B59),0)</f>
        <v>10220</v>
      </c>
      <c r="E59" s="395">
        <f>MAX(TREND(E56:E57,B56:B57,B59),0)</f>
        <v>1.45</v>
      </c>
      <c r="F59" s="396">
        <f>MAX(TREND(F56:F57,B56:B57,B59),0)</f>
        <v>1.45</v>
      </c>
      <c r="G59" s="393">
        <f>MAX(TREND(G56:G57,$B56:$B57,$B59),0)</f>
        <v>1</v>
      </c>
      <c r="H59" s="394">
        <f>MAX(TREND(H56:H57,$B56:$B57,$B59),0)</f>
        <v>1</v>
      </c>
      <c r="I59" s="397">
        <f>MIN(MAX(TREND(I56:I57,B56:B57,B59),0),1)</f>
        <v>0.24</v>
      </c>
      <c r="J59" s="771">
        <f>MIN(MAX(TREND(J56:J57,B56:B57,B59),0),1)</f>
        <v>0.24</v>
      </c>
      <c r="K59" s="393">
        <f>MAX(TREND(K56:K57,B56:B57,B59),0)</f>
        <v>0</v>
      </c>
      <c r="L59" s="394">
        <f>MAX(TREND(L56:L57,B56:B57,B59),0)</f>
        <v>0</v>
      </c>
      <c r="M59" s="395">
        <f>IFERROR(IF(INDEX(HwyTransitModelGroup,A50,1)=Hwy,C59*E59/G59,K59/G59),0)</f>
        <v>14819</v>
      </c>
      <c r="N59" s="396">
        <f>IFERROR(IF(INDEX(HwyTransitModelGroup,A50,1)=Hwy,D59*F59/H59,L59/H59),0)</f>
        <v>14819</v>
      </c>
      <c r="O59" s="394">
        <f>TREND(O56:O57,$B56:$B57,$B59)</f>
        <v>1</v>
      </c>
      <c r="P59" s="997">
        <f>IF(INDEX(HwyTransitModelGroup,A50,1)=Hwy,G59*M59*(I59*ValTimeTruck+(1-I59)*ValTimeAuto)-O59*N59*(J59*ValTimeTruck+(1-J59)*ValTimeAuto),G59*IF(INDEX(NoTransit20,A50)=TRUE,INDEX(DivIndTrips,A50,4)/IF(INDEX(DivIndTrips,A50,3)=0,1,INDEX(DivIndTrips,A50,3)),M59)*ValTimeAuto-O59*N59*ValTimeAuto)*(1+TTUprater)^($B59-YearCurrent)</f>
        <v>0</v>
      </c>
      <c r="Q59" s="780">
        <f t="shared" ref="Q59:Q78" si="13">SUM(P59)</f>
        <v>0</v>
      </c>
      <c r="R59" s="370">
        <f t="shared" ref="R59:R78" si="14">Q59/(1+DiscRate)^(B59-YearCurrent)</f>
        <v>0</v>
      </c>
      <c r="S59" s="371"/>
      <c r="T59" s="1023">
        <f>TREND(T56:T57,$B56:$B57,$B59)</f>
        <v>0</v>
      </c>
      <c r="V59" s="375">
        <f>V58+1</f>
        <v>2027</v>
      </c>
      <c r="W59" s="378">
        <f t="shared" ca="1" si="11"/>
        <v>344.01250000001164</v>
      </c>
      <c r="X59" s="378">
        <f t="shared" ca="1" si="12"/>
        <v>26.462500000001455</v>
      </c>
      <c r="Y59" s="378">
        <f t="shared" ca="1" si="12"/>
        <v>4895.5625</v>
      </c>
      <c r="Z59" s="378">
        <f t="shared" ca="1" si="12"/>
        <v>16618.450000000012</v>
      </c>
      <c r="AA59" s="378">
        <f t="shared" ca="1" si="12"/>
        <v>29055.824999999721</v>
      </c>
      <c r="AB59" s="378">
        <f t="shared" ca="1" si="12"/>
        <v>41493.199999999721</v>
      </c>
    </row>
    <row r="60" spans="1:34" x14ac:dyDescent="0.2">
      <c r="B60" s="375">
        <f>B59+1</f>
        <v>2027</v>
      </c>
      <c r="C60" s="401">
        <f>MAX(TREND(C56:C57,B56:B57,B60),0)</f>
        <v>10420.75</v>
      </c>
      <c r="D60" s="402">
        <f>MAX(TREND(D56:D57,B56:B57,B60),0)</f>
        <v>10402.5</v>
      </c>
      <c r="E60" s="403">
        <f>MAX(TREND(E56:E57,B56:B57,B60),0)</f>
        <v>1.45</v>
      </c>
      <c r="F60" s="404">
        <f>MAX(TREND(F56:F57,B56:B57,B60),0)</f>
        <v>1.45</v>
      </c>
      <c r="G60" s="401">
        <f>MAX(TREND(G56:G57,$B56:$B57,$B60),0)</f>
        <v>1</v>
      </c>
      <c r="H60" s="402">
        <f>MAX(TREND(H56:H57,$B56:$B57,$B60),0)</f>
        <v>1</v>
      </c>
      <c r="I60" s="405">
        <f>MIN(MAX(TREND(I56:I57,B56:B57,B60),0),1)</f>
        <v>0.24</v>
      </c>
      <c r="J60" s="772">
        <f>MIN(MAX(TREND(J56:J57,B56:B57,B60),0),1)</f>
        <v>0.24</v>
      </c>
      <c r="K60" s="401">
        <f>MAX(TREND(K56:K57,B56:B57,B60),0)</f>
        <v>0</v>
      </c>
      <c r="L60" s="402">
        <f>MAX(TREND(L56:L57,B56:B57,B60),0)</f>
        <v>0</v>
      </c>
      <c r="M60" s="403">
        <f>IFERROR(IF(INDEX(HwyTransitModelGroup,A50,1)=Hwy,C60*E60/G60,K60/G60),0)</f>
        <v>15110.0875</v>
      </c>
      <c r="N60" s="404">
        <f>IFERROR(IF(INDEX(HwyTransitModelGroup,A50,1)=Hwy,D60*F60/H60,L60/H60),0)</f>
        <v>15083.625</v>
      </c>
      <c r="O60" s="402">
        <f>TREND(O56:O57,$B56:$B57,$B60)</f>
        <v>1</v>
      </c>
      <c r="P60" s="998">
        <f>IF(INDEX(HwyTransitModelGroup,A50,1)=Hwy,G60*M60*(I60*ValTimeTruck+(1-I60)*ValTimeAuto)-O60*N60*(J60*ValTimeTruck+(1-J60)*ValTimeAuto),G60*IF(INDEX(NoTransit20,A50)=TRUE,INDEX(DivIndTrips,A50,4)/IF(INDEX(DivIndTrips,A50,3)=0,1,INDEX(DivIndTrips,A50,3)),M60)*ValTimeAuto-O60*N60*ValTimeAuto)*(1+TTUprater)^($B60-YearCurrent)</f>
        <v>553.80719999998109</v>
      </c>
      <c r="Q60" s="780">
        <f t="shared" si="13"/>
        <v>553.80719999998109</v>
      </c>
      <c r="R60" s="370">
        <f t="shared" si="14"/>
        <v>455.189149598482</v>
      </c>
      <c r="S60" s="371"/>
      <c r="T60" s="378">
        <f>TREND(T56:T57,$B56:$B57,$B60)</f>
        <v>26.462500000001455</v>
      </c>
      <c r="V60" s="375">
        <f t="shared" ref="V60:V77" si="15">V59+1</f>
        <v>2028</v>
      </c>
      <c r="W60" s="378">
        <f t="shared" ca="1" si="11"/>
        <v>158.77500000002328</v>
      </c>
      <c r="X60" s="378">
        <f t="shared" ca="1" si="12"/>
        <v>52.92500000000291</v>
      </c>
      <c r="Y60" s="378">
        <f t="shared" ca="1" si="12"/>
        <v>5027.875</v>
      </c>
      <c r="Z60" s="378">
        <f t="shared" ca="1" si="12"/>
        <v>16830.150000000023</v>
      </c>
      <c r="AA60" s="378">
        <f t="shared" ca="1" si="12"/>
        <v>30590.649999999907</v>
      </c>
      <c r="AB60" s="378">
        <f t="shared" ca="1" si="12"/>
        <v>42763.399999999907</v>
      </c>
    </row>
    <row r="61" spans="1:34" x14ac:dyDescent="0.2">
      <c r="B61" s="375">
        <f t="shared" ref="B61:B78" si="16">B60+1</f>
        <v>2028</v>
      </c>
      <c r="C61" s="401">
        <f>MAX(TREND(C56:C57,B56:B57,B61),0)</f>
        <v>10621.5</v>
      </c>
      <c r="D61" s="402">
        <f>MAX(TREND(D56:D57,B56:B57,B61),0)</f>
        <v>10585</v>
      </c>
      <c r="E61" s="403">
        <f>MAX(TREND(E56:E57,B56:B57,B61),0)</f>
        <v>1.45</v>
      </c>
      <c r="F61" s="404">
        <f>MAX(TREND(F56:F57,B56:B57,B61),0)</f>
        <v>1.45</v>
      </c>
      <c r="G61" s="401">
        <f>MAX(TREND(G56:G57,$B56:$B57,$B61),0)</f>
        <v>1</v>
      </c>
      <c r="H61" s="402">
        <f>MAX(TREND(H56:H57,$B56:$B57,$B61),0)</f>
        <v>1</v>
      </c>
      <c r="I61" s="405">
        <f>MIN(MAX(TREND(I56:I57,B56:B57,B61),0),1)</f>
        <v>0.24</v>
      </c>
      <c r="J61" s="772">
        <f>MIN(MAX(TREND(J56:J57,B56:B57,B61),0),1)</f>
        <v>0.24</v>
      </c>
      <c r="K61" s="401">
        <f>MAX(TREND(K56:K57,B56:B57,B61),0)</f>
        <v>0</v>
      </c>
      <c r="L61" s="402">
        <f>MAX(TREND(L56:L57,B56:B57,B61),0)</f>
        <v>0</v>
      </c>
      <c r="M61" s="403">
        <f>IFERROR(IF(INDEX(HwyTransitModelGroup,A50,1)=Hwy,C61*E61/G61,K61/G61),0)</f>
        <v>15401.174999999999</v>
      </c>
      <c r="N61" s="404">
        <f>IFERROR(IF(INDEX(HwyTransitModelGroup,A50,1)=Hwy,D61*F61/H61,L61/H61),0)</f>
        <v>15348.25</v>
      </c>
      <c r="O61" s="402">
        <f>TREND(O56:O57,$B56:$B57,$B61)</f>
        <v>1</v>
      </c>
      <c r="P61" s="998">
        <f>IF(INDEX(HwyTransitModelGroup,A50,1)=Hwy,G61*M61*(I61*ValTimeTruck+(1-I61)*ValTimeAuto)-O61*N61*(J61*ValTimeTruck+(1-J61)*ValTimeAuto),G61*IF(INDEX(NoTransit20,A50)=TRUE,INDEX(DivIndTrips,A50,4)/IF(INDEX(DivIndTrips,A50,3)=0,1,INDEX(DivIndTrips,A50,3)),M61)*ValTimeAuto-O61*N61*ValTimeAuto)*(1+TTUprater)^($B61-YearCurrent)</f>
        <v>1107.6143999999622</v>
      </c>
      <c r="Q61" s="780">
        <f t="shared" si="13"/>
        <v>1107.6143999999622</v>
      </c>
      <c r="R61" s="370">
        <f t="shared" si="14"/>
        <v>875.36374922785001</v>
      </c>
      <c r="S61" s="371"/>
      <c r="T61" s="378">
        <f>TREND(T56:T57,$B56:$B57,$B61)</f>
        <v>52.92500000000291</v>
      </c>
      <c r="V61" s="375">
        <f t="shared" si="15"/>
        <v>2029</v>
      </c>
      <c r="W61" s="378">
        <f t="shared" ca="1" si="11"/>
        <v>-26.462499999965075</v>
      </c>
      <c r="X61" s="378">
        <f t="shared" ca="1" si="12"/>
        <v>79.387500000004366</v>
      </c>
      <c r="Y61" s="378">
        <f t="shared" ca="1" si="12"/>
        <v>5160.1875</v>
      </c>
      <c r="Z61" s="378">
        <f t="shared" ca="1" si="12"/>
        <v>17041.850000000035</v>
      </c>
      <c r="AA61" s="378">
        <f t="shared" ca="1" si="12"/>
        <v>32125.475000000093</v>
      </c>
      <c r="AB61" s="378">
        <f t="shared" ca="1" si="12"/>
        <v>44033.600000000093</v>
      </c>
    </row>
    <row r="62" spans="1:34" x14ac:dyDescent="0.2">
      <c r="B62" s="375">
        <f t="shared" si="16"/>
        <v>2029</v>
      </c>
      <c r="C62" s="401">
        <f>MAX(TREND(C56:C57,B56:B57,B62),0)</f>
        <v>10822.25</v>
      </c>
      <c r="D62" s="402">
        <f>MAX(TREND(D56:D57,B56:B57,B62),0)</f>
        <v>10767.5</v>
      </c>
      <c r="E62" s="403">
        <f>MAX(TREND(E56:E57,B56:B57,B62),0)</f>
        <v>1.45</v>
      </c>
      <c r="F62" s="404">
        <f>MAX(TREND(F56:F57,B56:B57,B62),0)</f>
        <v>1.45</v>
      </c>
      <c r="G62" s="401">
        <f>MAX(TREND(G56:G57,$B56:$B57,$B62),0)</f>
        <v>1</v>
      </c>
      <c r="H62" s="402">
        <f>MAX(TREND(H56:H57,$B56:$B57,$B62),0)</f>
        <v>1</v>
      </c>
      <c r="I62" s="405">
        <f>MIN(MAX(TREND(I56:I57,B56:B57,B62),0),1)</f>
        <v>0.24</v>
      </c>
      <c r="J62" s="772">
        <f>MIN(MAX(TREND(J56:J57,B56:B57,B62),0),1)</f>
        <v>0.24</v>
      </c>
      <c r="K62" s="401">
        <f>MAX(TREND(K56:K57,B56:B57,B62),0)</f>
        <v>0</v>
      </c>
      <c r="L62" s="402">
        <f>MAX(TREND(L56:L57,B56:B57,B62),0)</f>
        <v>0</v>
      </c>
      <c r="M62" s="403">
        <f>IFERROR(IF(INDEX(HwyTransitModelGroup,A50,1)=Hwy,C62*E62/G62,K62/G62),0)</f>
        <v>15692.262499999999</v>
      </c>
      <c r="N62" s="404">
        <f>IFERROR(IF(INDEX(HwyTransitModelGroup,A50,1)=Hwy,D62*F62/H62,L62/H62),0)</f>
        <v>15612.875</v>
      </c>
      <c r="O62" s="402">
        <f>TREND(O56:O57,$B56:$B57,$B62)</f>
        <v>1</v>
      </c>
      <c r="P62" s="998">
        <f>IF(INDEX(HwyTransitModelGroup,A50,1)=Hwy,G62*M62*(I62*ValTimeTruck+(1-I62)*ValTimeAuto)-O62*N62*(J62*ValTimeTruck+(1-J62)*ValTimeAuto),G62*IF(INDEX(NoTransit20,A50)=TRUE,INDEX(DivIndTrips,A50,4)/IF(INDEX(DivIndTrips,A50,3)=0,1,INDEX(DivIndTrips,A50,3)),M62)*ValTimeAuto-O62*N62*ValTimeAuto)*(1+TTUprater)^($B62-YearCurrent)</f>
        <v>1661.4215999999433</v>
      </c>
      <c r="Q62" s="780">
        <f t="shared" si="13"/>
        <v>1661.4215999999433</v>
      </c>
      <c r="R62" s="370">
        <f t="shared" si="14"/>
        <v>1262.54386907863</v>
      </c>
      <c r="S62" s="371"/>
      <c r="T62" s="378">
        <f>TREND(T56:T57,$B56:$B57,$B62)</f>
        <v>79.387500000004366</v>
      </c>
      <c r="V62" s="375">
        <f t="shared" si="15"/>
        <v>2030</v>
      </c>
      <c r="W62" s="378">
        <f t="shared" ca="1" si="11"/>
        <v>-211.69999999995343</v>
      </c>
      <c r="X62" s="378">
        <f t="shared" ca="1" si="12"/>
        <v>105.85000000000582</v>
      </c>
      <c r="Y62" s="378">
        <f t="shared" ca="1" si="12"/>
        <v>5292.5</v>
      </c>
      <c r="Z62" s="378">
        <f t="shared" ca="1" si="12"/>
        <v>17253.550000000047</v>
      </c>
      <c r="AA62" s="378">
        <f t="shared" ca="1" si="12"/>
        <v>33660.299999999814</v>
      </c>
      <c r="AB62" s="378">
        <f t="shared" ca="1" si="12"/>
        <v>45303.799999999814</v>
      </c>
    </row>
    <row r="63" spans="1:34" x14ac:dyDescent="0.2">
      <c r="B63" s="375">
        <f t="shared" si="16"/>
        <v>2030</v>
      </c>
      <c r="C63" s="401">
        <f>MAX(TREND(C56:C57,B56:B57,B63),0)</f>
        <v>11023</v>
      </c>
      <c r="D63" s="402">
        <f>MAX(TREND(D56:D57,B56:B57,B63),0)</f>
        <v>10950</v>
      </c>
      <c r="E63" s="403">
        <f>MAX(TREND(E56:E57,B56:B57,B63),0)</f>
        <v>1.45</v>
      </c>
      <c r="F63" s="404">
        <f>MAX(TREND(F56:F57,B56:B57,B63),0)</f>
        <v>1.45</v>
      </c>
      <c r="G63" s="401">
        <f>MAX(TREND(G56:G57,$B56:$B57,$B63),0)</f>
        <v>1</v>
      </c>
      <c r="H63" s="402">
        <f>MAX(TREND(H56:H57,$B56:$B57,$B63),0)</f>
        <v>1</v>
      </c>
      <c r="I63" s="405">
        <f>MIN(MAX(TREND(I56:I57,B56:B57,B63),0),1)</f>
        <v>0.24</v>
      </c>
      <c r="J63" s="772">
        <f>MIN(MAX(TREND(J56:J57,B56:B57,B63),0),1)</f>
        <v>0.24</v>
      </c>
      <c r="K63" s="401">
        <f>MAX(TREND(K56:K57,B56:B57,B63),0)</f>
        <v>0</v>
      </c>
      <c r="L63" s="402">
        <f>MAX(TREND(L56:L57,B56:B57,B63),0)</f>
        <v>0</v>
      </c>
      <c r="M63" s="403">
        <f>IFERROR(IF(INDEX(HwyTransitModelGroup,A50,1)=Hwy,C63*E63/G63,K63/G63),0)</f>
        <v>15983.35</v>
      </c>
      <c r="N63" s="404">
        <f>IFERROR(IF(INDEX(HwyTransitModelGroup,A50,1)=Hwy,D63*F63/H63,L63/H63),0)</f>
        <v>15877.5</v>
      </c>
      <c r="O63" s="402">
        <f>TREND(O56:O57,$B56:$B57,$B63)</f>
        <v>1</v>
      </c>
      <c r="P63" s="998">
        <f>IF(INDEX(HwyTransitModelGroup,A50,1)=Hwy,G63*M63*(I63*ValTimeTruck+(1-I63)*ValTimeAuto)-O63*N63*(J63*ValTimeTruck+(1-J63)*ValTimeAuto),G63*IF(INDEX(NoTransit20,A50)=TRUE,INDEX(DivIndTrips,A50,4)/IF(INDEX(DivIndTrips,A50,3)=0,1,INDEX(DivIndTrips,A50,3)),M63)*ValTimeAuto-O63*N63*ValTimeAuto)*(1+TTUprater)^($B63-YearCurrent)</f>
        <v>2215.2288000000408</v>
      </c>
      <c r="Q63" s="780">
        <f t="shared" si="13"/>
        <v>2215.2288000000408</v>
      </c>
      <c r="R63" s="370">
        <f t="shared" si="14"/>
        <v>1618.6459859983283</v>
      </c>
      <c r="S63" s="371"/>
      <c r="T63" s="378">
        <f>TREND(T56:T57,$B56:$B57,$B63)</f>
        <v>105.85000000000582</v>
      </c>
      <c r="V63" s="375">
        <f t="shared" si="15"/>
        <v>2031</v>
      </c>
      <c r="W63" s="378">
        <f t="shared" ca="1" si="11"/>
        <v>-396.9375</v>
      </c>
      <c r="X63" s="378">
        <f t="shared" ca="1" si="12"/>
        <v>132.3125</v>
      </c>
      <c r="Y63" s="378">
        <f t="shared" ca="1" si="12"/>
        <v>5424.8125</v>
      </c>
      <c r="Z63" s="378">
        <f t="shared" ca="1" si="12"/>
        <v>17465.25</v>
      </c>
      <c r="AA63" s="378">
        <f t="shared" ca="1" si="12"/>
        <v>35195.125</v>
      </c>
      <c r="AB63" s="378">
        <f t="shared" ca="1" si="12"/>
        <v>46574</v>
      </c>
    </row>
    <row r="64" spans="1:34" x14ac:dyDescent="0.2">
      <c r="B64" s="375">
        <f t="shared" si="16"/>
        <v>2031</v>
      </c>
      <c r="C64" s="401">
        <f>MAX(TREND(C56:C57,B56:B57,B64),0)</f>
        <v>11223.75</v>
      </c>
      <c r="D64" s="402">
        <f>MAX(TREND(D56:D57,B56:B57,B64),0)</f>
        <v>11132.5</v>
      </c>
      <c r="E64" s="403">
        <f>MAX(TREND(E56:E57,B56:B57,B64),0)</f>
        <v>1.45</v>
      </c>
      <c r="F64" s="404">
        <f>MAX(TREND(F56:F57,B56:B57,B64),0)</f>
        <v>1.45</v>
      </c>
      <c r="G64" s="401">
        <f>MAX(TREND(G56:G57,$B56:$B57,$B64),0)</f>
        <v>1</v>
      </c>
      <c r="H64" s="402">
        <f>MAX(TREND(H56:H57,$B56:$B57,$B64),0)</f>
        <v>1</v>
      </c>
      <c r="I64" s="405">
        <f>MIN(MAX(TREND(I56:I57,B56:B57,B64),0),1)</f>
        <v>0.24</v>
      </c>
      <c r="J64" s="772">
        <f>MIN(MAX(TREND(J56:J57,B56:B57,B64),0),1)</f>
        <v>0.24</v>
      </c>
      <c r="K64" s="401">
        <f>MAX(TREND(K56:K57,B56:B57,B64),0)</f>
        <v>0</v>
      </c>
      <c r="L64" s="402">
        <f>MAX(TREND(L56:L57,B56:B57,B64),0)</f>
        <v>0</v>
      </c>
      <c r="M64" s="403">
        <f>IFERROR(IF(INDEX(HwyTransitModelGroup,A50,1)=Hwy,C64*E64/G64,K64/G64),0)</f>
        <v>16274.4375</v>
      </c>
      <c r="N64" s="404">
        <f>IFERROR(IF(INDEX(HwyTransitModelGroup,A50,1)=Hwy,D64*F64/H64,L64/H64),0)</f>
        <v>16142.125</v>
      </c>
      <c r="O64" s="402">
        <f>TREND(O56:O57,$B56:$B57,$B64)</f>
        <v>1</v>
      </c>
      <c r="P64" s="998">
        <f>IF(INDEX(HwyTransitModelGroup,A50,1)=Hwy,G64*M64*(I64*ValTimeTruck+(1-I64)*ValTimeAuto)-O64*N64*(J64*ValTimeTruck+(1-J64)*ValTimeAuto),G64*IF(INDEX(NoTransit20,A50)=TRUE,INDEX(DivIndTrips,A50,4)/IF(INDEX(DivIndTrips,A50,3)=0,1,INDEX(DivIndTrips,A50,3)),M64)*ValTimeAuto-O64*N64*ValTimeAuto)*(1+TTUprater)^($B64-YearCurrent)</f>
        <v>2769.0360000000219</v>
      </c>
      <c r="Q64" s="780">
        <f t="shared" si="13"/>
        <v>2769.0360000000219</v>
      </c>
      <c r="R64" s="370">
        <f t="shared" si="14"/>
        <v>1945.487963940278</v>
      </c>
      <c r="S64" s="371"/>
      <c r="T64" s="378">
        <f>TREND(T56:T57,$B56:$B57,$B64)</f>
        <v>132.3125</v>
      </c>
      <c r="V64" s="375">
        <f t="shared" si="15"/>
        <v>2032</v>
      </c>
      <c r="W64" s="378">
        <f t="shared" ca="1" si="11"/>
        <v>-582.17499999998836</v>
      </c>
      <c r="X64" s="378">
        <f t="shared" ca="1" si="12"/>
        <v>158.77500000000146</v>
      </c>
      <c r="Y64" s="378">
        <f t="shared" ca="1" si="12"/>
        <v>5557.125</v>
      </c>
      <c r="Z64" s="378">
        <f t="shared" ca="1" si="12"/>
        <v>17676.950000000012</v>
      </c>
      <c r="AA64" s="378">
        <f t="shared" ca="1" si="12"/>
        <v>36729.949999999721</v>
      </c>
      <c r="AB64" s="378">
        <f t="shared" ca="1" si="12"/>
        <v>47844.199999999721</v>
      </c>
    </row>
    <row r="65" spans="2:35" x14ac:dyDescent="0.2">
      <c r="B65" s="375">
        <f t="shared" si="16"/>
        <v>2032</v>
      </c>
      <c r="C65" s="401">
        <f>MAX(TREND(C56:C57,B56:B57,B65),0)</f>
        <v>11424.5</v>
      </c>
      <c r="D65" s="402">
        <f>MAX(TREND(D56:D57,B56:B57,B65),0)</f>
        <v>11315</v>
      </c>
      <c r="E65" s="403">
        <f>MAX(TREND(E56:E57,B56:B57,B65),0)</f>
        <v>1.45</v>
      </c>
      <c r="F65" s="404">
        <f>MAX(TREND(F56:F57,B56:B57,B65),0)</f>
        <v>1.45</v>
      </c>
      <c r="G65" s="401">
        <f>MAX(TREND(G56:G57,$B56:$B57,$B65),0)</f>
        <v>1</v>
      </c>
      <c r="H65" s="402">
        <f>MAX(TREND(H56:H57,$B56:$B57,$B65),0)</f>
        <v>1</v>
      </c>
      <c r="I65" s="405">
        <f>MIN(MAX(TREND(I56:I57,B56:B57,B65),0),1)</f>
        <v>0.24</v>
      </c>
      <c r="J65" s="772">
        <f>MIN(MAX(TREND(J56:J57,B56:B57,B65),0),1)</f>
        <v>0.24</v>
      </c>
      <c r="K65" s="401">
        <f>MAX(TREND(K56:K57,B56:B57,B65),0)</f>
        <v>0</v>
      </c>
      <c r="L65" s="402">
        <f>MAX(TREND(L56:L57,B56:B57,B65),0)</f>
        <v>0</v>
      </c>
      <c r="M65" s="403">
        <f>IFERROR(IF(INDEX(HwyTransitModelGroup,A50,1)=Hwy,C65*E65/G65,K65/G65),0)</f>
        <v>16565.524999999998</v>
      </c>
      <c r="N65" s="404">
        <f>IFERROR(IF(INDEX(HwyTransitModelGroup,A50,1)=Hwy,D65*F65/H65,L65/H65),0)</f>
        <v>16406.75</v>
      </c>
      <c r="O65" s="402">
        <f>TREND(O56:O57,$B56:$B57,$B65)</f>
        <v>1</v>
      </c>
      <c r="P65" s="998">
        <f>IF(INDEX(HwyTransitModelGroup,A50,1)=Hwy,G65*M65*(I65*ValTimeTruck+(1-I65)*ValTimeAuto)-O65*N65*(J65*ValTimeTruck+(1-J65)*ValTimeAuto),G65*IF(INDEX(NoTransit20,A50)=TRUE,INDEX(DivIndTrips,A50,4)/IF(INDEX(DivIndTrips,A50,3)=0,1,INDEX(DivIndTrips,A50,3)),M65)*ValTimeAuto-O65*N65*ValTimeAuto)*(1+TTUprater)^($B65-YearCurrent)</f>
        <v>3322.8431999999448</v>
      </c>
      <c r="Q65" s="780">
        <f t="shared" si="13"/>
        <v>3322.8431999999448</v>
      </c>
      <c r="R65" s="370">
        <f t="shared" si="14"/>
        <v>2244.7938045464193</v>
      </c>
      <c r="S65" s="371"/>
      <c r="T65" s="378">
        <f>TREND(T56:T57,$B56:$B57,$B65)</f>
        <v>158.77500000000146</v>
      </c>
      <c r="V65" s="375">
        <f t="shared" si="15"/>
        <v>2033</v>
      </c>
      <c r="W65" s="378">
        <f t="shared" ca="1" si="11"/>
        <v>-767.41249999997672</v>
      </c>
      <c r="X65" s="378">
        <f t="shared" ca="1" si="12"/>
        <v>185.23750000000291</v>
      </c>
      <c r="Y65" s="378">
        <f t="shared" ca="1" si="12"/>
        <v>5689.4375</v>
      </c>
      <c r="Z65" s="378">
        <f t="shared" ca="1" si="12"/>
        <v>17888.650000000023</v>
      </c>
      <c r="AA65" s="378">
        <f t="shared" ca="1" si="12"/>
        <v>38264.774999999907</v>
      </c>
      <c r="AB65" s="378">
        <f t="shared" ca="1" si="12"/>
        <v>49114.399999999907</v>
      </c>
    </row>
    <row r="66" spans="2:35" x14ac:dyDescent="0.2">
      <c r="B66" s="375">
        <f t="shared" si="16"/>
        <v>2033</v>
      </c>
      <c r="C66" s="401">
        <f>MAX(TREND(C56:C57,B56:B57,B66),0)</f>
        <v>11625.25</v>
      </c>
      <c r="D66" s="402">
        <f>MAX(TREND(D56:D57,B56:B57,B66),0)</f>
        <v>11497.5</v>
      </c>
      <c r="E66" s="403">
        <f>MAX(TREND(E56:E57,B56:B57,B66),0)</f>
        <v>1.45</v>
      </c>
      <c r="F66" s="404">
        <f>MAX(TREND(F56:F57,B56:B57,B66),0)</f>
        <v>1.45</v>
      </c>
      <c r="G66" s="401">
        <f>MAX(TREND(G56:G57,$B56:$B57,$B66),0)</f>
        <v>1</v>
      </c>
      <c r="H66" s="402">
        <f>MAX(TREND(H56:H57,$B56:$B57,$B66),0)</f>
        <v>1</v>
      </c>
      <c r="I66" s="405">
        <f>MIN(MAX(TREND(I56:I57,B56:B57,B66),0),1)</f>
        <v>0.24</v>
      </c>
      <c r="J66" s="772">
        <f>MIN(MAX(TREND(J56:J57,B56:B57,B66),0),1)</f>
        <v>0.24</v>
      </c>
      <c r="K66" s="401">
        <f>MAX(TREND(K56:K57,B56:B57,B66),0)</f>
        <v>0</v>
      </c>
      <c r="L66" s="402">
        <f>MAX(TREND(L56:L57,B56:B57,B66),0)</f>
        <v>0</v>
      </c>
      <c r="M66" s="403">
        <f>IFERROR(IF(INDEX(HwyTransitModelGroup,A50,1)=Hwy,C66*E66/G66,K66/G66),0)</f>
        <v>16856.612499999999</v>
      </c>
      <c r="N66" s="404">
        <f>IFERROR(IF(INDEX(HwyTransitModelGroup,A50,1)=Hwy,D66*F66/H66,L66/H66),0)</f>
        <v>16671.375</v>
      </c>
      <c r="O66" s="402">
        <f>TREND(O56:O57,$B56:$B57,$B66)</f>
        <v>1</v>
      </c>
      <c r="P66" s="998">
        <f>IF(INDEX(HwyTransitModelGroup,A50,1)=Hwy,G66*M66*(I66*ValTimeTruck+(1-I66)*ValTimeAuto)-O66*N66*(J66*ValTimeTruck+(1-J66)*ValTimeAuto),G66*IF(INDEX(NoTransit20,A50)=TRUE,INDEX(DivIndTrips,A50,4)/IF(INDEX(DivIndTrips,A50,3)=0,1,INDEX(DivIndTrips,A50,3)),M66)*ValTimeAuto-O66*N66*ValTimeAuto)*(1+TTUprater)^($B66-YearCurrent)</f>
        <v>3876.6503999999841</v>
      </c>
      <c r="Q66" s="780">
        <f t="shared" si="13"/>
        <v>3876.6503999999841</v>
      </c>
      <c r="R66" s="370">
        <f t="shared" si="14"/>
        <v>2518.1981781771046</v>
      </c>
      <c r="S66" s="371"/>
      <c r="T66" s="378">
        <f>TREND(T56:T57,$B56:$B57,$B66)</f>
        <v>185.23750000000291</v>
      </c>
      <c r="V66" s="375">
        <f t="shared" si="15"/>
        <v>2034</v>
      </c>
      <c r="W66" s="378">
        <f t="shared" ca="1" si="11"/>
        <v>-952.64999999996508</v>
      </c>
      <c r="X66" s="378">
        <f t="shared" ca="1" si="12"/>
        <v>211.70000000000437</v>
      </c>
      <c r="Y66" s="378">
        <f t="shared" ca="1" si="12"/>
        <v>5821.75</v>
      </c>
      <c r="Z66" s="378">
        <f t="shared" ca="1" si="12"/>
        <v>18100.350000000035</v>
      </c>
      <c r="AA66" s="378">
        <f t="shared" ca="1" si="12"/>
        <v>39799.600000000093</v>
      </c>
      <c r="AB66" s="378">
        <f t="shared" ca="1" si="12"/>
        <v>50384.600000000093</v>
      </c>
    </row>
    <row r="67" spans="2:35" x14ac:dyDescent="0.2">
      <c r="B67" s="375">
        <f t="shared" si="16"/>
        <v>2034</v>
      </c>
      <c r="C67" s="401">
        <f>MAX(TREND(C56:C57,B56:B57,B67),0)</f>
        <v>11826</v>
      </c>
      <c r="D67" s="402">
        <f>MAX(TREND(D56:D57,B56:B57,B67),0)</f>
        <v>11680</v>
      </c>
      <c r="E67" s="403">
        <f>MAX(TREND(E56:E57,B56:B57,B67),0)</f>
        <v>1.45</v>
      </c>
      <c r="F67" s="404">
        <f>MAX(TREND(F56:F57,B56:B57,B67),0)</f>
        <v>1.45</v>
      </c>
      <c r="G67" s="401">
        <f>MAX(TREND(G56:G57,$B56:$B57,$B67),0)</f>
        <v>1</v>
      </c>
      <c r="H67" s="402">
        <f>MAX(TREND(H56:H57,$B56:$B57,$B67),0)</f>
        <v>1</v>
      </c>
      <c r="I67" s="405">
        <f>MIN(MAX(TREND(I56:I57,B56:B57,B67),0),1)</f>
        <v>0.24</v>
      </c>
      <c r="J67" s="772">
        <f>MIN(MAX(TREND(J56:J57,B56:B57,B67),0),1)</f>
        <v>0.24</v>
      </c>
      <c r="K67" s="401">
        <f>MAX(TREND(K56:K57,B56:B57,B67),0)</f>
        <v>0</v>
      </c>
      <c r="L67" s="402">
        <f>MAX(TREND(L56:L57,B56:B57,B67),0)</f>
        <v>0</v>
      </c>
      <c r="M67" s="403">
        <f>IFERROR(IF(INDEX(HwyTransitModelGroup,A50,1)=Hwy,C67*E67/G67,K67/G67),0)</f>
        <v>17147.7</v>
      </c>
      <c r="N67" s="404">
        <f>IFERROR(IF(INDEX(HwyTransitModelGroup,A50,1)=Hwy,D67*F67/H67,L67/H67),0)</f>
        <v>16936</v>
      </c>
      <c r="O67" s="402">
        <f>TREND(O56:O57,$B56:$B57,$B67)</f>
        <v>1</v>
      </c>
      <c r="P67" s="998">
        <f>IF(INDEX(HwyTransitModelGroup,A50,1)=Hwy,G67*M67*(I67*ValTimeTruck+(1-I67)*ValTimeAuto)-O67*N67*(J67*ValTimeTruck+(1-J67)*ValTimeAuto),G67*IF(INDEX(NoTransit20,A50)=TRUE,INDEX(DivIndTrips,A50,4)/IF(INDEX(DivIndTrips,A50,3)=0,1,INDEX(DivIndTrips,A50,3)),M67)*ValTimeAuto-O67*N67*ValTimeAuto)*(1+TTUprater)^($B67-YearCurrent)</f>
        <v>4430.4576000000234</v>
      </c>
      <c r="Q67" s="780">
        <f t="shared" si="13"/>
        <v>4430.4576000000234</v>
      </c>
      <c r="R67" s="370">
        <f t="shared" si="14"/>
        <v>2767.2507452495911</v>
      </c>
      <c r="S67" s="371"/>
      <c r="T67" s="378">
        <f>TREND(T56:T57,$B56:$B57,$B67)</f>
        <v>211.70000000000437</v>
      </c>
      <c r="V67" s="375">
        <f t="shared" si="15"/>
        <v>2035</v>
      </c>
      <c r="W67" s="378">
        <f t="shared" ca="1" si="11"/>
        <v>-1137.8874999999534</v>
      </c>
      <c r="X67" s="378">
        <f t="shared" ca="1" si="12"/>
        <v>238.16250000000582</v>
      </c>
      <c r="Y67" s="378">
        <f t="shared" ca="1" si="12"/>
        <v>5954.0625</v>
      </c>
      <c r="Z67" s="378">
        <f t="shared" ca="1" si="12"/>
        <v>18312.050000000047</v>
      </c>
      <c r="AA67" s="378">
        <f t="shared" ca="1" si="12"/>
        <v>41334.424999999814</v>
      </c>
      <c r="AB67" s="378">
        <f t="shared" ca="1" si="12"/>
        <v>51654.799999999814</v>
      </c>
    </row>
    <row r="68" spans="2:35" x14ac:dyDescent="0.2">
      <c r="B68" s="375">
        <f t="shared" si="16"/>
        <v>2035</v>
      </c>
      <c r="C68" s="401">
        <f>MAX(TREND(C56:C57,B56:B57,B68),0)</f>
        <v>12026.75</v>
      </c>
      <c r="D68" s="402">
        <f>MAX(TREND(D56:D57,B56:B57,B68),0)</f>
        <v>11862.5</v>
      </c>
      <c r="E68" s="403">
        <f>MAX(TREND(E56:E57,B56:B57,B68),0)</f>
        <v>1.45</v>
      </c>
      <c r="F68" s="404">
        <f>MAX(TREND(F56:F57,B56:B57,B68),0)</f>
        <v>1.45</v>
      </c>
      <c r="G68" s="401">
        <f>MAX(TREND(G56:G57,$B56:$B57,$B68),0)</f>
        <v>1</v>
      </c>
      <c r="H68" s="402">
        <f>MAX(TREND(H56:H57,$B56:$B57,$B68),0)</f>
        <v>1</v>
      </c>
      <c r="I68" s="405">
        <f>MIN(MAX(TREND(I56:I57,B56:B57,B68),0),1)</f>
        <v>0.24</v>
      </c>
      <c r="J68" s="772">
        <f>MIN(MAX(TREND(J56:J57,B56:B57,B68),0),1)</f>
        <v>0.24</v>
      </c>
      <c r="K68" s="401">
        <f>MAX(TREND(K56:K57,B56:B57,B68),0)</f>
        <v>0</v>
      </c>
      <c r="L68" s="402">
        <f>MAX(TREND(L56:L57,B56:B57,B68),0)</f>
        <v>0</v>
      </c>
      <c r="M68" s="403">
        <f>IFERROR(IF(INDEX(HwyTransitModelGroup,A50,1)=Hwy,C68*E68/G68,K68/G68),0)</f>
        <v>17438.787499999999</v>
      </c>
      <c r="N68" s="404">
        <f>IFERROR(IF(INDEX(HwyTransitModelGroup,A50,1)=Hwy,D68*F68/H68,L68/H68),0)</f>
        <v>17200.625</v>
      </c>
      <c r="O68" s="402">
        <f>TREND(O56:O57,$B56:$B57,$B68)</f>
        <v>1</v>
      </c>
      <c r="P68" s="998">
        <f>IF(INDEX(HwyTransitModelGroup,A50,1)=Hwy,G68*M68*(I68*ValTimeTruck+(1-I68)*ValTimeAuto)-O68*N68*(J68*ValTimeTruck+(1-J68)*ValTimeAuto),G68*IF(INDEX(NoTransit20,A50)=TRUE,INDEX(DivIndTrips,A50,4)/IF(INDEX(DivIndTrips,A50,3)=0,1,INDEX(DivIndTrips,A50,3)),M68)*ValTimeAuto-O68*N68*ValTimeAuto)*(1+TTUprater)^($B68-YearCurrent)</f>
        <v>4984.2648000000045</v>
      </c>
      <c r="Q68" s="780">
        <f t="shared" si="13"/>
        <v>4984.2648000000045</v>
      </c>
      <c r="R68" s="370">
        <f t="shared" si="14"/>
        <v>2993.4202773132465</v>
      </c>
      <c r="S68" s="371"/>
      <c r="T68" s="378">
        <f>TREND(T56:T57,$B56:$B57,$B68)</f>
        <v>238.16250000000582</v>
      </c>
      <c r="V68" s="375">
        <f t="shared" si="15"/>
        <v>2036</v>
      </c>
      <c r="W68" s="378">
        <f t="shared" ca="1" si="11"/>
        <v>-1323.125</v>
      </c>
      <c r="X68" s="378">
        <f t="shared" ref="X68:AB77" ca="1" si="17">OFFSET($T19,MATCH(X$54,$A:$A),0)</f>
        <v>264.625</v>
      </c>
      <c r="Y68" s="378">
        <f t="shared" ca="1" si="17"/>
        <v>6086.375</v>
      </c>
      <c r="Z68" s="378">
        <f t="shared" ca="1" si="17"/>
        <v>18523.75</v>
      </c>
      <c r="AA68" s="378">
        <f t="shared" ca="1" si="17"/>
        <v>42869.25</v>
      </c>
      <c r="AB68" s="378">
        <f t="shared" ca="1" si="17"/>
        <v>52925</v>
      </c>
    </row>
    <row r="69" spans="2:35" x14ac:dyDescent="0.2">
      <c r="B69" s="375">
        <f t="shared" si="16"/>
        <v>2036</v>
      </c>
      <c r="C69" s="401">
        <f>MAX(TREND(C56:C57,B56:B57,B69),0)</f>
        <v>12227.5</v>
      </c>
      <c r="D69" s="402">
        <f>MAX(TREND(D56:D57,B56:B57,B69),0)</f>
        <v>12045</v>
      </c>
      <c r="E69" s="403">
        <f>MAX(TREND(E56:E57,B56:B57,B69),0)</f>
        <v>1.45</v>
      </c>
      <c r="F69" s="404">
        <f>MAX(TREND(F56:F57,B56:B57,B69),0)</f>
        <v>1.45</v>
      </c>
      <c r="G69" s="401">
        <f>MAX(TREND(G56:G57,$B56:$B57,$B69),0)</f>
        <v>1</v>
      </c>
      <c r="H69" s="402">
        <f>MAX(TREND(H56:H57,$B56:$B57,$B69),0)</f>
        <v>1</v>
      </c>
      <c r="I69" s="405">
        <f>MIN(MAX(TREND(I56:I57,B56:B57,B69),0),1)</f>
        <v>0.24</v>
      </c>
      <c r="J69" s="772">
        <f>MIN(MAX(TREND(J56:J57,B56:B57,B69),0),1)</f>
        <v>0.24</v>
      </c>
      <c r="K69" s="401">
        <f>MAX(TREND(K56:K57,B56:B57,B69),0)</f>
        <v>0</v>
      </c>
      <c r="L69" s="402">
        <f>MAX(TREND(L56:L57,B56:B57,B69),0)</f>
        <v>0</v>
      </c>
      <c r="M69" s="403">
        <f>IFERROR(IF(INDEX(HwyTransitModelGroup,A50,1)=Hwy,C69*E69/G69,K69/G69),0)</f>
        <v>17729.875</v>
      </c>
      <c r="N69" s="404">
        <f>IFERROR(IF(INDEX(HwyTransitModelGroup,A50,1)=Hwy,D69*F69/H69,L69/H69),0)</f>
        <v>17465.25</v>
      </c>
      <c r="O69" s="402">
        <f>TREND(O56:O57,$B56:$B57,$B69)</f>
        <v>1</v>
      </c>
      <c r="P69" s="998">
        <f>IF(INDEX(HwyTransitModelGroup,A50,1)=Hwy,G69*M69*(I69*ValTimeTruck+(1-I69)*ValTimeAuto)-O69*N69*(J69*ValTimeTruck+(1-J69)*ValTimeAuto),G69*IF(INDEX(NoTransit20,A50)=TRUE,INDEX(DivIndTrips,A50,4)/IF(INDEX(DivIndTrips,A50,3)=0,1,INDEX(DivIndTrips,A50,3)),M69)*ValTimeAuto-O69*N69*ValTimeAuto)*(1+TTUprater)^($B69-YearCurrent)</f>
        <v>5538.0719999999856</v>
      </c>
      <c r="Q69" s="780">
        <f t="shared" si="13"/>
        <v>5538.0719999999856</v>
      </c>
      <c r="R69" s="370">
        <f t="shared" si="14"/>
        <v>3198.0985868731154</v>
      </c>
      <c r="S69" s="371"/>
      <c r="T69" s="378">
        <f>TREND(T56:T57,$B56:$B57,$B69)</f>
        <v>264.625</v>
      </c>
      <c r="V69" s="375">
        <f t="shared" si="15"/>
        <v>2037</v>
      </c>
      <c r="W69" s="378">
        <f t="shared" ca="1" si="11"/>
        <v>-1508.3624999999884</v>
      </c>
      <c r="X69" s="378">
        <f t="shared" ca="1" si="17"/>
        <v>291.08750000000146</v>
      </c>
      <c r="Y69" s="378">
        <f t="shared" ca="1" si="17"/>
        <v>6218.6875</v>
      </c>
      <c r="Z69" s="378">
        <f t="shared" ca="1" si="17"/>
        <v>18735.450000000012</v>
      </c>
      <c r="AA69" s="378">
        <f t="shared" ca="1" si="17"/>
        <v>44404.074999999721</v>
      </c>
      <c r="AB69" s="378">
        <f t="shared" ca="1" si="17"/>
        <v>54195.199999999721</v>
      </c>
    </row>
    <row r="70" spans="2:35" x14ac:dyDescent="0.2">
      <c r="B70" s="375">
        <f t="shared" si="16"/>
        <v>2037</v>
      </c>
      <c r="C70" s="401">
        <f>MAX(TREND(C56:C57,B56:B57,B70),0)</f>
        <v>12428.25</v>
      </c>
      <c r="D70" s="402">
        <f>MAX(TREND(D56:D57,B56:B57,B70),0)</f>
        <v>12227.5</v>
      </c>
      <c r="E70" s="403">
        <f>MAX(TREND(E56:E57,B56:B57,B70),0)</f>
        <v>1.45</v>
      </c>
      <c r="F70" s="404">
        <f>MAX(TREND(F56:F57,B56:B57,B70),0)</f>
        <v>1.45</v>
      </c>
      <c r="G70" s="401">
        <f>MAX(TREND(G56:G57,$B56:$B57,$B70),0)</f>
        <v>1</v>
      </c>
      <c r="H70" s="402">
        <f>MAX(TREND(H56:H57,$B56:$B57,$B70),0)</f>
        <v>1</v>
      </c>
      <c r="I70" s="405">
        <f>MIN(MAX(TREND(I56:I57,B56:B57,B70),0),1)</f>
        <v>0.24</v>
      </c>
      <c r="J70" s="772">
        <f>MIN(MAX(TREND(J56:J57,B56:B57,B70),0),1)</f>
        <v>0.24</v>
      </c>
      <c r="K70" s="401">
        <f>MAX(TREND(K56:K57,B56:B57,B70),0)</f>
        <v>0</v>
      </c>
      <c r="L70" s="402">
        <f>MAX(TREND(L56:L57,B56:B57,B70),0)</f>
        <v>0</v>
      </c>
      <c r="M70" s="403">
        <f>IFERROR(IF(INDEX(HwyTransitModelGroup,A50,1)=Hwy,C70*E70/G70,K70/G70),0)</f>
        <v>18020.962499999998</v>
      </c>
      <c r="N70" s="404">
        <f>IFERROR(IF(INDEX(HwyTransitModelGroup,A50,1)=Hwy,D70*F70/H70,L70/H70),0)</f>
        <v>17729.875</v>
      </c>
      <c r="O70" s="402">
        <f>TREND(O56:O57,$B56:$B57,$B70)</f>
        <v>1</v>
      </c>
      <c r="P70" s="998">
        <f>IF(INDEX(HwyTransitModelGroup,A50,1)=Hwy,G70*M70*(I70*ValTimeTruck+(1-I70)*ValTimeAuto)-O70*N70*(J70*ValTimeTruck+(1-J70)*ValTimeAuto),G70*IF(INDEX(NoTransit20,A50)=TRUE,INDEX(DivIndTrips,A50,4)/IF(INDEX(DivIndTrips,A50,3)=0,1,INDEX(DivIndTrips,A50,3)),M70)*ValTimeAuto-O70*N70*ValTimeAuto)*(1+TTUprater)^($B70-YearCurrent)</f>
        <v>6091.8791999999667</v>
      </c>
      <c r="Q70" s="780">
        <f t="shared" si="13"/>
        <v>6091.8791999999667</v>
      </c>
      <c r="R70" s="370">
        <f t="shared" si="14"/>
        <v>3382.6042745773238</v>
      </c>
      <c r="S70" s="371"/>
      <c r="T70" s="378">
        <f>TREND(T56:T57,$B56:$B57,$B70)</f>
        <v>291.08750000000146</v>
      </c>
      <c r="V70" s="375">
        <f t="shared" si="15"/>
        <v>2038</v>
      </c>
      <c r="W70" s="378">
        <f t="shared" ca="1" si="11"/>
        <v>-1693.5999999999767</v>
      </c>
      <c r="X70" s="378">
        <f t="shared" ca="1" si="17"/>
        <v>317.55000000000291</v>
      </c>
      <c r="Y70" s="378">
        <f t="shared" ca="1" si="17"/>
        <v>6351</v>
      </c>
      <c r="Z70" s="378">
        <f t="shared" ca="1" si="17"/>
        <v>18947.150000000023</v>
      </c>
      <c r="AA70" s="378">
        <f t="shared" ca="1" si="17"/>
        <v>45938.899999999907</v>
      </c>
      <c r="AB70" s="378">
        <f t="shared" ca="1" si="17"/>
        <v>55465.399999999907</v>
      </c>
    </row>
    <row r="71" spans="2:35" x14ac:dyDescent="0.2">
      <c r="B71" s="375">
        <f t="shared" si="16"/>
        <v>2038</v>
      </c>
      <c r="C71" s="401">
        <f>MAX(TREND(C56:C57,B56:B57,B71),0)</f>
        <v>12629</v>
      </c>
      <c r="D71" s="402">
        <f>MAX(TREND(D56:D57,B56:B57,B71),0)</f>
        <v>12410</v>
      </c>
      <c r="E71" s="403">
        <f>MAX(TREND(E56:E57,B56:B57,B71),0)</f>
        <v>1.45</v>
      </c>
      <c r="F71" s="404">
        <f>MAX(TREND(F56:F57,B56:B57,B71),0)</f>
        <v>1.45</v>
      </c>
      <c r="G71" s="401">
        <f>MAX(TREND(G56:G57,$B56:$B57,$B71),0)</f>
        <v>1</v>
      </c>
      <c r="H71" s="402">
        <f>MAX(TREND(H56:H57,$B56:$B57,$B71),0)</f>
        <v>1</v>
      </c>
      <c r="I71" s="405">
        <f>MIN(MAX(TREND(I56:I57,B56:B57,B71),0),1)</f>
        <v>0.24</v>
      </c>
      <c r="J71" s="772">
        <f>MIN(MAX(TREND(J56:J57,B56:B57,B71),0),1)</f>
        <v>0.24</v>
      </c>
      <c r="K71" s="401">
        <f>MAX(TREND(K56:K57,B56:B57,B71),0)</f>
        <v>0</v>
      </c>
      <c r="L71" s="402">
        <f>MAX(TREND(L56:L57,B56:B57,B71),0)</f>
        <v>0</v>
      </c>
      <c r="M71" s="403">
        <f>IFERROR(IF(INDEX(HwyTransitModelGroup,A50,1)=Hwy,C71*E71/G71,K71/G71),0)</f>
        <v>18312.05</v>
      </c>
      <c r="N71" s="404">
        <f>IFERROR(IF(INDEX(HwyTransitModelGroup,A50,1)=Hwy,D71*F71/H71,L71/H71),0)</f>
        <v>17994.5</v>
      </c>
      <c r="O71" s="402">
        <f>TREND(O56:O57,$B56:$B57,$B71)</f>
        <v>1</v>
      </c>
      <c r="P71" s="998">
        <f>IF(INDEX(HwyTransitModelGroup,A50,1)=Hwy,G71*M71*(I71*ValTimeTruck+(1-I71)*ValTimeAuto)-O71*N71*(J71*ValTimeTruck+(1-J71)*ValTimeAuto),G71*IF(INDEX(NoTransit20,A50)=TRUE,INDEX(DivIndTrips,A50,4)/IF(INDEX(DivIndTrips,A50,3)=0,1,INDEX(DivIndTrips,A50,3)),M71)*ValTimeAuto-O71*N71*ValTimeAuto)*(1+TTUprater)^($B71-YearCurrent)</f>
        <v>6645.686400000006</v>
      </c>
      <c r="Q71" s="780">
        <f t="shared" si="13"/>
        <v>6645.686400000006</v>
      </c>
      <c r="R71" s="370">
        <f t="shared" si="14"/>
        <v>3548.1863020042078</v>
      </c>
      <c r="S71" s="371"/>
      <c r="T71" s="378">
        <f>TREND(T56:T57,$B56:$B57,$B71)</f>
        <v>317.55000000000291</v>
      </c>
      <c r="V71" s="375">
        <f t="shared" si="15"/>
        <v>2039</v>
      </c>
      <c r="W71" s="378">
        <f t="shared" ca="1" si="11"/>
        <v>-1878.8374999999651</v>
      </c>
      <c r="X71" s="378">
        <f t="shared" ca="1" si="17"/>
        <v>344.01250000000437</v>
      </c>
      <c r="Y71" s="378">
        <f t="shared" ca="1" si="17"/>
        <v>6483.3125</v>
      </c>
      <c r="Z71" s="378">
        <f t="shared" ca="1" si="17"/>
        <v>19158.850000000035</v>
      </c>
      <c r="AA71" s="378">
        <f t="shared" ca="1" si="17"/>
        <v>47473.725000000093</v>
      </c>
      <c r="AB71" s="378">
        <f t="shared" ca="1" si="17"/>
        <v>56735.600000000093</v>
      </c>
    </row>
    <row r="72" spans="2:35" x14ac:dyDescent="0.2">
      <c r="B72" s="375">
        <f t="shared" si="16"/>
        <v>2039</v>
      </c>
      <c r="C72" s="401">
        <f>MAX(TREND(C56:C57,B56:B57,B72),0)</f>
        <v>12829.75</v>
      </c>
      <c r="D72" s="402">
        <f>MAX(TREND(D56:D57,B56:B57,B72),0)</f>
        <v>12592.5</v>
      </c>
      <c r="E72" s="403">
        <f>MAX(TREND(E56:E57,B56:B57,B72),0)</f>
        <v>1.45</v>
      </c>
      <c r="F72" s="404">
        <f>MAX(TREND(F56:F57,B56:B57,B72),0)</f>
        <v>1.45</v>
      </c>
      <c r="G72" s="401">
        <f>MAX(TREND(G56:G57,$B56:$B57,$B72),0)</f>
        <v>1</v>
      </c>
      <c r="H72" s="402">
        <f>MAX(TREND(H56:H57,$B56:$B57,$B72),0)</f>
        <v>1</v>
      </c>
      <c r="I72" s="405">
        <f>MIN(MAX(TREND(I56:I57,B56:B57,B72),0),1)</f>
        <v>0.24</v>
      </c>
      <c r="J72" s="772">
        <f>MIN(MAX(TREND(J56:J57,B56:B57,B72),0),1)</f>
        <v>0.24</v>
      </c>
      <c r="K72" s="401">
        <f>MAX(TREND(K56:K57,B56:B57,B72),0)</f>
        <v>0</v>
      </c>
      <c r="L72" s="402">
        <f>MAX(TREND(L56:L57,B56:B57,B72),0)</f>
        <v>0</v>
      </c>
      <c r="M72" s="403">
        <f>IFERROR(IF(INDEX(HwyTransitModelGroup,A50,1)=Hwy,C72*E72/G72,K72/G72),0)</f>
        <v>18603.137500000001</v>
      </c>
      <c r="N72" s="404">
        <f>IFERROR(IF(INDEX(HwyTransitModelGroup,A50,1)=Hwy,D72*F72/H72,L72/H72),0)</f>
        <v>18259.125</v>
      </c>
      <c r="O72" s="402">
        <f>TREND(O56:O57,$B56:$B57,$B72)</f>
        <v>1</v>
      </c>
      <c r="P72" s="998">
        <f>IF(INDEX(HwyTransitModelGroup,A50,1)=Hwy,G72*M72*(I72*ValTimeTruck+(1-I72)*ValTimeAuto)-O72*N72*(J72*ValTimeTruck+(1-J72)*ValTimeAuto),G72*IF(INDEX(NoTransit20,A50)=TRUE,INDEX(DivIndTrips,A50,4)/IF(INDEX(DivIndTrips,A50,3)=0,1,INDEX(DivIndTrips,A50,3)),M72)*ValTimeAuto-O72*N72*ValTimeAuto)*(1+TTUprater)^($B72-YearCurrent)</f>
        <v>7199.4936000000453</v>
      </c>
      <c r="Q72" s="780">
        <f t="shared" si="13"/>
        <v>7199.4936000000453</v>
      </c>
      <c r="R72" s="370">
        <f t="shared" si="14"/>
        <v>3696.0273979210697</v>
      </c>
      <c r="S72" s="371"/>
      <c r="T72" s="378">
        <f>TREND(T56:T57,$B56:$B57,$B72)</f>
        <v>344.01250000000437</v>
      </c>
      <c r="V72" s="375">
        <f t="shared" si="15"/>
        <v>2040</v>
      </c>
      <c r="W72" s="378">
        <f t="shared" ca="1" si="11"/>
        <v>-2064.0749999999534</v>
      </c>
      <c r="X72" s="378">
        <f t="shared" ca="1" si="17"/>
        <v>370.47500000000582</v>
      </c>
      <c r="Y72" s="378">
        <f t="shared" ca="1" si="17"/>
        <v>6615.625</v>
      </c>
      <c r="Z72" s="378">
        <f t="shared" ca="1" si="17"/>
        <v>19370.550000000047</v>
      </c>
      <c r="AA72" s="378">
        <f t="shared" ca="1" si="17"/>
        <v>49008.549999999814</v>
      </c>
      <c r="AB72" s="378">
        <f t="shared" ca="1" si="17"/>
        <v>58005.799999999814</v>
      </c>
    </row>
    <row r="73" spans="2:35" x14ac:dyDescent="0.2">
      <c r="B73" s="375">
        <f t="shared" si="16"/>
        <v>2040</v>
      </c>
      <c r="C73" s="401">
        <f>MAX(TREND(C56:C57,B56:B57,B73),0)</f>
        <v>13030.5</v>
      </c>
      <c r="D73" s="402">
        <f>MAX(TREND(D56:D57,B56:B57,B73),0)</f>
        <v>12775</v>
      </c>
      <c r="E73" s="403">
        <f>MAX(TREND(E56:E57,B56:B57,B73),0)</f>
        <v>1.45</v>
      </c>
      <c r="F73" s="404">
        <f>MAX(TREND(F56:F57,B56:B57,B73),0)</f>
        <v>1.45</v>
      </c>
      <c r="G73" s="401">
        <f>MAX(TREND(G56:G57,$B56:$B57,$B73),0)</f>
        <v>1</v>
      </c>
      <c r="H73" s="402">
        <f>MAX(TREND(H56:H57,$B56:$B57,$B73),0)</f>
        <v>1</v>
      </c>
      <c r="I73" s="405">
        <f>MIN(MAX(TREND(I56:I57,B56:B57,B73),0),1)</f>
        <v>0.24</v>
      </c>
      <c r="J73" s="772">
        <f>MIN(MAX(TREND(J56:J57,B56:B57,B73),0),1)</f>
        <v>0.24</v>
      </c>
      <c r="K73" s="401">
        <f>MAX(TREND(K56:K57,B56:B57,B73),0)</f>
        <v>0</v>
      </c>
      <c r="L73" s="402">
        <f>MAX(TREND(L56:L57,B56:B57,B73),0)</f>
        <v>0</v>
      </c>
      <c r="M73" s="403">
        <f>IFERROR(IF(INDEX(HwyTransitModelGroup,A50,1)=Hwy,C73*E73/G73,K73/G73),0)</f>
        <v>18894.224999999999</v>
      </c>
      <c r="N73" s="404">
        <f>IFERROR(IF(INDEX(HwyTransitModelGroup,A50,1)=Hwy,D73*F73/H73,L73/H73),0)</f>
        <v>18523.75</v>
      </c>
      <c r="O73" s="402">
        <f>TREND(O56:O57,$B56:$B57,$B73)</f>
        <v>1</v>
      </c>
      <c r="P73" s="998">
        <f>IF(INDEX(HwyTransitModelGroup,A50,1)=Hwy,G73*M73*(I73*ValTimeTruck+(1-I73)*ValTimeAuto)-O73*N73*(J73*ValTimeTruck+(1-J73)*ValTimeAuto),G73*IF(INDEX(NoTransit20,A50)=TRUE,INDEX(DivIndTrips,A50,4)/IF(INDEX(DivIndTrips,A50,3)=0,1,INDEX(DivIndTrips,A50,3)),M73)*ValTimeAuto-O73*N73*ValTimeAuto)*(1+TTUprater)^($B73-YearCurrent)</f>
        <v>7753.3007999999681</v>
      </c>
      <c r="Q73" s="780">
        <f t="shared" si="13"/>
        <v>7753.3007999999681</v>
      </c>
      <c r="R73" s="370">
        <f t="shared" si="14"/>
        <v>3827.247305539529</v>
      </c>
      <c r="S73" s="371"/>
      <c r="T73" s="378">
        <f>TREND(T56:T57,$B56:$B57,$B73)</f>
        <v>370.47500000000582</v>
      </c>
      <c r="V73" s="375">
        <f t="shared" si="15"/>
        <v>2041</v>
      </c>
      <c r="W73" s="378">
        <f t="shared" ca="1" si="11"/>
        <v>-2249.3125</v>
      </c>
      <c r="X73" s="378">
        <f t="shared" ca="1" si="17"/>
        <v>396.9375</v>
      </c>
      <c r="Y73" s="378">
        <f t="shared" ca="1" si="17"/>
        <v>6747.9375</v>
      </c>
      <c r="Z73" s="378">
        <f t="shared" ca="1" si="17"/>
        <v>19582.25</v>
      </c>
      <c r="AA73" s="378">
        <f t="shared" ca="1" si="17"/>
        <v>50543.375</v>
      </c>
      <c r="AB73" s="378">
        <f t="shared" ca="1" si="17"/>
        <v>59276</v>
      </c>
    </row>
    <row r="74" spans="2:35" x14ac:dyDescent="0.2">
      <c r="B74" s="375">
        <f t="shared" si="16"/>
        <v>2041</v>
      </c>
      <c r="C74" s="401">
        <f>MAX(TREND(C56:C57,B56:B57,B74),0)</f>
        <v>13231.25</v>
      </c>
      <c r="D74" s="402">
        <f>MAX(TREND(D56:D57,B56:B57,B74),0)</f>
        <v>12957.5</v>
      </c>
      <c r="E74" s="403">
        <f>MAX(TREND(E56:E57,B56:B57,B74),0)</f>
        <v>1.45</v>
      </c>
      <c r="F74" s="404">
        <f>MAX(TREND(F56:F57,B56:B57,B74),0)</f>
        <v>1.45</v>
      </c>
      <c r="G74" s="401">
        <f>MAX(TREND(G56:G57,$B56:$B57,$B74),0)</f>
        <v>1</v>
      </c>
      <c r="H74" s="402">
        <f>MAX(TREND(H56:H57,$B56:$B57,$B74),0)</f>
        <v>1</v>
      </c>
      <c r="I74" s="405">
        <f>MIN(MAX(TREND(I56:I57,B56:B57,B74),0),1)</f>
        <v>0.24</v>
      </c>
      <c r="J74" s="772">
        <f>MIN(MAX(TREND(J56:J57,B56:B57,B74),0),1)</f>
        <v>0.24</v>
      </c>
      <c r="K74" s="401">
        <f>MAX(TREND(K56:K57,B56:B57,B74),0)</f>
        <v>0</v>
      </c>
      <c r="L74" s="402">
        <f>MAX(TREND(L56:L57,B56:B57,B74),0)</f>
        <v>0</v>
      </c>
      <c r="M74" s="403">
        <f>IFERROR(IF(INDEX(HwyTransitModelGroup,A50,1)=Hwy,C74*E74/G74,K74/G74),0)</f>
        <v>19185.3125</v>
      </c>
      <c r="N74" s="404">
        <f>IFERROR(IF(INDEX(HwyTransitModelGroup,A50,1)=Hwy,D74*F74/H74,L74/H74),0)</f>
        <v>18788.375</v>
      </c>
      <c r="O74" s="402">
        <f>TREND(O56:O57,$B56:$B57,$B74)</f>
        <v>1</v>
      </c>
      <c r="P74" s="998">
        <f>IF(INDEX(HwyTransitModelGroup,A50,1)=Hwy,G74*M74*(I74*ValTimeTruck+(1-I74)*ValTimeAuto)-O74*N74*(J74*ValTimeTruck+(1-J74)*ValTimeAuto),G74*IF(INDEX(NoTransit20,A50)=TRUE,INDEX(DivIndTrips,A50,4)/IF(INDEX(DivIndTrips,A50,3)=0,1,INDEX(DivIndTrips,A50,3)),M74)*ValTimeAuto-O74*N74*ValTimeAuto)*(1+TTUprater)^($B74-YearCurrent)</f>
        <v>8307.1080000000075</v>
      </c>
      <c r="Q74" s="780">
        <f t="shared" si="13"/>
        <v>8307.1080000000075</v>
      </c>
      <c r="R74" s="370">
        <f t="shared" si="14"/>
        <v>3942.9058779596994</v>
      </c>
      <c r="S74" s="371"/>
      <c r="T74" s="378">
        <f>TREND(T56:T57,$B56:$B57,$B74)</f>
        <v>396.9375</v>
      </c>
      <c r="V74" s="375">
        <f t="shared" si="15"/>
        <v>2042</v>
      </c>
      <c r="W74" s="378">
        <f t="shared" ca="1" si="11"/>
        <v>-2434.5499999999884</v>
      </c>
      <c r="X74" s="378">
        <f t="shared" ca="1" si="17"/>
        <v>423.40000000000146</v>
      </c>
      <c r="Y74" s="378">
        <f t="shared" ca="1" si="17"/>
        <v>6880.25</v>
      </c>
      <c r="Z74" s="378">
        <f t="shared" ca="1" si="17"/>
        <v>19793.950000000012</v>
      </c>
      <c r="AA74" s="378">
        <f t="shared" ca="1" si="17"/>
        <v>52078.199999999721</v>
      </c>
      <c r="AB74" s="378">
        <f t="shared" ca="1" si="17"/>
        <v>60546.199999999721</v>
      </c>
    </row>
    <row r="75" spans="2:35" x14ac:dyDescent="0.2">
      <c r="B75" s="375">
        <f t="shared" si="16"/>
        <v>2042</v>
      </c>
      <c r="C75" s="401">
        <f>MAX(TREND(C56:C57,B56:B57,B75),0)</f>
        <v>13432</v>
      </c>
      <c r="D75" s="402">
        <f>MAX(TREND(D56:D57,B56:B57,B75),0)</f>
        <v>13140</v>
      </c>
      <c r="E75" s="403">
        <f>MAX(TREND(E56:E57,B56:B57,B75),0)</f>
        <v>1.45</v>
      </c>
      <c r="F75" s="404">
        <f>MAX(TREND(F56:F57,B56:B57,B75),0)</f>
        <v>1.45</v>
      </c>
      <c r="G75" s="401">
        <f>MAX(TREND(G56:G57,$B56:$B57,$B75),0)</f>
        <v>1</v>
      </c>
      <c r="H75" s="402">
        <f>MAX(TREND(H56:H57,$B56:$B57,$B75),0)</f>
        <v>1</v>
      </c>
      <c r="I75" s="405">
        <f>MIN(MAX(TREND(I56:I57,B56:B57,B75),0),1)</f>
        <v>0.24</v>
      </c>
      <c r="J75" s="772">
        <f>MIN(MAX(TREND(J56:J57,B56:B57,B75),0),1)</f>
        <v>0.24</v>
      </c>
      <c r="K75" s="401">
        <f>MAX(TREND(K56:K57,B56:B57,B75),0)</f>
        <v>0</v>
      </c>
      <c r="L75" s="402">
        <f>MAX(TREND(L56:L57,B56:B57,B75),0)</f>
        <v>0</v>
      </c>
      <c r="M75" s="403">
        <f>IFERROR(IF(INDEX(HwyTransitModelGroup,A50,1)=Hwy,C75*E75/G75,K75/G75),0)</f>
        <v>19476.399999999998</v>
      </c>
      <c r="N75" s="404">
        <f>IFERROR(IF(INDEX(HwyTransitModelGroup,A50,1)=Hwy,D75*F75/H75,L75/H75),0)</f>
        <v>19053</v>
      </c>
      <c r="O75" s="402">
        <f>TREND(O56:O57,$B56:$B57,$B75)</f>
        <v>1</v>
      </c>
      <c r="P75" s="998">
        <f>IF(INDEX(HwyTransitModelGroup,A50,1)=Hwy,G75*M75*(I75*ValTimeTruck+(1-I75)*ValTimeAuto)-O75*N75*(J75*ValTimeTruck+(1-J75)*ValTimeAuto),G75*IF(INDEX(NoTransit20,A50)=TRUE,INDEX(DivIndTrips,A50,4)/IF(INDEX(DivIndTrips,A50,3)=0,1,INDEX(DivIndTrips,A50,3)),M75)*ValTimeAuto-O75*N75*ValTimeAuto)*(1+TTUprater)^($B75-YearCurrent)</f>
        <v>8860.9151999999885</v>
      </c>
      <c r="Q75" s="780">
        <f t="shared" si="13"/>
        <v>8860.9151999999885</v>
      </c>
      <c r="R75" s="370">
        <f t="shared" si="14"/>
        <v>4044.0060286766056</v>
      </c>
      <c r="S75" s="371"/>
      <c r="T75" s="378">
        <f>TREND(T56:T57,$B56:$B57,$B75)</f>
        <v>423.40000000000146</v>
      </c>
      <c r="V75" s="375">
        <f t="shared" si="15"/>
        <v>2043</v>
      </c>
      <c r="W75" s="378">
        <f t="shared" ca="1" si="11"/>
        <v>-2619.7874999999767</v>
      </c>
      <c r="X75" s="378">
        <f t="shared" ca="1" si="17"/>
        <v>449.86250000000291</v>
      </c>
      <c r="Y75" s="378">
        <f t="shared" ca="1" si="17"/>
        <v>7012.5625</v>
      </c>
      <c r="Z75" s="378">
        <f t="shared" ca="1" si="17"/>
        <v>20005.650000000023</v>
      </c>
      <c r="AA75" s="378">
        <f t="shared" ca="1" si="17"/>
        <v>53613.024999999907</v>
      </c>
      <c r="AB75" s="378">
        <f t="shared" ca="1" si="17"/>
        <v>61816.399999999907</v>
      </c>
    </row>
    <row r="76" spans="2:35" x14ac:dyDescent="0.2">
      <c r="B76" s="375">
        <f t="shared" si="16"/>
        <v>2043</v>
      </c>
      <c r="C76" s="401">
        <f>MAX(TREND(C56:C57,B56:B57,B76),0)</f>
        <v>13632.75</v>
      </c>
      <c r="D76" s="402">
        <f>MAX(TREND(D56:D57,B56:B57,B76),0)</f>
        <v>13322.5</v>
      </c>
      <c r="E76" s="403">
        <f>MAX(TREND(E56:E57,B56:B57,B76),0)</f>
        <v>1.45</v>
      </c>
      <c r="F76" s="404">
        <f>MAX(TREND(F56:F57,B56:B57,B76),0)</f>
        <v>1.45</v>
      </c>
      <c r="G76" s="401">
        <f>MAX(TREND(G56:G57,$B56:$B57,$B76),0)</f>
        <v>1</v>
      </c>
      <c r="H76" s="402">
        <f>MAX(TREND(H56:H57,$B56:$B57,$B76),0)</f>
        <v>1</v>
      </c>
      <c r="I76" s="405">
        <f>MIN(MAX(TREND(I56:I57,B56:B57,B76),0),1)</f>
        <v>0.24</v>
      </c>
      <c r="J76" s="772">
        <f>MIN(MAX(TREND(J56:J57,B56:B57,B76),0),1)</f>
        <v>0.24</v>
      </c>
      <c r="K76" s="401">
        <f>MAX(TREND(K56:K57,B56:B57,B76),0)</f>
        <v>0</v>
      </c>
      <c r="L76" s="402">
        <f>MAX(TREND(L56:L57,B56:B57,B76),0)</f>
        <v>0</v>
      </c>
      <c r="M76" s="403">
        <f>IFERROR(IF(INDEX(HwyTransitModelGroup,A50,1)=Hwy,C76*E76/G76,K76/G76),0)</f>
        <v>19767.487499999999</v>
      </c>
      <c r="N76" s="404">
        <f>IFERROR(IF(INDEX(HwyTransitModelGroup,A50,1)=Hwy,D76*F76/H76,L76/H76),0)</f>
        <v>19317.625</v>
      </c>
      <c r="O76" s="402">
        <f>TREND(O56:O57,$B56:$B57,$B76)</f>
        <v>1</v>
      </c>
      <c r="P76" s="998">
        <f>IF(INDEX(HwyTransitModelGroup,A50,1)=Hwy,G76*M76*(I76*ValTimeTruck+(1-I76)*ValTimeAuto)-O76*N76*(J76*ValTimeTruck+(1-J76)*ValTimeAuto),G76*IF(INDEX(NoTransit20,A50)=TRUE,INDEX(DivIndTrips,A50,4)/IF(INDEX(DivIndTrips,A50,3)=0,1,INDEX(DivIndTrips,A50,3)),M76)*ValTimeAuto-O76*N76*ValTimeAuto)*(1+TTUprater)^($B76-YearCurrent)</f>
        <v>9414.7223999999696</v>
      </c>
      <c r="Q76" s="780">
        <f t="shared" si="13"/>
        <v>9414.7223999999696</v>
      </c>
      <c r="R76" s="370">
        <f t="shared" si="14"/>
        <v>4131.4965437200808</v>
      </c>
      <c r="S76" s="371"/>
      <c r="T76" s="378">
        <f>TREND(T56:T57,$B56:$B57,$B76)</f>
        <v>449.86250000000291</v>
      </c>
      <c r="V76" s="375">
        <f t="shared" si="15"/>
        <v>2044</v>
      </c>
      <c r="W76" s="378">
        <f t="shared" ca="1" si="11"/>
        <v>-2805.0249999999651</v>
      </c>
      <c r="X76" s="378">
        <f t="shared" ca="1" si="17"/>
        <v>476.32500000000437</v>
      </c>
      <c r="Y76" s="378">
        <f t="shared" ca="1" si="17"/>
        <v>7144.875</v>
      </c>
      <c r="Z76" s="378">
        <f t="shared" ca="1" si="17"/>
        <v>20217.350000000035</v>
      </c>
      <c r="AA76" s="378">
        <f t="shared" ca="1" si="17"/>
        <v>55147.850000000093</v>
      </c>
      <c r="AB76" s="378">
        <f t="shared" ca="1" si="17"/>
        <v>63086.600000000093</v>
      </c>
    </row>
    <row r="77" spans="2:35" x14ac:dyDescent="0.2">
      <c r="B77" s="375">
        <f t="shared" si="16"/>
        <v>2044</v>
      </c>
      <c r="C77" s="401">
        <f>MAX(TREND(C56:C57,B56:B57,B77),0)</f>
        <v>13833.5</v>
      </c>
      <c r="D77" s="402">
        <f>MAX(TREND(D56:D57,B56:B57,B77),0)</f>
        <v>13505</v>
      </c>
      <c r="E77" s="403">
        <f>MAX(TREND(E56:E57,B56:B57,B77),0)</f>
        <v>1.45</v>
      </c>
      <c r="F77" s="404">
        <f>MAX(TREND(F56:F57,B56:B57,B77),0)</f>
        <v>1.45</v>
      </c>
      <c r="G77" s="401">
        <f>MAX(TREND(G56:G57,$B56:$B57,$B77),0)</f>
        <v>1</v>
      </c>
      <c r="H77" s="402">
        <f>MAX(TREND(H56:H57,$B56:$B57,$B77),0)</f>
        <v>1</v>
      </c>
      <c r="I77" s="405">
        <f>MIN(MAX(TREND(I56:I57,B56:B57,B77),0),1)</f>
        <v>0.24</v>
      </c>
      <c r="J77" s="772">
        <f>MIN(MAX(TREND(J56:J57,B56:B57,B77),0),1)</f>
        <v>0.24</v>
      </c>
      <c r="K77" s="401">
        <f>MAX(TREND(K56:K57,B56:B57,B77),0)</f>
        <v>0</v>
      </c>
      <c r="L77" s="402">
        <f>MAX(TREND(L56:L57,B56:B57,B77),0)</f>
        <v>0</v>
      </c>
      <c r="M77" s="403">
        <f>IFERROR(IF(INDEX(HwyTransitModelGroup,A50,1)=Hwy,C77*E77/G77,K77/G77),0)</f>
        <v>20058.575000000001</v>
      </c>
      <c r="N77" s="404">
        <f>IFERROR(IF(INDEX(HwyTransitModelGroup,A50,1)=Hwy,D77*F77/H77,L77/H77),0)</f>
        <v>19582.25</v>
      </c>
      <c r="O77" s="402">
        <f>TREND(O56:O57,$B56:$B57,$B77)</f>
        <v>1</v>
      </c>
      <c r="P77" s="998">
        <f>IF(INDEX(HwyTransitModelGroup,A50,1)=Hwy,G77*M77*(I77*ValTimeTruck+(1-I77)*ValTimeAuto)-O77*N77*(J77*ValTimeTruck+(1-J77)*ValTimeAuto),G77*IF(INDEX(NoTransit20,A50)=TRUE,INDEX(DivIndTrips,A50,4)/IF(INDEX(DivIndTrips,A50,3)=0,1,INDEX(DivIndTrips,A50,3)),M77)*ValTimeAuto-O77*N77*ValTimeAuto)*(1+TTUprater)^($B77-YearCurrent)</f>
        <v>9968.5296000000089</v>
      </c>
      <c r="Q77" s="780">
        <f t="shared" si="13"/>
        <v>9968.5296000000089</v>
      </c>
      <c r="R77" s="370">
        <f t="shared" si="14"/>
        <v>4206.2747617059822</v>
      </c>
      <c r="S77" s="371"/>
      <c r="T77" s="378">
        <f>TREND(T56:T57,$B56:$B57,$B77)</f>
        <v>476.32500000000437</v>
      </c>
      <c r="V77" s="375">
        <f t="shared" si="15"/>
        <v>2045</v>
      </c>
      <c r="W77" s="378">
        <f t="shared" ca="1" si="11"/>
        <v>-2990.2624999999534</v>
      </c>
      <c r="X77" s="378">
        <f t="shared" ca="1" si="17"/>
        <v>502.78750000000582</v>
      </c>
      <c r="Y77" s="378">
        <f t="shared" ca="1" si="17"/>
        <v>7277.1875</v>
      </c>
      <c r="Z77" s="378">
        <f t="shared" ca="1" si="17"/>
        <v>20429.050000000047</v>
      </c>
      <c r="AA77" s="378">
        <f t="shared" ca="1" si="17"/>
        <v>56682.674999999814</v>
      </c>
      <c r="AB77" s="378">
        <f t="shared" ca="1" si="17"/>
        <v>64356.799999999814</v>
      </c>
    </row>
    <row r="78" spans="2:35" x14ac:dyDescent="0.2">
      <c r="B78" s="375">
        <f t="shared" si="16"/>
        <v>2045</v>
      </c>
      <c r="C78" s="401">
        <f>MAX(TREND(C56:C57,B56:B57,B78),0)</f>
        <v>14034.25</v>
      </c>
      <c r="D78" s="402">
        <f>MAX(TREND(D56:D57,B56:B57,B78),0)</f>
        <v>13687.5</v>
      </c>
      <c r="E78" s="403">
        <f>MAX(TREND(E56:E57,B56:B57,B78),0)</f>
        <v>1.45</v>
      </c>
      <c r="F78" s="404">
        <f>MAX(TREND(F56:F57,B56:B57,B78),0)</f>
        <v>1.45</v>
      </c>
      <c r="G78" s="401">
        <f>MAX(TREND(G56:G57,$B56:$B57,$B78),0)</f>
        <v>1</v>
      </c>
      <c r="H78" s="402">
        <f>MAX(TREND(H56:H57,$B56:$B57,$B78),0)</f>
        <v>1</v>
      </c>
      <c r="I78" s="405">
        <f>MIN(MAX(TREND(I56:I57,B56:B57,B78),0),1)</f>
        <v>0.24</v>
      </c>
      <c r="J78" s="772">
        <f>MIN(MAX(TREND(J56:J57,B56:B57,B78),0),1)</f>
        <v>0.24</v>
      </c>
      <c r="K78" s="401">
        <f>MAX(TREND(K56:K57,B56:B57,B78),0)</f>
        <v>0</v>
      </c>
      <c r="L78" s="402">
        <f>MAX(TREND(L56:L57,B56:B57,B78),0)</f>
        <v>0</v>
      </c>
      <c r="M78" s="403">
        <f>IFERROR(IF(INDEX(HwyTransitModelGroup,A50,1)=Hwy,C78*E78/G78,K78/G78),0)</f>
        <v>20349.662499999999</v>
      </c>
      <c r="N78" s="404">
        <f>IFERROR(IF(INDEX(HwyTransitModelGroup,A50,1)=Hwy,D78*F78/H78,L78/H78),0)</f>
        <v>19846.875</v>
      </c>
      <c r="O78" s="402">
        <f>TREND(O56:O57,$B56:$B57,$B78)</f>
        <v>1</v>
      </c>
      <c r="P78" s="998">
        <f>IF(INDEX(HwyTransitModelGroup,A50,1)=Hwy,G78*M78*(I78*ValTimeTruck+(1-I78)*ValTimeAuto)-O78*N78*(J78*ValTimeTruck+(1-J78)*ValTimeAuto),G78*IF(INDEX(NoTransit20,A50)=TRUE,INDEX(DivIndTrips,A50,4)/IF(INDEX(DivIndTrips,A50,3)=0,1,INDEX(DivIndTrips,A50,3)),M78)*ValTimeAuto-O78*N78*ValTimeAuto)*(1+TTUprater)^($B78-YearCurrent)</f>
        <v>10522.33679999999</v>
      </c>
      <c r="Q78" s="780">
        <f t="shared" si="13"/>
        <v>10522.33679999999</v>
      </c>
      <c r="R78" s="370">
        <f t="shared" si="14"/>
        <v>4269.1891277998675</v>
      </c>
      <c r="S78" s="371"/>
      <c r="T78" s="378">
        <f>TREND(T56:T57,$B56:$B57,$B78)</f>
        <v>502.78750000000582</v>
      </c>
      <c r="V78" s="385"/>
      <c r="W78" s="389"/>
      <c r="X78" s="389"/>
      <c r="Y78" s="389"/>
      <c r="Z78" s="389"/>
      <c r="AA78" s="389"/>
      <c r="AB78" s="389"/>
    </row>
    <row r="79" spans="2:35" ht="20.25" x14ac:dyDescent="0.2">
      <c r="B79" s="385"/>
      <c r="C79" s="386"/>
      <c r="D79" s="386"/>
      <c r="E79" s="388"/>
      <c r="F79" s="388"/>
      <c r="G79" s="388"/>
      <c r="H79" s="388"/>
      <c r="I79" s="388"/>
      <c r="J79" s="388"/>
      <c r="K79" s="774"/>
      <c r="L79" s="774"/>
      <c r="M79" s="388"/>
      <c r="N79" s="388"/>
      <c r="O79" s="388"/>
      <c r="P79" s="388"/>
      <c r="Q79" s="388"/>
      <c r="R79" s="389"/>
      <c r="S79" s="390"/>
      <c r="T79" s="388"/>
      <c r="V79" s="407" t="s">
        <v>56</v>
      </c>
      <c r="W79" s="411">
        <f t="shared" ref="W79:AB79" ca="1" si="18">SUM(W58:W77)</f>
        <v>-24610.124999999534</v>
      </c>
      <c r="X79" s="411">
        <f t="shared" ca="1" si="18"/>
        <v>5027.8750000000582</v>
      </c>
      <c r="Y79" s="411">
        <f t="shared" ca="1" si="18"/>
        <v>120404.375</v>
      </c>
      <c r="Z79" s="411">
        <f t="shared" ca="1" si="18"/>
        <v>368358.00000000047</v>
      </c>
      <c r="AA79" s="411">
        <f t="shared" ca="1" si="18"/>
        <v>842036.74999999814</v>
      </c>
      <c r="AB79" s="411">
        <f t="shared" ca="1" si="18"/>
        <v>1045797.9999999981</v>
      </c>
      <c r="AI79" s="313"/>
    </row>
    <row r="80" spans="2:35" x14ac:dyDescent="0.2">
      <c r="B80" s="407" t="s">
        <v>56</v>
      </c>
      <c r="C80" s="413"/>
      <c r="D80" s="414"/>
      <c r="E80" s="414"/>
      <c r="F80" s="414"/>
      <c r="G80" s="414"/>
      <c r="H80" s="414"/>
      <c r="I80" s="414"/>
      <c r="J80" s="414"/>
      <c r="K80" s="414"/>
      <c r="L80" s="414"/>
      <c r="M80" s="414"/>
      <c r="N80" s="414"/>
      <c r="O80" s="414"/>
      <c r="P80" s="414"/>
      <c r="Q80" s="414"/>
      <c r="R80" s="409">
        <f>SUM(R59:R78)</f>
        <v>54926.929929907397</v>
      </c>
      <c r="S80" s="416"/>
      <c r="T80" s="411">
        <f>SUM(T59:T78)</f>
        <v>5027.8750000000582</v>
      </c>
      <c r="AI80" s="311"/>
    </row>
    <row r="81" spans="1:22" ht="15" x14ac:dyDescent="0.2">
      <c r="B81" s="2"/>
      <c r="C81" s="418"/>
      <c r="D81" s="2"/>
      <c r="E81" s="2"/>
      <c r="F81" s="2"/>
      <c r="G81" s="2"/>
      <c r="H81" s="2"/>
      <c r="I81" s="2"/>
      <c r="J81" s="2"/>
      <c r="K81" s="2"/>
      <c r="L81" s="2"/>
      <c r="M81" s="2"/>
      <c r="N81" s="2"/>
      <c r="O81" s="2"/>
      <c r="P81" s="2"/>
      <c r="Q81" s="2"/>
      <c r="R81" s="2"/>
      <c r="S81" s="2"/>
      <c r="V81" s="412" t="str">
        <f>IF(Induced="Y","","* Induced Travel Not Counted")</f>
        <v/>
      </c>
    </row>
    <row r="82" spans="1:22" ht="15" x14ac:dyDescent="0.25">
      <c r="A82" s="1">
        <f>MAX($A$1:A81)+1</f>
        <v>3</v>
      </c>
      <c r="B82" s="319" t="str">
        <f>IF(ISBLANK(INDEX(ModelGroup,A82,1)),"Not Used",INDEX(ModelGroup,A82,1))</f>
        <v>NB Off-ramp to Ave 280</v>
      </c>
      <c r="C82" s="2"/>
      <c r="D82" s="2"/>
      <c r="E82" s="2"/>
      <c r="F82" s="2"/>
      <c r="G82"/>
      <c r="H82"/>
      <c r="I82" s="320"/>
      <c r="J82" s="320"/>
      <c r="K82" s="320"/>
      <c r="L82" s="320"/>
      <c r="M82" s="320"/>
      <c r="N82" s="320"/>
      <c r="O82" s="320"/>
      <c r="P82" s="317"/>
      <c r="Q82" s="2"/>
      <c r="R82" s="2"/>
      <c r="S82" s="2"/>
    </row>
    <row r="83" spans="1:22" x14ac:dyDescent="0.2">
      <c r="B83" s="2"/>
      <c r="C83" s="38"/>
      <c r="D83" s="877"/>
      <c r="E83" s="38"/>
      <c r="F83" s="877"/>
      <c r="G83" s="877"/>
      <c r="H83" s="877"/>
      <c r="I83" s="38"/>
      <c r="J83" s="877"/>
      <c r="K83" s="38"/>
      <c r="L83" s="38"/>
      <c r="M83" s="2"/>
      <c r="N83" s="2"/>
      <c r="P83" s="2"/>
      <c r="Q83" s="2"/>
      <c r="R83" s="149"/>
      <c r="S83" s="149"/>
    </row>
    <row r="84" spans="1:22" ht="15.75" x14ac:dyDescent="0.2">
      <c r="A84" s="1776"/>
      <c r="B84" s="322"/>
      <c r="C84" s="323" t="s">
        <v>190</v>
      </c>
      <c r="D84" s="324"/>
      <c r="E84" s="323" t="s">
        <v>191</v>
      </c>
      <c r="F84" s="324"/>
      <c r="G84" s="323" t="str">
        <f>IF(INDEX(HwyTransitModelGroup,A82,1)=Hwy,"TOTAL VEHICLE TRIPS","TOTAL PERSON TRIPS")</f>
        <v>TOTAL VEHICLE TRIPS</v>
      </c>
      <c r="H84" s="324"/>
      <c r="I84" s="323" t="s">
        <v>192</v>
      </c>
      <c r="J84" s="324"/>
      <c r="K84" s="323" t="s">
        <v>193</v>
      </c>
      <c r="L84" s="324"/>
      <c r="M84" s="323" t="s">
        <v>194</v>
      </c>
      <c r="N84" s="324"/>
      <c r="O84" s="919" t="str">
        <f>IF(INDEX(HwyTransitModelGroup,A82,1)=Hwy,"TOTAL VEHICLE TRIPS","TOTAL PERSON TRIPS")</f>
        <v>TOTAL VEHICLE TRIPS</v>
      </c>
      <c r="P84" s="919" t="s">
        <v>195</v>
      </c>
      <c r="Q84" s="991"/>
      <c r="R84" s="330"/>
      <c r="S84" s="2"/>
      <c r="T84" s="331" t="s">
        <v>196</v>
      </c>
    </row>
    <row r="85" spans="1:22" ht="14.25" x14ac:dyDescent="0.2">
      <c r="A85" s="1776"/>
      <c r="B85" s="335"/>
      <c r="C85" s="336" t="s">
        <v>197</v>
      </c>
      <c r="D85" s="337"/>
      <c r="E85" s="338" t="s">
        <v>198</v>
      </c>
      <c r="F85" s="337"/>
      <c r="G85" s="338" t="s">
        <v>199</v>
      </c>
      <c r="H85" s="337"/>
      <c r="I85" s="764" t="s">
        <v>200</v>
      </c>
      <c r="J85" s="339"/>
      <c r="K85" s="765" t="s">
        <v>201</v>
      </c>
      <c r="L85" s="337"/>
      <c r="M85" s="777" t="s">
        <v>202</v>
      </c>
      <c r="N85" s="339"/>
      <c r="O85" s="920" t="s">
        <v>199</v>
      </c>
      <c r="P85" s="920" t="s">
        <v>203</v>
      </c>
      <c r="Q85" s="992"/>
      <c r="R85" s="343"/>
      <c r="S85" s="2"/>
      <c r="T85" s="920" t="s">
        <v>201</v>
      </c>
    </row>
    <row r="86" spans="1:22" ht="15" x14ac:dyDescent="0.2">
      <c r="A86" s="1776"/>
      <c r="B86" s="77" t="s">
        <v>34</v>
      </c>
      <c r="C86" s="348"/>
      <c r="D86" s="349"/>
      <c r="E86" s="348"/>
      <c r="F86" s="349"/>
      <c r="G86" s="348"/>
      <c r="H86" s="349"/>
      <c r="I86" s="348"/>
      <c r="J86" s="349"/>
      <c r="K86" s="348"/>
      <c r="L86" s="349"/>
      <c r="M86" s="348"/>
      <c r="N86" s="349"/>
      <c r="O86" s="921" t="s">
        <v>206</v>
      </c>
      <c r="P86" s="995" t="s">
        <v>207</v>
      </c>
      <c r="Q86" s="993" t="s">
        <v>208</v>
      </c>
      <c r="R86" s="347" t="s">
        <v>39</v>
      </c>
      <c r="S86" s="352"/>
      <c r="T86" s="353" t="s">
        <v>207</v>
      </c>
    </row>
    <row r="87" spans="1:22" ht="15" x14ac:dyDescent="0.2">
      <c r="A87" s="1776"/>
      <c r="B87" s="355"/>
      <c r="C87" s="356" t="s">
        <v>74</v>
      </c>
      <c r="D87" s="357" t="s">
        <v>125</v>
      </c>
      <c r="E87" s="356" t="s">
        <v>74</v>
      </c>
      <c r="F87" s="357" t="s">
        <v>125</v>
      </c>
      <c r="G87" s="356" t="s">
        <v>74</v>
      </c>
      <c r="H87" s="357" t="s">
        <v>125</v>
      </c>
      <c r="I87" s="356" t="s">
        <v>74</v>
      </c>
      <c r="J87" s="357" t="s">
        <v>125</v>
      </c>
      <c r="K87" s="356" t="s">
        <v>74</v>
      </c>
      <c r="L87" s="357" t="s">
        <v>125</v>
      </c>
      <c r="M87" s="348" t="s">
        <v>74</v>
      </c>
      <c r="N87" s="349" t="s">
        <v>125</v>
      </c>
      <c r="O87" s="94" t="s">
        <v>125</v>
      </c>
      <c r="P87" s="94" t="s">
        <v>211</v>
      </c>
      <c r="Q87" s="994" t="s">
        <v>48</v>
      </c>
      <c r="R87" s="360" t="s">
        <v>49</v>
      </c>
      <c r="S87" s="352"/>
      <c r="T87" s="361" t="s">
        <v>211</v>
      </c>
    </row>
    <row r="88" spans="1:22" x14ac:dyDescent="0.2">
      <c r="B88" s="363">
        <f>YearFirst</f>
        <v>2026</v>
      </c>
      <c r="C88" s="364">
        <f>IF(INDEX(HwyTransitModelGroup,A82,1)=Hwy,INDEX(ModelData1NB,A82,3),0)*AnnualFactor</f>
        <v>14965</v>
      </c>
      <c r="D88" s="365">
        <f>IF(INDEX(HwyTransitModelGroup,A82,1)=Hwy,INDEX(ModelData1B,A82,3),0)*AnnualFactor</f>
        <v>11680</v>
      </c>
      <c r="E88" s="972">
        <f>IF(INDEX(HwyTransitModelGroup,A82,1)=Hwy,INDEX(ModelData1NB,A82,8),0)</f>
        <v>1.45</v>
      </c>
      <c r="F88" s="973">
        <f>IF(INDEX(HwyTransitModelGroup,A82,1)=Hwy,INDEX(ModelData1B,A82,8),0)</f>
        <v>1.45</v>
      </c>
      <c r="G88" s="364">
        <f>IF(AND(INDEX(HwyTransitModelGroup,A82,1)=Hwy,INDEX(ModelData1NB,A82,1)=0),1,INDEX(ModelData1NB,A82,1)*AnnualFactor)</f>
        <v>1</v>
      </c>
      <c r="H88" s="365">
        <f>IF(AND(INDEX(HwyTransitModelGroup,A82,1)=Hwy,INDEX(ModelData1B,A82,1)=0),1,INDEX(ModelData1B,A82,1)*AnnualFactor)</f>
        <v>1</v>
      </c>
      <c r="I88" s="976">
        <f>IF(INDEX(HwyTransitModelGroup,A82,1)=Hwy,INDEX(ModelData1NB,A82,9),0)</f>
        <v>0.24</v>
      </c>
      <c r="J88" s="977">
        <f>IF(INDEX(HwyTransitModelGroup,A82,1)=Hwy,INDEX(ModelData1B,A82,9),0)</f>
        <v>0.24</v>
      </c>
      <c r="K88" s="364">
        <f>IF(INDEX(HwyTransitModelGroup,A82,1)=Hwy,0,INDEX(ModelData1NB,A82,5))*AnnualFactor</f>
        <v>0</v>
      </c>
      <c r="L88" s="365">
        <f>IF(INDEX(HwyTransitModelGroup,A82,1)=Hwy,0,INDEX(ModelData1B,A82,5))*AnnualFactor</f>
        <v>0</v>
      </c>
      <c r="M88" s="366">
        <f>IFERROR(IF(INDEX(HwyTransitModelGroup,A82,1)=Hwy,C88*E88/G88,K88/G88),0)</f>
        <v>21699.25</v>
      </c>
      <c r="N88" s="778">
        <f>IFERROR(IF(INDEX(HwyTransitModelGroup,A82,1)=Hwy,D88*F88/H88,L88/H88),0)</f>
        <v>16936</v>
      </c>
      <c r="O88" s="946">
        <f>$H88-INDEX(ModeShare1,A82)*SUMIF('Consumer Surplus'!$C$157:$C$160,INDEX(HwyTransitModelGroup,A82,1),'Consumer Surplus'!$G$157:$G$160)</f>
        <v>1</v>
      </c>
      <c r="P88" s="996">
        <f>IF(INDEX(HwyTransitModelGroup,A82,1)=Hwy,G88*M88*(I88*ValTimeTruck+(1-I88)*ValTimeAuto)-O88*N88*(J88*ValTimeTruck+(1-J88)*ValTimeAuto),G88*IF(INDEX(NoTransit1,A82)=TRUE,INDEX(DivIndTrips,A82,2)/IF(INDEX(DivIndTrips,A82,1)=0,1,INDEX(DivIndTrips,A82,1)),M88)*ValTimeAuto-O88*N88*ValTimeAuto)*(1+TTUprater)^($B88-YearCurrent)</f>
        <v>99685.296000000031</v>
      </c>
      <c r="Q88" s="780">
        <f>SUM(P88)</f>
        <v>99685.296000000031</v>
      </c>
      <c r="R88" s="370">
        <f>Q88/(1+DiscRate)^(B88-YearCurrent)</f>
        <v>85211.408804838778</v>
      </c>
      <c r="S88" s="371"/>
      <c r="T88" s="989">
        <f>IF(INDEX(HwyTransitModelGroup,A82,1)=Hwy,G88*M88-O88*N88,G88*IF(INDEX(NoTransit1,A82)=TRUE,INDEX(DivIndTrips,A82,2)/IF(INDEX(DivIndTrips,A82,1)=0,1,INDEX(DivIndTrips,A82,1)),M88)-O88*N88)</f>
        <v>4763.25</v>
      </c>
    </row>
    <row r="89" spans="1:22" x14ac:dyDescent="0.2">
      <c r="B89" s="379">
        <f>YearLast</f>
        <v>2046</v>
      </c>
      <c r="C89" s="380">
        <f>IF(INDEX(HwyTransitModelGroup,A82,1)=Hwy,INDEX(ModelData20NB,A82,3),0)*AnnualFactor</f>
        <v>21170</v>
      </c>
      <c r="D89" s="381">
        <f>IF(INDEX(HwyTransitModelGroup,A82,1)=Hwy,INDEX(ModelData20B,A82,3),0)*AnnualFactor</f>
        <v>16060</v>
      </c>
      <c r="E89" s="974">
        <f>IF(INDEX(HwyTransitModelGroup,A82,1)=Hwy,INDEX(ModelData20NB,A82,8),0)</f>
        <v>1.45</v>
      </c>
      <c r="F89" s="975">
        <f>IF(INDEX(HwyTransitModelGroup,A82,1)=Hwy,INDEX(ModelData20B,A82,8),0)</f>
        <v>1.45</v>
      </c>
      <c r="G89" s="380">
        <f>IF(AND(INDEX(HwyTransitModelGroup,A82,1)=Hwy,INDEX(ModelData20NB,A82,1)=0),1,INDEX(ModelData20NB,A82,1)*AnnualFactor)</f>
        <v>1</v>
      </c>
      <c r="H89" s="381">
        <f>IF(AND(INDEX(HwyTransitModelGroup,A82,1)=Hwy,INDEX(ModelData20B,A82,1)=0),1,INDEX(ModelData20B,A82,1)*AnnualFactor)</f>
        <v>1</v>
      </c>
      <c r="I89" s="978">
        <f>IF(INDEX(HwyTransitModelGroup,A82,1)=Hwy,INDEX(ModelData20NB,A82,9),0)</f>
        <v>0.24</v>
      </c>
      <c r="J89" s="979">
        <f>IF(INDEX(HwyTransitModelGroup,A82,1)=Hwy,INDEX(ModelData20B,A82,9),0)</f>
        <v>0.24</v>
      </c>
      <c r="K89" s="380">
        <f>IF(INDEX(HwyTransitModelGroup,A82,1)=Hwy,0,INDEX(ModelData20NB,A82,5))*AnnualFactor</f>
        <v>0</v>
      </c>
      <c r="L89" s="381">
        <f>IF(INDEX(HwyTransitModelGroup,A82,1)=Hwy,0,INDEX(ModelData20B,A82,5))*AnnualFactor</f>
        <v>0</v>
      </c>
      <c r="M89" s="382">
        <f>IFERROR(IF(INDEX(HwyTransitModelGroup,A82,1)=Hwy,C89*E89/G89,K89/G89),0)</f>
        <v>30696.5</v>
      </c>
      <c r="N89" s="779">
        <f>IFERROR(IF(INDEX(HwyTransitModelGroup,A82,1)=Hwy,D89*F89/H89,L89/H89),0)</f>
        <v>23287</v>
      </c>
      <c r="O89" s="947">
        <f>$H89-INDEX(ModeShare20,A82)*SUMIF('Consumer Surplus'!$C$157:$C$160,INDEX(HwyTransitModelGroup,A82,1),'Consumer Surplus'!$K$157:$K$160)</f>
        <v>1</v>
      </c>
      <c r="P89" s="703">
        <f>IF(INDEX(HwyTransitModelGroup,A82,1)=Hwy,G89*M89*(I89*ValTimeTruck+(1-I89)*ValTimeAuto)-O89*N89*(J89*ValTimeTruck+(1-J89)*ValTimeAuto),G89*IF(INDEX(NoTransit20,A82)=TRUE,INDEX(DivIndTrips,A82,4)/IF(INDEX(DivIndTrips,A82,3)=0,1,INDEX(DivIndTrips,A82,3)),M89)*ValTimeAuto-O89*N89*ValTimeAuto)*(1+TTUprater)^($B89-YearCurrent)</f>
        <v>155066.01600000006</v>
      </c>
      <c r="Q89" s="780">
        <f>SUM(P89)</f>
        <v>155066.01600000006</v>
      </c>
      <c r="R89" s="370">
        <f>Q89/(1+DiscRate)^(B89-YearCurrent)</f>
        <v>60494.582782589299</v>
      </c>
      <c r="S89" s="371"/>
      <c r="T89" s="990">
        <f>IF(INDEX(HwyTransitModelGroup,A82,1)=Hwy,G89*M89-O89*N89,G89*IF(INDEX(NoTransit1,A82)=TRUE,INDEX(DivIndTrips,A82,2)/IF(INDEX(DivIndTrips,A82,1)=0,1,INDEX(DivIndTrips,A82,1)),M89)-O89*N89)</f>
        <v>7409.5</v>
      </c>
    </row>
    <row r="90" spans="1:22" x14ac:dyDescent="0.2">
      <c r="B90" s="385"/>
      <c r="C90" s="386"/>
      <c r="D90" s="386"/>
      <c r="E90" s="387"/>
      <c r="F90" s="387"/>
      <c r="G90" s="387"/>
      <c r="H90" s="387"/>
      <c r="I90" s="388"/>
      <c r="J90" s="388"/>
      <c r="K90" s="773"/>
      <c r="L90" s="773"/>
      <c r="M90" s="774"/>
      <c r="N90" s="774"/>
      <c r="O90" s="774"/>
      <c r="P90" s="374"/>
      <c r="Q90" s="388"/>
      <c r="R90" s="389"/>
      <c r="S90" s="390"/>
      <c r="T90" s="391"/>
    </row>
    <row r="91" spans="1:22" x14ac:dyDescent="0.2">
      <c r="B91" s="375">
        <f>YearOpen</f>
        <v>2026</v>
      </c>
      <c r="C91" s="393">
        <f>MAX(TREND(C88:C89,B88:B89,B91),0)</f>
        <v>14965</v>
      </c>
      <c r="D91" s="394">
        <f>MAX(TREND(D88:D89,B88:B89,B91),0)</f>
        <v>11680</v>
      </c>
      <c r="E91" s="395">
        <f>MAX(TREND(E88:E89,B88:B89,B91),0)</f>
        <v>1.45</v>
      </c>
      <c r="F91" s="396">
        <f>MAX(TREND(F88:F89,B88:B89,B91),0)</f>
        <v>1.45</v>
      </c>
      <c r="G91" s="393">
        <f>MAX(TREND(G88:G89,$B88:$B89,$B91),0)</f>
        <v>1</v>
      </c>
      <c r="H91" s="394">
        <f>MAX(TREND(H88:H89,$B88:$B89,$B91),0)</f>
        <v>1</v>
      </c>
      <c r="I91" s="397">
        <f>MIN(MAX(TREND(I88:I89,B88:B89,B91),0),1)</f>
        <v>0.24</v>
      </c>
      <c r="J91" s="771">
        <f>MIN(MAX(TREND(J88:J89,B88:B89,B91),0),1)</f>
        <v>0.24</v>
      </c>
      <c r="K91" s="393">
        <f>MAX(TREND(K88:K89,B88:B89,B91),0)</f>
        <v>0</v>
      </c>
      <c r="L91" s="394">
        <f>MAX(TREND(L88:L89,B88:B89,B91),0)</f>
        <v>0</v>
      </c>
      <c r="M91" s="395">
        <f>IFERROR(IF(INDEX(HwyTransitModelGroup,A82,1)=Hwy,C91*E91/G91,K91/G91),0)</f>
        <v>21699.25</v>
      </c>
      <c r="N91" s="396">
        <f>IFERROR(IF(INDEX(HwyTransitModelGroup,A82,1)=Hwy,D91*F91/H91,L91/H91),0)</f>
        <v>16936</v>
      </c>
      <c r="O91" s="394">
        <f>TREND(O88:O89,$B88:$B89,$B91)</f>
        <v>1</v>
      </c>
      <c r="P91" s="997">
        <f>IF(INDEX(HwyTransitModelGroup,A82,1)=Hwy,G91*M91*(I91*ValTimeTruck+(1-I91)*ValTimeAuto)-O91*N91*(J91*ValTimeTruck+(1-J91)*ValTimeAuto),G91*IF(INDEX(NoTransit20,A82)=TRUE,INDEX(DivIndTrips,A82,4)/IF(INDEX(DivIndTrips,A82,3)=0,1,INDEX(DivIndTrips,A82,3)),M91)*ValTimeAuto-O91*N91*ValTimeAuto)*(1+TTUprater)^($B91-YearCurrent)</f>
        <v>99685.296000000031</v>
      </c>
      <c r="Q91" s="780">
        <f t="shared" ref="Q91:Q110" si="19">SUM(P91)</f>
        <v>99685.296000000031</v>
      </c>
      <c r="R91" s="370">
        <f t="shared" ref="R91:R110" si="20">Q91/(1+DiscRate)^(B91-YearCurrent)</f>
        <v>85211.408804838778</v>
      </c>
      <c r="S91" s="371"/>
      <c r="T91" s="1023">
        <f>TREND(T88:T89,$B88:$B89,$B91)</f>
        <v>4763.25</v>
      </c>
    </row>
    <row r="92" spans="1:22" x14ac:dyDescent="0.2">
      <c r="B92" s="375">
        <f>B91+1</f>
        <v>2027</v>
      </c>
      <c r="C92" s="401">
        <f>MAX(TREND(C88:C89,B88:B89,B92),0)</f>
        <v>15275.25</v>
      </c>
      <c r="D92" s="402">
        <f>MAX(TREND(D88:D89,B88:B89,B92),0)</f>
        <v>11899</v>
      </c>
      <c r="E92" s="403">
        <f>MAX(TREND(E88:E89,B88:B89,B92),0)</f>
        <v>1.45</v>
      </c>
      <c r="F92" s="404">
        <f>MAX(TREND(F88:F89,B88:B89,B92),0)</f>
        <v>1.45</v>
      </c>
      <c r="G92" s="401">
        <f>MAX(TREND(G88:G89,$B88:$B89,$B92),0)</f>
        <v>1</v>
      </c>
      <c r="H92" s="402">
        <f>MAX(TREND(H88:H89,$B88:$B89,$B92),0)</f>
        <v>1</v>
      </c>
      <c r="I92" s="405">
        <f>MIN(MAX(TREND(I88:I89,B88:B89,B92),0),1)</f>
        <v>0.24</v>
      </c>
      <c r="J92" s="772">
        <f>MIN(MAX(TREND(J88:J89,B88:B89,B92),0),1)</f>
        <v>0.24</v>
      </c>
      <c r="K92" s="401">
        <f>MAX(TREND(K88:K89,B88:B89,B92),0)</f>
        <v>0</v>
      </c>
      <c r="L92" s="402">
        <f>MAX(TREND(L88:L89,B88:B89,B92),0)</f>
        <v>0</v>
      </c>
      <c r="M92" s="403">
        <f>IFERROR(IF(INDEX(HwyTransitModelGroup,A82,1)=Hwy,C92*E92/G92,K92/G92),0)</f>
        <v>22149.112499999999</v>
      </c>
      <c r="N92" s="404">
        <f>IFERROR(IF(INDEX(HwyTransitModelGroup,A82,1)=Hwy,D92*F92/H92,L92/H92),0)</f>
        <v>17253.55</v>
      </c>
      <c r="O92" s="402">
        <f>TREND(O88:O89,$B88:$B89,$B92)</f>
        <v>1</v>
      </c>
      <c r="P92" s="998">
        <f>IF(INDEX(HwyTransitModelGroup,A82,1)=Hwy,G92*M92*(I92*ValTimeTruck+(1-I92)*ValTimeAuto)-O92*N92*(J92*ValTimeTruck+(1-J92)*ValTimeAuto),G92*IF(INDEX(NoTransit20,A82)=TRUE,INDEX(DivIndTrips,A82,4)/IF(INDEX(DivIndTrips,A82,3)=0,1,INDEX(DivIndTrips,A82,3)),M92)*ValTimeAuto-O92*N92*ValTimeAuto)*(1+TTUprater)^($B92-YearCurrent)</f>
        <v>102454.33199999999</v>
      </c>
      <c r="Q92" s="780">
        <f t="shared" si="19"/>
        <v>102454.33199999999</v>
      </c>
      <c r="R92" s="370">
        <f t="shared" si="20"/>
        <v>84209.992675722038</v>
      </c>
      <c r="S92" s="371"/>
      <c r="T92" s="378">
        <f>TREND(T88:T89,$B88:$B89,$B92)</f>
        <v>4895.5625</v>
      </c>
    </row>
    <row r="93" spans="1:22" x14ac:dyDescent="0.2">
      <c r="B93" s="375">
        <f t="shared" ref="B93:B110" si="21">B92+1</f>
        <v>2028</v>
      </c>
      <c r="C93" s="401">
        <f>MAX(TREND(C88:C89,B88:B89,B93),0)</f>
        <v>15585.5</v>
      </c>
      <c r="D93" s="402">
        <f>MAX(TREND(D88:D89,B88:B89,B93),0)</f>
        <v>12118</v>
      </c>
      <c r="E93" s="403">
        <f>MAX(TREND(E88:E89,B88:B89,B93),0)</f>
        <v>1.45</v>
      </c>
      <c r="F93" s="404">
        <f>MAX(TREND(F88:F89,B88:B89,B93),0)</f>
        <v>1.45</v>
      </c>
      <c r="G93" s="401">
        <f>MAX(TREND(G88:G89,$B88:$B89,$B93),0)</f>
        <v>1</v>
      </c>
      <c r="H93" s="402">
        <f>MAX(TREND(H88:H89,$B88:$B89,$B93),0)</f>
        <v>1</v>
      </c>
      <c r="I93" s="405">
        <f>MIN(MAX(TREND(I88:I89,B88:B89,B93),0),1)</f>
        <v>0.24</v>
      </c>
      <c r="J93" s="772">
        <f>MIN(MAX(TREND(J88:J89,B88:B89,B93),0),1)</f>
        <v>0.24</v>
      </c>
      <c r="K93" s="401">
        <f>MAX(TREND(K88:K89,B88:B89,B93),0)</f>
        <v>0</v>
      </c>
      <c r="L93" s="402">
        <f>MAX(TREND(L88:L89,B88:B89,B93),0)</f>
        <v>0</v>
      </c>
      <c r="M93" s="403">
        <f>IFERROR(IF(INDEX(HwyTransitModelGroup,A82,1)=Hwy,C93*E93/G93,K93/G93),0)</f>
        <v>22598.974999999999</v>
      </c>
      <c r="N93" s="404">
        <f>IFERROR(IF(INDEX(HwyTransitModelGroup,A82,1)=Hwy,D93*F93/H93,L93/H93),0)</f>
        <v>17571.099999999999</v>
      </c>
      <c r="O93" s="402">
        <f>TREND(O88:O89,$B88:$B89,$B93)</f>
        <v>1</v>
      </c>
      <c r="P93" s="998">
        <f>IF(INDEX(HwyTransitModelGroup,A82,1)=Hwy,G93*M93*(I93*ValTimeTruck+(1-I93)*ValTimeAuto)-O93*N93*(J93*ValTimeTruck+(1-J93)*ValTimeAuto),G93*IF(INDEX(NoTransit20,A82)=TRUE,INDEX(DivIndTrips,A82,4)/IF(INDEX(DivIndTrips,A82,3)=0,1,INDEX(DivIndTrips,A82,3)),M93)*ValTimeAuto-O93*N93*ValTimeAuto)*(1+TTUprater)^($B93-YearCurrent)</f>
        <v>105223.36800000007</v>
      </c>
      <c r="Q93" s="780">
        <f t="shared" si="19"/>
        <v>105223.36800000007</v>
      </c>
      <c r="R93" s="370">
        <f t="shared" si="20"/>
        <v>83159.55617664865</v>
      </c>
      <c r="S93" s="371"/>
      <c r="T93" s="378">
        <f>TREND(T88:T89,$B88:$B89,$B93)</f>
        <v>5027.875</v>
      </c>
    </row>
    <row r="94" spans="1:22" x14ac:dyDescent="0.2">
      <c r="B94" s="375">
        <f t="shared" si="21"/>
        <v>2029</v>
      </c>
      <c r="C94" s="401">
        <f>MAX(TREND(C88:C89,B88:B89,B94),0)</f>
        <v>15895.75</v>
      </c>
      <c r="D94" s="402">
        <f>MAX(TREND(D88:D89,B88:B89,B94),0)</f>
        <v>12337</v>
      </c>
      <c r="E94" s="403">
        <f>MAX(TREND(E88:E89,B88:B89,B94),0)</f>
        <v>1.45</v>
      </c>
      <c r="F94" s="404">
        <f>MAX(TREND(F88:F89,B88:B89,B94),0)</f>
        <v>1.45</v>
      </c>
      <c r="G94" s="401">
        <f>MAX(TREND(G88:G89,$B88:$B89,$B94),0)</f>
        <v>1</v>
      </c>
      <c r="H94" s="402">
        <f>MAX(TREND(H88:H89,$B88:$B89,$B94),0)</f>
        <v>1</v>
      </c>
      <c r="I94" s="405">
        <f>MIN(MAX(TREND(I88:I89,B88:B89,B94),0),1)</f>
        <v>0.24</v>
      </c>
      <c r="J94" s="772">
        <f>MIN(MAX(TREND(J88:J89,B88:B89,B94),0),1)</f>
        <v>0.24</v>
      </c>
      <c r="K94" s="401">
        <f>MAX(TREND(K88:K89,B88:B89,B94),0)</f>
        <v>0</v>
      </c>
      <c r="L94" s="402">
        <f>MAX(TREND(L88:L89,B88:B89,B94),0)</f>
        <v>0</v>
      </c>
      <c r="M94" s="403">
        <f>IFERROR(IF(INDEX(HwyTransitModelGroup,A82,1)=Hwy,C94*E94/G94,K94/G94),0)</f>
        <v>23048.837499999998</v>
      </c>
      <c r="N94" s="404">
        <f>IFERROR(IF(INDEX(HwyTransitModelGroup,A82,1)=Hwy,D94*F94/H94,L94/H94),0)</f>
        <v>17888.649999999998</v>
      </c>
      <c r="O94" s="402">
        <f>TREND(O88:O89,$B88:$B89,$B94)</f>
        <v>1</v>
      </c>
      <c r="P94" s="998">
        <f>IF(INDEX(HwyTransitModelGroup,A82,1)=Hwy,G94*M94*(I94*ValTimeTruck+(1-I94)*ValTimeAuto)-O94*N94*(J94*ValTimeTruck+(1-J94)*ValTimeAuto),G94*IF(INDEX(NoTransit20,A82)=TRUE,INDEX(DivIndTrips,A82,4)/IF(INDEX(DivIndTrips,A82,3)=0,1,INDEX(DivIndTrips,A82,3)),M94)*ValTimeAuto-O94*N94*ValTimeAuto)*(1+TTUprater)^($B94-YearCurrent)</f>
        <v>107992.40400000004</v>
      </c>
      <c r="Q94" s="780">
        <f t="shared" si="19"/>
        <v>107992.40400000004</v>
      </c>
      <c r="R94" s="370">
        <f t="shared" si="20"/>
        <v>82065.351490113782</v>
      </c>
      <c r="S94" s="371"/>
      <c r="T94" s="378">
        <f>TREND(T88:T89,$B88:$B89,$B94)</f>
        <v>5160.1875</v>
      </c>
    </row>
    <row r="95" spans="1:22" x14ac:dyDescent="0.2">
      <c r="B95" s="375">
        <f t="shared" si="21"/>
        <v>2030</v>
      </c>
      <c r="C95" s="401">
        <f>MAX(TREND(C88:C89,B88:B89,B95),0)</f>
        <v>16206</v>
      </c>
      <c r="D95" s="402">
        <f>MAX(TREND(D88:D89,B88:B89,B95),0)</f>
        <v>12556</v>
      </c>
      <c r="E95" s="403">
        <f>MAX(TREND(E88:E89,B88:B89,B95),0)</f>
        <v>1.45</v>
      </c>
      <c r="F95" s="404">
        <f>MAX(TREND(F88:F89,B88:B89,B95),0)</f>
        <v>1.45</v>
      </c>
      <c r="G95" s="401">
        <f>MAX(TREND(G88:G89,$B88:$B89,$B95),0)</f>
        <v>1</v>
      </c>
      <c r="H95" s="402">
        <f>MAX(TREND(H88:H89,$B88:$B89,$B95),0)</f>
        <v>1</v>
      </c>
      <c r="I95" s="405">
        <f>MIN(MAX(TREND(I88:I89,B88:B89,B95),0),1)</f>
        <v>0.24</v>
      </c>
      <c r="J95" s="772">
        <f>MIN(MAX(TREND(J88:J89,B88:B89,B95),0),1)</f>
        <v>0.24</v>
      </c>
      <c r="K95" s="401">
        <f>MAX(TREND(K88:K89,B88:B89,B95),0)</f>
        <v>0</v>
      </c>
      <c r="L95" s="402">
        <f>MAX(TREND(L88:L89,B88:B89,B95),0)</f>
        <v>0</v>
      </c>
      <c r="M95" s="403">
        <f>IFERROR(IF(INDEX(HwyTransitModelGroup,A82,1)=Hwy,C95*E95/G95,K95/G95),0)</f>
        <v>23498.7</v>
      </c>
      <c r="N95" s="404">
        <f>IFERROR(IF(INDEX(HwyTransitModelGroup,A82,1)=Hwy,D95*F95/H95,L95/H95),0)</f>
        <v>18206.2</v>
      </c>
      <c r="O95" s="402">
        <f>TREND(O88:O89,$B88:$B89,$B95)</f>
        <v>1</v>
      </c>
      <c r="P95" s="998">
        <f>IF(INDEX(HwyTransitModelGroup,A82,1)=Hwy,G95*M95*(I95*ValTimeTruck+(1-I95)*ValTimeAuto)-O95*N95*(J95*ValTimeTruck+(1-J95)*ValTimeAuto),G95*IF(INDEX(NoTransit20,A82)=TRUE,INDEX(DivIndTrips,A82,4)/IF(INDEX(DivIndTrips,A82,3)=0,1,INDEX(DivIndTrips,A82,3)),M95)*ValTimeAuto-O95*N95*ValTimeAuto)*(1+TTUprater)^($B95-YearCurrent)</f>
        <v>110761.44</v>
      </c>
      <c r="Q95" s="780">
        <f t="shared" si="19"/>
        <v>110761.44</v>
      </c>
      <c r="R95" s="370">
        <f t="shared" si="20"/>
        <v>80932.299299914928</v>
      </c>
      <c r="S95" s="371"/>
      <c r="T95" s="378">
        <f>TREND(T88:T89,$B88:$B89,$B95)</f>
        <v>5292.5</v>
      </c>
    </row>
    <row r="96" spans="1:22" x14ac:dyDescent="0.2">
      <c r="B96" s="375">
        <f t="shared" si="21"/>
        <v>2031</v>
      </c>
      <c r="C96" s="401">
        <f>MAX(TREND(C88:C89,B88:B89,B96),0)</f>
        <v>16516.25</v>
      </c>
      <c r="D96" s="402">
        <f>MAX(TREND(D88:D89,B88:B89,B96),0)</f>
        <v>12775</v>
      </c>
      <c r="E96" s="403">
        <f>MAX(TREND(E88:E89,B88:B89,B96),0)</f>
        <v>1.45</v>
      </c>
      <c r="F96" s="404">
        <f>MAX(TREND(F88:F89,B88:B89,B96),0)</f>
        <v>1.45</v>
      </c>
      <c r="G96" s="401">
        <f>MAX(TREND(G88:G89,$B88:$B89,$B96),0)</f>
        <v>1</v>
      </c>
      <c r="H96" s="402">
        <f>MAX(TREND(H88:H89,$B88:$B89,$B96),0)</f>
        <v>1</v>
      </c>
      <c r="I96" s="405">
        <f>MIN(MAX(TREND(I88:I89,B88:B89,B96),0),1)</f>
        <v>0.24</v>
      </c>
      <c r="J96" s="772">
        <f>MIN(MAX(TREND(J88:J89,B88:B89,B96),0),1)</f>
        <v>0.24</v>
      </c>
      <c r="K96" s="401">
        <f>MAX(TREND(K88:K89,B88:B89,B96),0)</f>
        <v>0</v>
      </c>
      <c r="L96" s="402">
        <f>MAX(TREND(L88:L89,B88:B89,B96),0)</f>
        <v>0</v>
      </c>
      <c r="M96" s="403">
        <f>IFERROR(IF(INDEX(HwyTransitModelGroup,A82,1)=Hwy,C96*E96/G96,K96/G96),0)</f>
        <v>23948.5625</v>
      </c>
      <c r="N96" s="404">
        <f>IFERROR(IF(INDEX(HwyTransitModelGroup,A82,1)=Hwy,D96*F96/H96,L96/H96),0)</f>
        <v>18523.75</v>
      </c>
      <c r="O96" s="402">
        <f>TREND(O88:O89,$B88:$B89,$B96)</f>
        <v>1</v>
      </c>
      <c r="P96" s="998">
        <f>IF(INDEX(HwyTransitModelGroup,A82,1)=Hwy,G96*M96*(I96*ValTimeTruck+(1-I96)*ValTimeAuto)-O96*N96*(J96*ValTimeTruck+(1-J96)*ValTimeAuto),G96*IF(INDEX(NoTransit20,A82)=TRUE,INDEX(DivIndTrips,A82,4)/IF(INDEX(DivIndTrips,A82,3)=0,1,INDEX(DivIndTrips,A82,3)),M96)*ValTimeAuto-O96*N96*ValTimeAuto)*(1+TTUprater)^($B96-YearCurrent)</f>
        <v>113530.47600000002</v>
      </c>
      <c r="Q96" s="780">
        <f t="shared" si="19"/>
        <v>113530.47600000002</v>
      </c>
      <c r="R96" s="370">
        <f t="shared" si="20"/>
        <v>79765.006521550778</v>
      </c>
      <c r="S96" s="371"/>
      <c r="T96" s="378">
        <f>TREND(T88:T89,$B88:$B89,$B96)</f>
        <v>5424.8125</v>
      </c>
    </row>
    <row r="97" spans="2:20" x14ac:dyDescent="0.2">
      <c r="B97" s="375">
        <f t="shared" si="21"/>
        <v>2032</v>
      </c>
      <c r="C97" s="401">
        <f>MAX(TREND(C88:C89,B88:B89,B97),0)</f>
        <v>16826.5</v>
      </c>
      <c r="D97" s="402">
        <f>MAX(TREND(D88:D89,B88:B89,B97),0)</f>
        <v>12994</v>
      </c>
      <c r="E97" s="403">
        <f>MAX(TREND(E88:E89,B88:B89,B97),0)</f>
        <v>1.45</v>
      </c>
      <c r="F97" s="404">
        <f>MAX(TREND(F88:F89,B88:B89,B97),0)</f>
        <v>1.45</v>
      </c>
      <c r="G97" s="401">
        <f>MAX(TREND(G88:G89,$B88:$B89,$B97),0)</f>
        <v>1</v>
      </c>
      <c r="H97" s="402">
        <f>MAX(TREND(H88:H89,$B88:$B89,$B97),0)</f>
        <v>1</v>
      </c>
      <c r="I97" s="405">
        <f>MIN(MAX(TREND(I88:I89,B88:B89,B97),0),1)</f>
        <v>0.24</v>
      </c>
      <c r="J97" s="772">
        <f>MIN(MAX(TREND(J88:J89,B88:B89,B97),0),1)</f>
        <v>0.24</v>
      </c>
      <c r="K97" s="401">
        <f>MAX(TREND(K88:K89,B88:B89,B97),0)</f>
        <v>0</v>
      </c>
      <c r="L97" s="402">
        <f>MAX(TREND(L88:L89,B88:B89,B97),0)</f>
        <v>0</v>
      </c>
      <c r="M97" s="403">
        <f>IFERROR(IF(INDEX(HwyTransitModelGroup,A82,1)=Hwy,C97*E97/G97,K97/G97),0)</f>
        <v>24398.424999999999</v>
      </c>
      <c r="N97" s="404">
        <f>IFERROR(IF(INDEX(HwyTransitModelGroup,A82,1)=Hwy,D97*F97/H97,L97/H97),0)</f>
        <v>18841.3</v>
      </c>
      <c r="O97" s="402">
        <f>TREND(O88:O89,$B88:$B89,$B97)</f>
        <v>1</v>
      </c>
      <c r="P97" s="998">
        <f>IF(INDEX(HwyTransitModelGroup,A82,1)=Hwy,G97*M97*(I97*ValTimeTruck+(1-I97)*ValTimeAuto)-O97*N97*(J97*ValTimeTruck+(1-J97)*ValTimeAuto),G97*IF(INDEX(NoTransit20,A82)=TRUE,INDEX(DivIndTrips,A82,4)/IF(INDEX(DivIndTrips,A82,3)=0,1,INDEX(DivIndTrips,A82,3)),M97)*ValTimeAuto-O97*N97*ValTimeAuto)*(1+TTUprater)^($B97-YearCurrent)</f>
        <v>116299.51200000005</v>
      </c>
      <c r="Q97" s="780">
        <f t="shared" si="19"/>
        <v>116299.51200000005</v>
      </c>
      <c r="R97" s="370">
        <f t="shared" si="20"/>
        <v>78567.783159126018</v>
      </c>
      <c r="S97" s="371"/>
      <c r="T97" s="378">
        <f>TREND(T88:T89,$B88:$B89,$B97)</f>
        <v>5557.125</v>
      </c>
    </row>
    <row r="98" spans="2:20" x14ac:dyDescent="0.2">
      <c r="B98" s="375">
        <f t="shared" si="21"/>
        <v>2033</v>
      </c>
      <c r="C98" s="401">
        <f>MAX(TREND(C88:C89,B88:B89,B98),0)</f>
        <v>17136.75</v>
      </c>
      <c r="D98" s="402">
        <f>MAX(TREND(D88:D89,B88:B89,B98),0)</f>
        <v>13213</v>
      </c>
      <c r="E98" s="403">
        <f>MAX(TREND(E88:E89,B88:B89,B98),0)</f>
        <v>1.45</v>
      </c>
      <c r="F98" s="404">
        <f>MAX(TREND(F88:F89,B88:B89,B98),0)</f>
        <v>1.45</v>
      </c>
      <c r="G98" s="401">
        <f>MAX(TREND(G88:G89,$B88:$B89,$B98),0)</f>
        <v>1</v>
      </c>
      <c r="H98" s="402">
        <f>MAX(TREND(H88:H89,$B88:$B89,$B98),0)</f>
        <v>1</v>
      </c>
      <c r="I98" s="405">
        <f>MIN(MAX(TREND(I88:I89,B88:B89,B98),0),1)</f>
        <v>0.24</v>
      </c>
      <c r="J98" s="772">
        <f>MIN(MAX(TREND(J88:J89,B88:B89,B98),0),1)</f>
        <v>0.24</v>
      </c>
      <c r="K98" s="401">
        <f>MAX(TREND(K88:K89,B88:B89,B98),0)</f>
        <v>0</v>
      </c>
      <c r="L98" s="402">
        <f>MAX(TREND(L88:L89,B88:B89,B98),0)</f>
        <v>0</v>
      </c>
      <c r="M98" s="403">
        <f>IFERROR(IF(INDEX(HwyTransitModelGroup,A82,1)=Hwy,C98*E98/G98,K98/G98),0)</f>
        <v>24848.287499999999</v>
      </c>
      <c r="N98" s="404">
        <f>IFERROR(IF(INDEX(HwyTransitModelGroup,A82,1)=Hwy,D98*F98/H98,L98/H98),0)</f>
        <v>19158.849999999999</v>
      </c>
      <c r="O98" s="402">
        <f>TREND(O88:O89,$B88:$B89,$B98)</f>
        <v>1</v>
      </c>
      <c r="P98" s="998">
        <f>IF(INDEX(HwyTransitModelGroup,A82,1)=Hwy,G98*M98*(I98*ValTimeTruck+(1-I98)*ValTimeAuto)-O98*N98*(J98*ValTimeTruck+(1-J98)*ValTimeAuto),G98*IF(INDEX(NoTransit20,A82)=TRUE,INDEX(DivIndTrips,A82,4)/IF(INDEX(DivIndTrips,A82,3)=0,1,INDEX(DivIndTrips,A82,3)),M98)*ValTimeAuto-O98*N98*ValTimeAuto)*(1+TTUprater)^($B98-YearCurrent)</f>
        <v>119068.54800000001</v>
      </c>
      <c r="Q98" s="780">
        <f t="shared" si="19"/>
        <v>119068.54800000001</v>
      </c>
      <c r="R98" s="370">
        <f t="shared" si="20"/>
        <v>77344.658329725688</v>
      </c>
      <c r="S98" s="371"/>
      <c r="T98" s="378">
        <f>TREND(T88:T89,$B88:$B89,$B98)</f>
        <v>5689.4375</v>
      </c>
    </row>
    <row r="99" spans="2:20" x14ac:dyDescent="0.2">
      <c r="B99" s="375">
        <f t="shared" si="21"/>
        <v>2034</v>
      </c>
      <c r="C99" s="401">
        <f>MAX(TREND(C88:C89,B88:B89,B99),0)</f>
        <v>17447</v>
      </c>
      <c r="D99" s="402">
        <f>MAX(TREND(D88:D89,B88:B89,B99),0)</f>
        <v>13432</v>
      </c>
      <c r="E99" s="403">
        <f>MAX(TREND(E88:E89,B88:B89,B99),0)</f>
        <v>1.45</v>
      </c>
      <c r="F99" s="404">
        <f>MAX(TREND(F88:F89,B88:B89,B99),0)</f>
        <v>1.45</v>
      </c>
      <c r="G99" s="401">
        <f>MAX(TREND(G88:G89,$B88:$B89,$B99),0)</f>
        <v>1</v>
      </c>
      <c r="H99" s="402">
        <f>MAX(TREND(H88:H89,$B88:$B89,$B99),0)</f>
        <v>1</v>
      </c>
      <c r="I99" s="405">
        <f>MIN(MAX(TREND(I88:I89,B88:B89,B99),0),1)</f>
        <v>0.24</v>
      </c>
      <c r="J99" s="772">
        <f>MIN(MAX(TREND(J88:J89,B88:B89,B99),0),1)</f>
        <v>0.24</v>
      </c>
      <c r="K99" s="401">
        <f>MAX(TREND(K88:K89,B88:B89,B99),0)</f>
        <v>0</v>
      </c>
      <c r="L99" s="402">
        <f>MAX(TREND(L88:L89,B88:B89,B99),0)</f>
        <v>0</v>
      </c>
      <c r="M99" s="403">
        <f>IFERROR(IF(INDEX(HwyTransitModelGroup,A82,1)=Hwy,C99*E99/G99,K99/G99),0)</f>
        <v>25298.149999999998</v>
      </c>
      <c r="N99" s="404">
        <f>IFERROR(IF(INDEX(HwyTransitModelGroup,A82,1)=Hwy,D99*F99/H99,L99/H99),0)</f>
        <v>19476.399999999998</v>
      </c>
      <c r="O99" s="402">
        <f>TREND(O88:O89,$B88:$B89,$B99)</f>
        <v>1</v>
      </c>
      <c r="P99" s="998">
        <f>IF(INDEX(HwyTransitModelGroup,A82,1)=Hwy,G99*M99*(I99*ValTimeTruck+(1-I99)*ValTimeAuto)-O99*N99*(J99*ValTimeTruck+(1-J99)*ValTimeAuto),G99*IF(INDEX(NoTransit20,A82)=TRUE,INDEX(DivIndTrips,A82,4)/IF(INDEX(DivIndTrips,A82,3)=0,1,INDEX(DivIndTrips,A82,3)),M99)*ValTimeAuto-O99*N99*ValTimeAuto)*(1+TTUprater)^($B99-YearCurrent)</f>
        <v>121837.58400000003</v>
      </c>
      <c r="Q99" s="780">
        <f t="shared" si="19"/>
        <v>121837.58400000003</v>
      </c>
      <c r="R99" s="370">
        <f t="shared" si="20"/>
        <v>76099.395494363373</v>
      </c>
      <c r="S99" s="371"/>
      <c r="T99" s="378">
        <f>TREND(T88:T89,$B88:$B89,$B99)</f>
        <v>5821.75</v>
      </c>
    </row>
    <row r="100" spans="2:20" x14ac:dyDescent="0.2">
      <c r="B100" s="375">
        <f t="shared" si="21"/>
        <v>2035</v>
      </c>
      <c r="C100" s="401">
        <f>MAX(TREND(C88:C89,B88:B89,B100),0)</f>
        <v>17757.25</v>
      </c>
      <c r="D100" s="402">
        <f>MAX(TREND(D88:D89,B88:B89,B100),0)</f>
        <v>13651</v>
      </c>
      <c r="E100" s="403">
        <f>MAX(TREND(E88:E89,B88:B89,B100),0)</f>
        <v>1.45</v>
      </c>
      <c r="F100" s="404">
        <f>MAX(TREND(F88:F89,B88:B89,B100),0)</f>
        <v>1.45</v>
      </c>
      <c r="G100" s="401">
        <f>MAX(TREND(G88:G89,$B88:$B89,$B100),0)</f>
        <v>1</v>
      </c>
      <c r="H100" s="402">
        <f>MAX(TREND(H88:H89,$B88:$B89,$B100),0)</f>
        <v>1</v>
      </c>
      <c r="I100" s="405">
        <f>MIN(MAX(TREND(I88:I89,B88:B89,B100),0),1)</f>
        <v>0.24</v>
      </c>
      <c r="J100" s="772">
        <f>MIN(MAX(TREND(J88:J89,B88:B89,B100),0),1)</f>
        <v>0.24</v>
      </c>
      <c r="K100" s="401">
        <f>MAX(TREND(K88:K89,B88:B89,B100),0)</f>
        <v>0</v>
      </c>
      <c r="L100" s="402">
        <f>MAX(TREND(L88:L89,B88:B89,B100),0)</f>
        <v>0</v>
      </c>
      <c r="M100" s="403">
        <f>IFERROR(IF(INDEX(HwyTransitModelGroup,A82,1)=Hwy,C100*E100/G100,K100/G100),0)</f>
        <v>25748.012500000001</v>
      </c>
      <c r="N100" s="404">
        <f>IFERROR(IF(INDEX(HwyTransitModelGroup,A82,1)=Hwy,D100*F100/H100,L100/H100),0)</f>
        <v>19793.95</v>
      </c>
      <c r="O100" s="402">
        <f>TREND(O88:O89,$B88:$B89,$B100)</f>
        <v>1</v>
      </c>
      <c r="P100" s="998">
        <f>IF(INDEX(HwyTransitModelGroup,A82,1)=Hwy,G100*M100*(I100*ValTimeTruck+(1-I100)*ValTimeAuto)-O100*N100*(J100*ValTimeTruck+(1-J100)*ValTimeAuto),G100*IF(INDEX(NoTransit20,A82)=TRUE,INDEX(DivIndTrips,A82,4)/IF(INDEX(DivIndTrips,A82,3)=0,1,INDEX(DivIndTrips,A82,3)),M100)*ValTimeAuto-O100*N100*ValTimeAuto)*(1+TTUprater)^($B100-YearCurrent)</f>
        <v>124606.62000000005</v>
      </c>
      <c r="Q100" s="780">
        <f t="shared" si="19"/>
        <v>124606.62000000005</v>
      </c>
      <c r="R100" s="370">
        <f t="shared" si="20"/>
        <v>74835.506932831122</v>
      </c>
      <c r="S100" s="371"/>
      <c r="T100" s="378">
        <f>TREND(T88:T89,$B88:$B89,$B100)</f>
        <v>5954.0625</v>
      </c>
    </row>
    <row r="101" spans="2:20" x14ac:dyDescent="0.2">
      <c r="B101" s="375">
        <f t="shared" si="21"/>
        <v>2036</v>
      </c>
      <c r="C101" s="401">
        <f>MAX(TREND(C88:C89,B88:B89,B101),0)</f>
        <v>18067.5</v>
      </c>
      <c r="D101" s="402">
        <f>MAX(TREND(D88:D89,B88:B89,B101),0)</f>
        <v>13870</v>
      </c>
      <c r="E101" s="403">
        <f>MAX(TREND(E88:E89,B88:B89,B101),0)</f>
        <v>1.45</v>
      </c>
      <c r="F101" s="404">
        <f>MAX(TREND(F88:F89,B88:B89,B101),0)</f>
        <v>1.45</v>
      </c>
      <c r="G101" s="401">
        <f>MAX(TREND(G88:G89,$B88:$B89,$B101),0)</f>
        <v>1</v>
      </c>
      <c r="H101" s="402">
        <f>MAX(TREND(H88:H89,$B88:$B89,$B101),0)</f>
        <v>1</v>
      </c>
      <c r="I101" s="405">
        <f>MIN(MAX(TREND(I88:I89,B88:B89,B101),0),1)</f>
        <v>0.24</v>
      </c>
      <c r="J101" s="772">
        <f>MIN(MAX(TREND(J88:J89,B88:B89,B101),0),1)</f>
        <v>0.24</v>
      </c>
      <c r="K101" s="401">
        <f>MAX(TREND(K88:K89,B88:B89,B101),0)</f>
        <v>0</v>
      </c>
      <c r="L101" s="402">
        <f>MAX(TREND(L88:L89,B88:B89,B101),0)</f>
        <v>0</v>
      </c>
      <c r="M101" s="403">
        <f>IFERROR(IF(INDEX(HwyTransitModelGroup,A82,1)=Hwy,C101*E101/G101,K101/G101),0)</f>
        <v>26197.875</v>
      </c>
      <c r="N101" s="404">
        <f>IFERROR(IF(INDEX(HwyTransitModelGroup,A82,1)=Hwy,D101*F101/H101,L101/H101),0)</f>
        <v>20111.5</v>
      </c>
      <c r="O101" s="402">
        <f>TREND(O88:O89,$B88:$B89,$B101)</f>
        <v>1</v>
      </c>
      <c r="P101" s="998">
        <f>IF(INDEX(HwyTransitModelGroup,A82,1)=Hwy,G101*M101*(I101*ValTimeTruck+(1-I101)*ValTimeAuto)-O101*N101*(J101*ValTimeTruck+(1-J101)*ValTimeAuto),G101*IF(INDEX(NoTransit20,A82)=TRUE,INDEX(DivIndTrips,A82,4)/IF(INDEX(DivIndTrips,A82,3)=0,1,INDEX(DivIndTrips,A82,3)),M101)*ValTimeAuto-O101*N101*ValTimeAuto)*(1+TTUprater)^($B101-YearCurrent)</f>
        <v>127375.65600000008</v>
      </c>
      <c r="Q101" s="780">
        <f t="shared" si="19"/>
        <v>127375.65600000008</v>
      </c>
      <c r="R101" s="370">
        <f t="shared" si="20"/>
        <v>73556.267498081885</v>
      </c>
      <c r="S101" s="371"/>
      <c r="T101" s="378">
        <f>TREND(T88:T89,$B88:$B89,$B101)</f>
        <v>6086.375</v>
      </c>
    </row>
    <row r="102" spans="2:20" x14ac:dyDescent="0.2">
      <c r="B102" s="375">
        <f t="shared" si="21"/>
        <v>2037</v>
      </c>
      <c r="C102" s="401">
        <f>MAX(TREND(C88:C89,B88:B89,B102),0)</f>
        <v>18377.75</v>
      </c>
      <c r="D102" s="402">
        <f>MAX(TREND(D88:D89,B88:B89,B102),0)</f>
        <v>14089</v>
      </c>
      <c r="E102" s="403">
        <f>MAX(TREND(E88:E89,B88:B89,B102),0)</f>
        <v>1.45</v>
      </c>
      <c r="F102" s="404">
        <f>MAX(TREND(F88:F89,B88:B89,B102),0)</f>
        <v>1.45</v>
      </c>
      <c r="G102" s="401">
        <f>MAX(TREND(G88:G89,$B88:$B89,$B102),0)</f>
        <v>1</v>
      </c>
      <c r="H102" s="402">
        <f>MAX(TREND(H88:H89,$B88:$B89,$B102),0)</f>
        <v>1</v>
      </c>
      <c r="I102" s="405">
        <f>MIN(MAX(TREND(I88:I89,B88:B89,B102),0),1)</f>
        <v>0.24</v>
      </c>
      <c r="J102" s="772">
        <f>MIN(MAX(TREND(J88:J89,B88:B89,B102),0),1)</f>
        <v>0.24</v>
      </c>
      <c r="K102" s="401">
        <f>MAX(TREND(K88:K89,B88:B89,B102),0)</f>
        <v>0</v>
      </c>
      <c r="L102" s="402">
        <f>MAX(TREND(L88:L89,B88:B89,B102),0)</f>
        <v>0</v>
      </c>
      <c r="M102" s="403">
        <f>IFERROR(IF(INDEX(HwyTransitModelGroup,A82,1)=Hwy,C102*E102/G102,K102/G102),0)</f>
        <v>26647.737499999999</v>
      </c>
      <c r="N102" s="404">
        <f>IFERROR(IF(INDEX(HwyTransitModelGroup,A82,1)=Hwy,D102*F102/H102,L102/H102),0)</f>
        <v>20429.05</v>
      </c>
      <c r="O102" s="402">
        <f>TREND(O88:O89,$B88:$B89,$B102)</f>
        <v>1</v>
      </c>
      <c r="P102" s="998">
        <f>IF(INDEX(HwyTransitModelGroup,A82,1)=Hwy,G102*M102*(I102*ValTimeTruck+(1-I102)*ValTimeAuto)-O102*N102*(J102*ValTimeTruck+(1-J102)*ValTimeAuto),G102*IF(INDEX(NoTransit20,A82)=TRUE,INDEX(DivIndTrips,A82,4)/IF(INDEX(DivIndTrips,A82,3)=0,1,INDEX(DivIndTrips,A82,3)),M102)*ValTimeAuto-O102*N102*ValTimeAuto)*(1+TTUprater)^($B102-YearCurrent)</f>
        <v>130144.69200000004</v>
      </c>
      <c r="Q102" s="780">
        <f t="shared" si="19"/>
        <v>130144.69200000004</v>
      </c>
      <c r="R102" s="370">
        <f t="shared" si="20"/>
        <v>72264.727684152342</v>
      </c>
      <c r="S102" s="371"/>
      <c r="T102" s="378">
        <f>TREND(T88:T89,$B88:$B89,$B102)</f>
        <v>6218.6875</v>
      </c>
    </row>
    <row r="103" spans="2:20" x14ac:dyDescent="0.2">
      <c r="B103" s="375">
        <f t="shared" si="21"/>
        <v>2038</v>
      </c>
      <c r="C103" s="401">
        <f>MAX(TREND(C88:C89,B88:B89,B103),0)</f>
        <v>18688</v>
      </c>
      <c r="D103" s="402">
        <f>MAX(TREND(D88:D89,B88:B89,B103),0)</f>
        <v>14308</v>
      </c>
      <c r="E103" s="403">
        <f>MAX(TREND(E88:E89,B88:B89,B103),0)</f>
        <v>1.45</v>
      </c>
      <c r="F103" s="404">
        <f>MAX(TREND(F88:F89,B88:B89,B103),0)</f>
        <v>1.45</v>
      </c>
      <c r="G103" s="401">
        <f>MAX(TREND(G88:G89,$B88:$B89,$B103),0)</f>
        <v>1</v>
      </c>
      <c r="H103" s="402">
        <f>MAX(TREND(H88:H89,$B88:$B89,$B103),0)</f>
        <v>1</v>
      </c>
      <c r="I103" s="405">
        <f>MIN(MAX(TREND(I88:I89,B88:B89,B103),0),1)</f>
        <v>0.24</v>
      </c>
      <c r="J103" s="772">
        <f>MIN(MAX(TREND(J88:J89,B88:B89,B103),0),1)</f>
        <v>0.24</v>
      </c>
      <c r="K103" s="401">
        <f>MAX(TREND(K88:K89,B88:B89,B103),0)</f>
        <v>0</v>
      </c>
      <c r="L103" s="402">
        <f>MAX(TREND(L88:L89,B88:B89,B103),0)</f>
        <v>0</v>
      </c>
      <c r="M103" s="403">
        <f>IFERROR(IF(INDEX(HwyTransitModelGroup,A82,1)=Hwy,C103*E103/G103,K103/G103),0)</f>
        <v>27097.599999999999</v>
      </c>
      <c r="N103" s="404">
        <f>IFERROR(IF(INDEX(HwyTransitModelGroup,A82,1)=Hwy,D103*F103/H103,L103/H103),0)</f>
        <v>20746.599999999999</v>
      </c>
      <c r="O103" s="402">
        <f>TREND(O88:O89,$B88:$B89,$B103)</f>
        <v>1</v>
      </c>
      <c r="P103" s="998">
        <f>IF(INDEX(HwyTransitModelGroup,A82,1)=Hwy,G103*M103*(I103*ValTimeTruck+(1-I103)*ValTimeAuto)-O103*N103*(J103*ValTimeTruck+(1-J103)*ValTimeAuto),G103*IF(INDEX(NoTransit20,A82)=TRUE,INDEX(DivIndTrips,A82,4)/IF(INDEX(DivIndTrips,A82,3)=0,1,INDEX(DivIndTrips,A82,3)),M103)*ValTimeAuto-O103*N103*ValTimeAuto)*(1+TTUprater)^($B103-YearCurrent)</f>
        <v>132913.728</v>
      </c>
      <c r="Q103" s="780">
        <f t="shared" si="19"/>
        <v>132913.728</v>
      </c>
      <c r="R103" s="370">
        <f t="shared" si="20"/>
        <v>70963.72604008409</v>
      </c>
      <c r="S103" s="371"/>
      <c r="T103" s="378">
        <f>TREND(T88:T89,$B88:$B89,$B103)</f>
        <v>6351</v>
      </c>
    </row>
    <row r="104" spans="2:20" x14ac:dyDescent="0.2">
      <c r="B104" s="375">
        <f t="shared" si="21"/>
        <v>2039</v>
      </c>
      <c r="C104" s="401">
        <f>MAX(TREND(C88:C89,B88:B89,B104),0)</f>
        <v>18998.25</v>
      </c>
      <c r="D104" s="402">
        <f>MAX(TREND(D88:D89,B88:B89,B104),0)</f>
        <v>14527</v>
      </c>
      <c r="E104" s="403">
        <f>MAX(TREND(E88:E89,B88:B89,B104),0)</f>
        <v>1.45</v>
      </c>
      <c r="F104" s="404">
        <f>MAX(TREND(F88:F89,B88:B89,B104),0)</f>
        <v>1.45</v>
      </c>
      <c r="G104" s="401">
        <f>MAX(TREND(G88:G89,$B88:$B89,$B104),0)</f>
        <v>1</v>
      </c>
      <c r="H104" s="402">
        <f>MAX(TREND(H88:H89,$B88:$B89,$B104),0)</f>
        <v>1</v>
      </c>
      <c r="I104" s="405">
        <f>MIN(MAX(TREND(I88:I89,B88:B89,B104),0),1)</f>
        <v>0.24</v>
      </c>
      <c r="J104" s="772">
        <f>MIN(MAX(TREND(J88:J89,B88:B89,B104),0),1)</f>
        <v>0.24</v>
      </c>
      <c r="K104" s="401">
        <f>MAX(TREND(K88:K89,B88:B89,B104),0)</f>
        <v>0</v>
      </c>
      <c r="L104" s="402">
        <f>MAX(TREND(L88:L89,B88:B89,B104),0)</f>
        <v>0</v>
      </c>
      <c r="M104" s="403">
        <f>IFERROR(IF(INDEX(HwyTransitModelGroup,A82,1)=Hwy,C104*E104/G104,K104/G104),0)</f>
        <v>27547.462499999998</v>
      </c>
      <c r="N104" s="404">
        <f>IFERROR(IF(INDEX(HwyTransitModelGroup,A82,1)=Hwy,D104*F104/H104,L104/H104),0)</f>
        <v>21064.149999999998</v>
      </c>
      <c r="O104" s="402">
        <f>TREND(O88:O89,$B88:$B89,$B104)</f>
        <v>1</v>
      </c>
      <c r="P104" s="998">
        <f>IF(INDEX(HwyTransitModelGroup,A82,1)=Hwy,G104*M104*(I104*ValTimeTruck+(1-I104)*ValTimeAuto)-O104*N104*(J104*ValTimeTruck+(1-J104)*ValTimeAuto),G104*IF(INDEX(NoTransit20,A82)=TRUE,INDEX(DivIndTrips,A82,4)/IF(INDEX(DivIndTrips,A82,3)=0,1,INDEX(DivIndTrips,A82,3)),M104)*ValTimeAuto-O104*N104*ValTimeAuto)*(1+TTUprater)^($B104-YearCurrent)</f>
        <v>135682.76400000002</v>
      </c>
      <c r="Q104" s="780">
        <f t="shared" si="19"/>
        <v>135682.76400000002</v>
      </c>
      <c r="R104" s="370">
        <f t="shared" si="20"/>
        <v>69655.900960819738</v>
      </c>
      <c r="S104" s="371"/>
      <c r="T104" s="378">
        <f>TREND(T88:T89,$B88:$B89,$B104)</f>
        <v>6483.3125</v>
      </c>
    </row>
    <row r="105" spans="2:20" x14ac:dyDescent="0.2">
      <c r="B105" s="375">
        <f t="shared" si="21"/>
        <v>2040</v>
      </c>
      <c r="C105" s="401">
        <f>MAX(TREND(C88:C89,B88:B89,B105),0)</f>
        <v>19308.5</v>
      </c>
      <c r="D105" s="402">
        <f>MAX(TREND(D88:D89,B88:B89,B105),0)</f>
        <v>14746</v>
      </c>
      <c r="E105" s="403">
        <f>MAX(TREND(E88:E89,B88:B89,B105),0)</f>
        <v>1.45</v>
      </c>
      <c r="F105" s="404">
        <f>MAX(TREND(F88:F89,B88:B89,B105),0)</f>
        <v>1.45</v>
      </c>
      <c r="G105" s="401">
        <f>MAX(TREND(G88:G89,$B88:$B89,$B105),0)</f>
        <v>1</v>
      </c>
      <c r="H105" s="402">
        <f>MAX(TREND(H88:H89,$B88:$B89,$B105),0)</f>
        <v>1</v>
      </c>
      <c r="I105" s="405">
        <f>MIN(MAX(TREND(I88:I89,B88:B89,B105),0),1)</f>
        <v>0.24</v>
      </c>
      <c r="J105" s="772">
        <f>MIN(MAX(TREND(J88:J89,B88:B89,B105),0),1)</f>
        <v>0.24</v>
      </c>
      <c r="K105" s="401">
        <f>MAX(TREND(K88:K89,B88:B89,B105),0)</f>
        <v>0</v>
      </c>
      <c r="L105" s="402">
        <f>MAX(TREND(L88:L89,B88:B89,B105),0)</f>
        <v>0</v>
      </c>
      <c r="M105" s="403">
        <f>IFERROR(IF(INDEX(HwyTransitModelGroup,A82,1)=Hwy,C105*E105/G105,K105/G105),0)</f>
        <v>27997.325000000001</v>
      </c>
      <c r="N105" s="404">
        <f>IFERROR(IF(INDEX(HwyTransitModelGroup,A82,1)=Hwy,D105*F105/H105,L105/H105),0)</f>
        <v>21381.7</v>
      </c>
      <c r="O105" s="402">
        <f>TREND(O88:O89,$B88:$B89,$B105)</f>
        <v>1</v>
      </c>
      <c r="P105" s="998">
        <f>IF(INDEX(HwyTransitModelGroup,A82,1)=Hwy,G105*M105*(I105*ValTimeTruck+(1-I105)*ValTimeAuto)-O105*N105*(J105*ValTimeTruck+(1-J105)*ValTimeAuto),G105*IF(INDEX(NoTransit20,A82)=TRUE,INDEX(DivIndTrips,A82,4)/IF(INDEX(DivIndTrips,A82,3)=0,1,INDEX(DivIndTrips,A82,3)),M105)*ValTimeAuto-O105*N105*ValTimeAuto)*(1+TTUprater)^($B105-YearCurrent)</f>
        <v>138451.80000000005</v>
      </c>
      <c r="Q105" s="780">
        <f t="shared" si="19"/>
        <v>138451.80000000005</v>
      </c>
      <c r="R105" s="370">
        <f t="shared" si="20"/>
        <v>68343.701884634749</v>
      </c>
      <c r="S105" s="371"/>
      <c r="T105" s="378">
        <f>TREND(T88:T89,$B88:$B89,$B105)</f>
        <v>6615.625</v>
      </c>
    </row>
    <row r="106" spans="2:20" x14ac:dyDescent="0.2">
      <c r="B106" s="375">
        <f t="shared" si="21"/>
        <v>2041</v>
      </c>
      <c r="C106" s="401">
        <f>MAX(TREND(C88:C89,B88:B89,B106),0)</f>
        <v>19618.75</v>
      </c>
      <c r="D106" s="402">
        <f>MAX(TREND(D88:D89,B88:B89,B106),0)</f>
        <v>14965</v>
      </c>
      <c r="E106" s="403">
        <f>MAX(TREND(E88:E89,B88:B89,B106),0)</f>
        <v>1.45</v>
      </c>
      <c r="F106" s="404">
        <f>MAX(TREND(F88:F89,B88:B89,B106),0)</f>
        <v>1.45</v>
      </c>
      <c r="G106" s="401">
        <f>MAX(TREND(G88:G89,$B88:$B89,$B106),0)</f>
        <v>1</v>
      </c>
      <c r="H106" s="402">
        <f>MAX(TREND(H88:H89,$B88:$B89,$B106),0)</f>
        <v>1</v>
      </c>
      <c r="I106" s="405">
        <f>MIN(MAX(TREND(I88:I89,B88:B89,B106),0),1)</f>
        <v>0.24</v>
      </c>
      <c r="J106" s="772">
        <f>MIN(MAX(TREND(J88:J89,B88:B89,B106),0),1)</f>
        <v>0.24</v>
      </c>
      <c r="K106" s="401">
        <f>MAX(TREND(K88:K89,B88:B89,B106),0)</f>
        <v>0</v>
      </c>
      <c r="L106" s="402">
        <f>MAX(TREND(L88:L89,B88:B89,B106),0)</f>
        <v>0</v>
      </c>
      <c r="M106" s="403">
        <f>IFERROR(IF(INDEX(HwyTransitModelGroup,A82,1)=Hwy,C106*E106/G106,K106/G106),0)</f>
        <v>28447.1875</v>
      </c>
      <c r="N106" s="404">
        <f>IFERROR(IF(INDEX(HwyTransitModelGroup,A82,1)=Hwy,D106*F106/H106,L106/H106),0)</f>
        <v>21699.25</v>
      </c>
      <c r="O106" s="402">
        <f>TREND(O88:O89,$B88:$B89,$B106)</f>
        <v>1</v>
      </c>
      <c r="P106" s="998">
        <f>IF(INDEX(HwyTransitModelGroup,A82,1)=Hwy,G106*M106*(I106*ValTimeTruck+(1-I106)*ValTimeAuto)-O106*N106*(J106*ValTimeTruck+(1-J106)*ValTimeAuto),G106*IF(INDEX(NoTransit20,A82)=TRUE,INDEX(DivIndTrips,A82,4)/IF(INDEX(DivIndTrips,A82,3)=0,1,INDEX(DivIndTrips,A82,3)),M106)*ValTimeAuto-O106*N106*ValTimeAuto)*(1+TTUprater)^($B106-YearCurrent)</f>
        <v>141220.83600000001</v>
      </c>
      <c r="Q106" s="780">
        <f t="shared" si="19"/>
        <v>141220.83600000001</v>
      </c>
      <c r="R106" s="370">
        <f t="shared" si="20"/>
        <v>67029.399925314836</v>
      </c>
      <c r="S106" s="371"/>
      <c r="T106" s="378">
        <f>TREND(T88:T89,$B88:$B89,$B106)</f>
        <v>6747.9375</v>
      </c>
    </row>
    <row r="107" spans="2:20" x14ac:dyDescent="0.2">
      <c r="B107" s="375">
        <f t="shared" si="21"/>
        <v>2042</v>
      </c>
      <c r="C107" s="401">
        <f>MAX(TREND(C88:C89,B88:B89,B107),0)</f>
        <v>19929</v>
      </c>
      <c r="D107" s="402">
        <f>MAX(TREND(D88:D89,B88:B89,B107),0)</f>
        <v>15184</v>
      </c>
      <c r="E107" s="403">
        <f>MAX(TREND(E88:E89,B88:B89,B107),0)</f>
        <v>1.45</v>
      </c>
      <c r="F107" s="404">
        <f>MAX(TREND(F88:F89,B88:B89,B107),0)</f>
        <v>1.45</v>
      </c>
      <c r="G107" s="401">
        <f>MAX(TREND(G88:G89,$B88:$B89,$B107),0)</f>
        <v>1</v>
      </c>
      <c r="H107" s="402">
        <f>MAX(TREND(H88:H89,$B88:$B89,$B107),0)</f>
        <v>1</v>
      </c>
      <c r="I107" s="405">
        <f>MIN(MAX(TREND(I88:I89,B88:B89,B107),0),1)</f>
        <v>0.24</v>
      </c>
      <c r="J107" s="772">
        <f>MIN(MAX(TREND(J88:J89,B88:B89,B107),0),1)</f>
        <v>0.24</v>
      </c>
      <c r="K107" s="401">
        <f>MAX(TREND(K88:K89,B88:B89,B107),0)</f>
        <v>0</v>
      </c>
      <c r="L107" s="402">
        <f>MAX(TREND(L88:L89,B88:B89,B107),0)</f>
        <v>0</v>
      </c>
      <c r="M107" s="403">
        <f>IFERROR(IF(INDEX(HwyTransitModelGroup,A82,1)=Hwy,C107*E107/G107,K107/G107),0)</f>
        <v>28897.05</v>
      </c>
      <c r="N107" s="404">
        <f>IFERROR(IF(INDEX(HwyTransitModelGroup,A82,1)=Hwy,D107*F107/H107,L107/H107),0)</f>
        <v>22016.799999999999</v>
      </c>
      <c r="O107" s="402">
        <f>TREND(O88:O89,$B88:$B89,$B107)</f>
        <v>1</v>
      </c>
      <c r="P107" s="998">
        <f>IF(INDEX(HwyTransitModelGroup,A82,1)=Hwy,G107*M107*(I107*ValTimeTruck+(1-I107)*ValTimeAuto)-O107*N107*(J107*ValTimeTruck+(1-J107)*ValTimeAuto),G107*IF(INDEX(NoTransit20,A82)=TRUE,INDEX(DivIndTrips,A82,4)/IF(INDEX(DivIndTrips,A82,3)=0,1,INDEX(DivIndTrips,A82,3)),M107)*ValTimeAuto-O107*N107*ValTimeAuto)*(1+TTUprater)^($B107-YearCurrent)</f>
        <v>143989.87199999997</v>
      </c>
      <c r="Q107" s="780">
        <f t="shared" si="19"/>
        <v>143989.87199999997</v>
      </c>
      <c r="R107" s="370">
        <f t="shared" si="20"/>
        <v>65715.097965994923</v>
      </c>
      <c r="S107" s="371"/>
      <c r="T107" s="378">
        <f>TREND(T88:T89,$B88:$B89,$B107)</f>
        <v>6880.25</v>
      </c>
    </row>
    <row r="108" spans="2:20" x14ac:dyDescent="0.2">
      <c r="B108" s="375">
        <f t="shared" si="21"/>
        <v>2043</v>
      </c>
      <c r="C108" s="401">
        <f>MAX(TREND(C88:C89,B88:B89,B108),0)</f>
        <v>20239.25</v>
      </c>
      <c r="D108" s="402">
        <f>MAX(TREND(D88:D89,B88:B89,B108),0)</f>
        <v>15403</v>
      </c>
      <c r="E108" s="403">
        <f>MAX(TREND(E88:E89,B88:B89,B108),0)</f>
        <v>1.45</v>
      </c>
      <c r="F108" s="404">
        <f>MAX(TREND(F88:F89,B88:B89,B108),0)</f>
        <v>1.45</v>
      </c>
      <c r="G108" s="401">
        <f>MAX(TREND(G88:G89,$B88:$B89,$B108),0)</f>
        <v>1</v>
      </c>
      <c r="H108" s="402">
        <f>MAX(TREND(H88:H89,$B88:$B89,$B108),0)</f>
        <v>1</v>
      </c>
      <c r="I108" s="405">
        <f>MIN(MAX(TREND(I88:I89,B88:B89,B108),0),1)</f>
        <v>0.24</v>
      </c>
      <c r="J108" s="772">
        <f>MIN(MAX(TREND(J88:J89,B88:B89,B108),0),1)</f>
        <v>0.24</v>
      </c>
      <c r="K108" s="401">
        <f>MAX(TREND(K88:K89,B88:B89,B108),0)</f>
        <v>0</v>
      </c>
      <c r="L108" s="402">
        <f>MAX(TREND(L88:L89,B88:B89,B108),0)</f>
        <v>0</v>
      </c>
      <c r="M108" s="403">
        <f>IFERROR(IF(INDEX(HwyTransitModelGroup,A82,1)=Hwy,C108*E108/G108,K108/G108),0)</f>
        <v>29346.912499999999</v>
      </c>
      <c r="N108" s="404">
        <f>IFERROR(IF(INDEX(HwyTransitModelGroup,A82,1)=Hwy,D108*F108/H108,L108/H108),0)</f>
        <v>22334.35</v>
      </c>
      <c r="O108" s="402">
        <f>TREND(O88:O89,$B88:$B89,$B108)</f>
        <v>1</v>
      </c>
      <c r="P108" s="998">
        <f>IF(INDEX(HwyTransitModelGroup,A82,1)=Hwy,G108*M108*(I108*ValTimeTruck+(1-I108)*ValTimeAuto)-O108*N108*(J108*ValTimeTruck+(1-J108)*ValTimeAuto),G108*IF(INDEX(NoTransit20,A82)=TRUE,INDEX(DivIndTrips,A82,4)/IF(INDEX(DivIndTrips,A82,3)=0,1,INDEX(DivIndTrips,A82,3)),M108)*ValTimeAuto-O108*N108*ValTimeAuto)*(1+TTUprater)^($B108-YearCurrent)</f>
        <v>146758.908</v>
      </c>
      <c r="Q108" s="780">
        <f t="shared" si="19"/>
        <v>146758.908</v>
      </c>
      <c r="R108" s="370">
        <f t="shared" si="20"/>
        <v>64402.740240342646</v>
      </c>
      <c r="S108" s="371"/>
      <c r="T108" s="378">
        <f>TREND(T88:T89,$B88:$B89,$B108)</f>
        <v>7012.5625</v>
      </c>
    </row>
    <row r="109" spans="2:20" x14ac:dyDescent="0.2">
      <c r="B109" s="375">
        <f t="shared" si="21"/>
        <v>2044</v>
      </c>
      <c r="C109" s="401">
        <f>MAX(TREND(C88:C89,B88:B89,B109),0)</f>
        <v>20549.5</v>
      </c>
      <c r="D109" s="402">
        <f>MAX(TREND(D88:D89,B88:B89,B109),0)</f>
        <v>15622</v>
      </c>
      <c r="E109" s="403">
        <f>MAX(TREND(E88:E89,B88:B89,B109),0)</f>
        <v>1.45</v>
      </c>
      <c r="F109" s="404">
        <f>MAX(TREND(F88:F89,B88:B89,B109),0)</f>
        <v>1.45</v>
      </c>
      <c r="G109" s="401">
        <f>MAX(TREND(G88:G89,$B88:$B89,$B109),0)</f>
        <v>1</v>
      </c>
      <c r="H109" s="402">
        <f>MAX(TREND(H88:H89,$B88:$B89,$B109),0)</f>
        <v>1</v>
      </c>
      <c r="I109" s="405">
        <f>MIN(MAX(TREND(I88:I89,B88:B89,B109),0),1)</f>
        <v>0.24</v>
      </c>
      <c r="J109" s="772">
        <f>MIN(MAX(TREND(J88:J89,B88:B89,B109),0),1)</f>
        <v>0.24</v>
      </c>
      <c r="K109" s="401">
        <f>MAX(TREND(K88:K89,B88:B89,B109),0)</f>
        <v>0</v>
      </c>
      <c r="L109" s="402">
        <f>MAX(TREND(L88:L89,B88:B89,B109),0)</f>
        <v>0</v>
      </c>
      <c r="M109" s="403">
        <f>IFERROR(IF(INDEX(HwyTransitModelGroup,A82,1)=Hwy,C109*E109/G109,K109/G109),0)</f>
        <v>29796.774999999998</v>
      </c>
      <c r="N109" s="404">
        <f>IFERROR(IF(INDEX(HwyTransitModelGroup,A82,1)=Hwy,D109*F109/H109,L109/H109),0)</f>
        <v>22651.899999999998</v>
      </c>
      <c r="O109" s="402">
        <f>TREND(O88:O89,$B88:$B89,$B109)</f>
        <v>1</v>
      </c>
      <c r="P109" s="998">
        <f>IF(INDEX(HwyTransitModelGroup,A82,1)=Hwy,G109*M109*(I109*ValTimeTruck+(1-I109)*ValTimeAuto)-O109*N109*(J109*ValTimeTruck+(1-J109)*ValTimeAuto),G109*IF(INDEX(NoTransit20,A82)=TRUE,INDEX(DivIndTrips,A82,4)/IF(INDEX(DivIndTrips,A82,3)=0,1,INDEX(DivIndTrips,A82,3)),M109)*ValTimeAuto-O109*N109*ValTimeAuto)*(1+TTUprater)^($B109-YearCurrent)</f>
        <v>149527.94400000008</v>
      </c>
      <c r="Q109" s="780">
        <f t="shared" si="19"/>
        <v>149527.94400000008</v>
      </c>
      <c r="R109" s="370">
        <f t="shared" si="20"/>
        <v>63094.121425589714</v>
      </c>
      <c r="S109" s="371"/>
      <c r="T109" s="378">
        <f>TREND(T88:T89,$B88:$B89,$B109)</f>
        <v>7144.875</v>
      </c>
    </row>
    <row r="110" spans="2:20" x14ac:dyDescent="0.2">
      <c r="B110" s="375">
        <f t="shared" si="21"/>
        <v>2045</v>
      </c>
      <c r="C110" s="401">
        <f>MAX(TREND(C88:C89,B88:B89,B110),0)</f>
        <v>20859.75</v>
      </c>
      <c r="D110" s="402">
        <f>MAX(TREND(D88:D89,B88:B89,B110),0)</f>
        <v>15841</v>
      </c>
      <c r="E110" s="403">
        <f>MAX(TREND(E88:E89,B88:B89,B110),0)</f>
        <v>1.45</v>
      </c>
      <c r="F110" s="404">
        <f>MAX(TREND(F88:F89,B88:B89,B110),0)</f>
        <v>1.45</v>
      </c>
      <c r="G110" s="401">
        <f>MAX(TREND(G88:G89,$B88:$B89,$B110),0)</f>
        <v>1</v>
      </c>
      <c r="H110" s="402">
        <f>MAX(TREND(H88:H89,$B88:$B89,$B110),0)</f>
        <v>1</v>
      </c>
      <c r="I110" s="405">
        <f>MIN(MAX(TREND(I88:I89,B88:B89,B110),0),1)</f>
        <v>0.24</v>
      </c>
      <c r="J110" s="772">
        <f>MIN(MAX(TREND(J88:J89,B88:B89,B110),0),1)</f>
        <v>0.24</v>
      </c>
      <c r="K110" s="401">
        <f>MAX(TREND(K88:K89,B88:B89,B110),0)</f>
        <v>0</v>
      </c>
      <c r="L110" s="402">
        <f>MAX(TREND(L88:L89,B88:B89,B110),0)</f>
        <v>0</v>
      </c>
      <c r="M110" s="403">
        <f>IFERROR(IF(INDEX(HwyTransitModelGroup,A82,1)=Hwy,C110*E110/G110,K110/G110),0)</f>
        <v>30246.637500000001</v>
      </c>
      <c r="N110" s="404">
        <f>IFERROR(IF(INDEX(HwyTransitModelGroup,A82,1)=Hwy,D110*F110/H110,L110/H110),0)</f>
        <v>22969.45</v>
      </c>
      <c r="O110" s="402">
        <f>TREND(O88:O89,$B88:$B89,$B110)</f>
        <v>1</v>
      </c>
      <c r="P110" s="998">
        <f>IF(INDEX(HwyTransitModelGroup,A82,1)=Hwy,G110*M110*(I110*ValTimeTruck+(1-I110)*ValTimeAuto)-O110*N110*(J110*ValTimeTruck+(1-J110)*ValTimeAuto),G110*IF(INDEX(NoTransit20,A82)=TRUE,INDEX(DivIndTrips,A82,4)/IF(INDEX(DivIndTrips,A82,3)=0,1,INDEX(DivIndTrips,A82,3)),M110)*ValTimeAuto-O110*N110*ValTimeAuto)*(1+TTUprater)^($B110-YearCurrent)</f>
        <v>152296.97999999998</v>
      </c>
      <c r="Q110" s="780">
        <f t="shared" si="19"/>
        <v>152296.97999999998</v>
      </c>
      <c r="R110" s="370">
        <f t="shared" si="20"/>
        <v>61790.895270787616</v>
      </c>
      <c r="S110" s="371"/>
      <c r="T110" s="378">
        <f>TREND(T88:T89,$B88:$B89,$B110)</f>
        <v>7277.1875</v>
      </c>
    </row>
    <row r="111" spans="2:20" x14ac:dyDescent="0.2">
      <c r="B111" s="385"/>
      <c r="C111" s="386"/>
      <c r="D111" s="386"/>
      <c r="E111" s="388"/>
      <c r="F111" s="388"/>
      <c r="G111" s="388"/>
      <c r="H111" s="388"/>
      <c r="I111" s="388"/>
      <c r="J111" s="388"/>
      <c r="K111" s="774"/>
      <c r="L111" s="774"/>
      <c r="M111" s="388"/>
      <c r="N111" s="388"/>
      <c r="O111" s="388"/>
      <c r="P111" s="388"/>
      <c r="Q111" s="388"/>
      <c r="R111" s="389"/>
      <c r="S111" s="390"/>
      <c r="T111" s="388"/>
    </row>
    <row r="112" spans="2:20" x14ac:dyDescent="0.2">
      <c r="B112" s="407" t="s">
        <v>56</v>
      </c>
      <c r="C112" s="413"/>
      <c r="D112" s="414"/>
      <c r="E112" s="414"/>
      <c r="F112" s="414"/>
      <c r="G112" s="414"/>
      <c r="H112" s="414"/>
      <c r="I112" s="414"/>
      <c r="J112" s="414"/>
      <c r="K112" s="414"/>
      <c r="L112" s="414"/>
      <c r="M112" s="414"/>
      <c r="N112" s="414"/>
      <c r="O112" s="414"/>
      <c r="P112" s="414"/>
      <c r="Q112" s="414"/>
      <c r="R112" s="409">
        <f>SUM(R91:R110)</f>
        <v>1479007.5377806379</v>
      </c>
      <c r="S112" s="416"/>
      <c r="T112" s="411">
        <f>SUM(T91:T110)</f>
        <v>120404.375</v>
      </c>
    </row>
    <row r="113" spans="1:20" x14ac:dyDescent="0.2">
      <c r="B113" s="2"/>
      <c r="C113" s="418"/>
      <c r="D113" s="2"/>
      <c r="E113" s="2"/>
      <c r="F113" s="2"/>
      <c r="G113" s="2"/>
      <c r="H113" s="2"/>
      <c r="I113" s="2"/>
      <c r="J113" s="2"/>
      <c r="K113" s="2"/>
      <c r="L113" s="2"/>
      <c r="M113" s="2"/>
      <c r="N113" s="2"/>
      <c r="O113" s="2"/>
      <c r="P113" s="2"/>
      <c r="Q113" s="2"/>
      <c r="R113" s="2"/>
      <c r="S113" s="2"/>
    </row>
    <row r="114" spans="1:20" ht="15" x14ac:dyDescent="0.25">
      <c r="A114" s="1">
        <f>MAX($A$1:A113)+1</f>
        <v>4</v>
      </c>
      <c r="B114" s="319" t="str">
        <f>IF(ISBLANK(INDEX(ModelGroup,A114,1)),"Not Used",INDEX(ModelGroup,A114,1))</f>
        <v>NB On-ramp from Ave 280</v>
      </c>
      <c r="C114" s="2"/>
      <c r="D114" s="2"/>
      <c r="E114" s="2"/>
      <c r="F114" s="2"/>
      <c r="G114"/>
      <c r="H114"/>
      <c r="I114" s="320"/>
      <c r="J114" s="320"/>
      <c r="K114" s="320"/>
      <c r="L114" s="320"/>
      <c r="M114" s="320"/>
      <c r="N114" s="320"/>
      <c r="O114" s="320"/>
      <c r="P114" s="317"/>
      <c r="Q114" s="2"/>
      <c r="R114" s="2"/>
      <c r="S114" s="2"/>
    </row>
    <row r="115" spans="1:20" x14ac:dyDescent="0.2">
      <c r="B115" s="2"/>
      <c r="C115" s="38"/>
      <c r="D115" s="877"/>
      <c r="E115" s="38"/>
      <c r="F115" s="877"/>
      <c r="G115" s="877"/>
      <c r="H115" s="877"/>
      <c r="I115" s="38"/>
      <c r="J115" s="877"/>
      <c r="K115" s="38"/>
      <c r="L115" s="38"/>
      <c r="M115" s="2"/>
      <c r="N115" s="2"/>
      <c r="P115" s="2"/>
      <c r="Q115" s="2"/>
      <c r="R115" s="149"/>
      <c r="S115" s="149"/>
    </row>
    <row r="116" spans="1:20" ht="15.75" x14ac:dyDescent="0.2">
      <c r="A116" s="1776"/>
      <c r="B116" s="322"/>
      <c r="C116" s="323" t="s">
        <v>190</v>
      </c>
      <c r="D116" s="324"/>
      <c r="E116" s="323" t="s">
        <v>191</v>
      </c>
      <c r="F116" s="324"/>
      <c r="G116" s="323" t="str">
        <f>IF(INDEX(HwyTransitModelGroup,A114,1)=Hwy,"TOTAL VEHICLE TRIPS","TOTAL PERSON TRIPS")</f>
        <v>TOTAL VEHICLE TRIPS</v>
      </c>
      <c r="H116" s="324"/>
      <c r="I116" s="323" t="s">
        <v>192</v>
      </c>
      <c r="J116" s="324"/>
      <c r="K116" s="323" t="s">
        <v>193</v>
      </c>
      <c r="L116" s="324"/>
      <c r="M116" s="323" t="s">
        <v>194</v>
      </c>
      <c r="N116" s="324"/>
      <c r="O116" s="919" t="str">
        <f>IF(INDEX(HwyTransitModelGroup,A114,1)=Hwy,"TOTAL VEHICLE TRIPS","TOTAL PERSON TRIPS")</f>
        <v>TOTAL VEHICLE TRIPS</v>
      </c>
      <c r="P116" s="919" t="s">
        <v>195</v>
      </c>
      <c r="Q116" s="991"/>
      <c r="R116" s="330"/>
      <c r="S116" s="2"/>
      <c r="T116" s="331" t="s">
        <v>196</v>
      </c>
    </row>
    <row r="117" spans="1:20" ht="14.25" x14ac:dyDescent="0.2">
      <c r="A117" s="1776"/>
      <c r="B117" s="335"/>
      <c r="C117" s="336" t="s">
        <v>197</v>
      </c>
      <c r="D117" s="337"/>
      <c r="E117" s="338" t="s">
        <v>198</v>
      </c>
      <c r="F117" s="337"/>
      <c r="G117" s="338" t="s">
        <v>199</v>
      </c>
      <c r="H117" s="337"/>
      <c r="I117" s="764" t="s">
        <v>200</v>
      </c>
      <c r="J117" s="339"/>
      <c r="K117" s="765" t="s">
        <v>201</v>
      </c>
      <c r="L117" s="337"/>
      <c r="M117" s="777" t="s">
        <v>202</v>
      </c>
      <c r="N117" s="339"/>
      <c r="O117" s="920" t="s">
        <v>199</v>
      </c>
      <c r="P117" s="920" t="s">
        <v>203</v>
      </c>
      <c r="Q117" s="992"/>
      <c r="R117" s="343"/>
      <c r="S117" s="2"/>
      <c r="T117" s="920" t="s">
        <v>201</v>
      </c>
    </row>
    <row r="118" spans="1:20" ht="15" x14ac:dyDescent="0.2">
      <c r="A118" s="1776"/>
      <c r="B118" s="77" t="s">
        <v>34</v>
      </c>
      <c r="C118" s="348"/>
      <c r="D118" s="349"/>
      <c r="E118" s="348"/>
      <c r="F118" s="349"/>
      <c r="G118" s="348"/>
      <c r="H118" s="349"/>
      <c r="I118" s="348"/>
      <c r="J118" s="349"/>
      <c r="K118" s="348"/>
      <c r="L118" s="349"/>
      <c r="M118" s="348"/>
      <c r="N118" s="349"/>
      <c r="O118" s="921" t="s">
        <v>206</v>
      </c>
      <c r="P118" s="995" t="s">
        <v>207</v>
      </c>
      <c r="Q118" s="993" t="s">
        <v>208</v>
      </c>
      <c r="R118" s="347" t="s">
        <v>39</v>
      </c>
      <c r="S118" s="352"/>
      <c r="T118" s="353" t="s">
        <v>207</v>
      </c>
    </row>
    <row r="119" spans="1:20" ht="15" x14ac:dyDescent="0.2">
      <c r="A119" s="1776"/>
      <c r="B119" s="355"/>
      <c r="C119" s="356" t="s">
        <v>74</v>
      </c>
      <c r="D119" s="357" t="s">
        <v>125</v>
      </c>
      <c r="E119" s="356" t="s">
        <v>74</v>
      </c>
      <c r="F119" s="357" t="s">
        <v>125</v>
      </c>
      <c r="G119" s="356" t="s">
        <v>74</v>
      </c>
      <c r="H119" s="357" t="s">
        <v>125</v>
      </c>
      <c r="I119" s="356" t="s">
        <v>74</v>
      </c>
      <c r="J119" s="357" t="s">
        <v>125</v>
      </c>
      <c r="K119" s="356" t="s">
        <v>74</v>
      </c>
      <c r="L119" s="357" t="s">
        <v>125</v>
      </c>
      <c r="M119" s="348" t="s">
        <v>74</v>
      </c>
      <c r="N119" s="349" t="s">
        <v>125</v>
      </c>
      <c r="O119" s="94" t="s">
        <v>125</v>
      </c>
      <c r="P119" s="94" t="s">
        <v>211</v>
      </c>
      <c r="Q119" s="994" t="s">
        <v>48</v>
      </c>
      <c r="R119" s="360" t="s">
        <v>49</v>
      </c>
      <c r="S119" s="352"/>
      <c r="T119" s="361" t="s">
        <v>211</v>
      </c>
    </row>
    <row r="120" spans="1:20" x14ac:dyDescent="0.2">
      <c r="B120" s="363">
        <f>YearFirst</f>
        <v>2026</v>
      </c>
      <c r="C120" s="364">
        <f>IF(INDEX(HwyTransitModelGroup,A114,1)=Hwy,INDEX(ModelData1NB,A114,3),0)*AnnualFactor</f>
        <v>21170</v>
      </c>
      <c r="D120" s="365">
        <f>IF(INDEX(HwyTransitModelGroup,A114,1)=Hwy,INDEX(ModelData1B,A114,3),0)*AnnualFactor</f>
        <v>9855</v>
      </c>
      <c r="E120" s="972">
        <f>IF(INDEX(HwyTransitModelGroup,A114,1)=Hwy,INDEX(ModelData1NB,A114,8),0)</f>
        <v>1.45</v>
      </c>
      <c r="F120" s="973">
        <f>IF(INDEX(HwyTransitModelGroup,A114,1)=Hwy,INDEX(ModelData1B,A114,8),0)</f>
        <v>1.45</v>
      </c>
      <c r="G120" s="364">
        <f>IF(AND(INDEX(HwyTransitModelGroup,A114,1)=Hwy,INDEX(ModelData1NB,A114,1)=0),1,INDEX(ModelData1NB,A114,1)*AnnualFactor)</f>
        <v>1</v>
      </c>
      <c r="H120" s="365">
        <f>IF(AND(INDEX(HwyTransitModelGroup,A114,1)=Hwy,INDEX(ModelData1B,A114,1)=0),1,INDEX(ModelData1B,A114,1)*AnnualFactor)</f>
        <v>1</v>
      </c>
      <c r="I120" s="976">
        <f>IF(INDEX(HwyTransitModelGroup,A114,1)=Hwy,INDEX(ModelData1NB,A114,9),0)</f>
        <v>0.24</v>
      </c>
      <c r="J120" s="977">
        <f>IF(INDEX(HwyTransitModelGroup,A114,1)=Hwy,INDEX(ModelData1B,A114,9),0)</f>
        <v>0.24</v>
      </c>
      <c r="K120" s="364">
        <f>IF(INDEX(HwyTransitModelGroup,A114,1)=Hwy,0,INDEX(ModelData1NB,A114,5))*AnnualFactor</f>
        <v>0</v>
      </c>
      <c r="L120" s="365">
        <f>IF(INDEX(HwyTransitModelGroup,A114,1)=Hwy,0,INDEX(ModelData1B,A114,5))*AnnualFactor</f>
        <v>0</v>
      </c>
      <c r="M120" s="366">
        <f>IFERROR(IF(INDEX(HwyTransitModelGroup,A114,1)=Hwy,C120*E120/G120,K120/G120),0)</f>
        <v>30696.5</v>
      </c>
      <c r="N120" s="778">
        <f>IFERROR(IF(INDEX(HwyTransitModelGroup,A114,1)=Hwy,D120*F120/H120,L120/H120),0)</f>
        <v>14289.75</v>
      </c>
      <c r="O120" s="946">
        <f>$H120-INDEX(ModeShare1,A114)*SUMIF('Consumer Surplus'!$C$157:$C$160,INDEX(HwyTransitModelGroup,A114,1),'Consumer Surplus'!$G$157:$G$160)</f>
        <v>1</v>
      </c>
      <c r="P120" s="996">
        <f>IF(INDEX(HwyTransitModelGroup,A114,1)=Hwy,G120*M120*(I120*ValTimeTruck+(1-I120)*ValTimeAuto)-O120*N120*(J120*ValTimeTruck+(1-J120)*ValTimeAuto),G120*IF(INDEX(NoTransit1,A114)=TRUE,INDEX(DivIndTrips,A114,2)/IF(INDEX(DivIndTrips,A114,1)=0,1,INDEX(DivIndTrips,A114,1)),M120)*ValTimeAuto-O120*N120*ValTimeAuto)*(1+TTUprater)^($B120-YearCurrent)</f>
        <v>343360.46400000015</v>
      </c>
      <c r="Q120" s="780">
        <f>SUM(P120)</f>
        <v>343360.46400000015</v>
      </c>
      <c r="R120" s="370">
        <f>Q120/(1+DiscRate)^(B120-YearCurrent)</f>
        <v>293505.96366111137</v>
      </c>
      <c r="S120" s="371"/>
      <c r="T120" s="989">
        <f>IF(INDEX(HwyTransitModelGroup,A114,1)=Hwy,G120*M120-O120*N120,G120*IF(INDEX(NoTransit1,A114)=TRUE,INDEX(DivIndTrips,A114,2)/IF(INDEX(DivIndTrips,A114,1)=0,1,INDEX(DivIndTrips,A114,1)),M120)-O120*N120)</f>
        <v>16406.75</v>
      </c>
    </row>
    <row r="121" spans="1:20" x14ac:dyDescent="0.2">
      <c r="B121" s="379">
        <f>YearLast</f>
        <v>2046</v>
      </c>
      <c r="C121" s="380">
        <f>IF(INDEX(HwyTransitModelGroup,A114,1)=Hwy,INDEX(ModelData20NB,A114,3),0)*AnnualFactor</f>
        <v>27010</v>
      </c>
      <c r="D121" s="381">
        <f>IF(INDEX(HwyTransitModelGroup,A114,1)=Hwy,INDEX(ModelData20B,A114,3),0)*AnnualFactor</f>
        <v>12775</v>
      </c>
      <c r="E121" s="974">
        <f>IF(INDEX(HwyTransitModelGroup,A114,1)=Hwy,INDEX(ModelData20NB,A114,8),0)</f>
        <v>1.45</v>
      </c>
      <c r="F121" s="975">
        <f>IF(INDEX(HwyTransitModelGroup,A114,1)=Hwy,INDEX(ModelData20B,A114,8),0)</f>
        <v>1.45</v>
      </c>
      <c r="G121" s="380">
        <f>IF(AND(INDEX(HwyTransitModelGroup,A114,1)=Hwy,INDEX(ModelData20NB,A114,1)=0),1,INDEX(ModelData20NB,A114,1)*AnnualFactor)</f>
        <v>1</v>
      </c>
      <c r="H121" s="381">
        <f>IF(AND(INDEX(HwyTransitModelGroup,A114,1)=Hwy,INDEX(ModelData20B,A114,1)=0),1,INDEX(ModelData20B,A114,1)*AnnualFactor)</f>
        <v>1</v>
      </c>
      <c r="I121" s="978">
        <f>IF(INDEX(HwyTransitModelGroup,A114,1)=Hwy,INDEX(ModelData20NB,A114,9),0)</f>
        <v>0.24</v>
      </c>
      <c r="J121" s="979">
        <f>IF(INDEX(HwyTransitModelGroup,A114,1)=Hwy,INDEX(ModelData20B,A114,9),0)</f>
        <v>0.24</v>
      </c>
      <c r="K121" s="380">
        <f>IF(INDEX(HwyTransitModelGroup,A114,1)=Hwy,0,INDEX(ModelData20NB,A114,5))*AnnualFactor</f>
        <v>0</v>
      </c>
      <c r="L121" s="381">
        <f>IF(INDEX(HwyTransitModelGroup,A114,1)=Hwy,0,INDEX(ModelData20B,A114,5))*AnnualFactor</f>
        <v>0</v>
      </c>
      <c r="M121" s="382">
        <f>IFERROR(IF(INDEX(HwyTransitModelGroup,A114,1)=Hwy,C121*E121/G121,K121/G121),0)</f>
        <v>39164.5</v>
      </c>
      <c r="N121" s="779">
        <f>IFERROR(IF(INDEX(HwyTransitModelGroup,A114,1)=Hwy,D121*F121/H121,L121/H121),0)</f>
        <v>18523.75</v>
      </c>
      <c r="O121" s="947">
        <f>$H121-INDEX(ModeShare20,A114)*SUMIF('Consumer Surplus'!$C$157:$C$160,INDEX(HwyTransitModelGroup,A114,1),'Consumer Surplus'!$K$157:$K$160)</f>
        <v>1</v>
      </c>
      <c r="P121" s="703">
        <f>IF(INDEX(HwyTransitModelGroup,A114,1)=Hwy,G121*M121*(I121*ValTimeTruck+(1-I121)*ValTimeAuto)-O121*N121*(J121*ValTimeTruck+(1-J121)*ValTimeAuto),G121*IF(INDEX(NoTransit20,A114)=TRUE,INDEX(DivIndTrips,A114,4)/IF(INDEX(DivIndTrips,A114,3)=0,1,INDEX(DivIndTrips,A114,3)),M121)*ValTimeAuto-O121*N121*ValTimeAuto)*(1+TTUprater)^($B121-YearCurrent)</f>
        <v>431969.6160000001</v>
      </c>
      <c r="Q121" s="780">
        <f>SUM(P121)</f>
        <v>431969.6160000001</v>
      </c>
      <c r="R121" s="370">
        <f>Q121/(1+DiscRate)^(B121-YearCurrent)</f>
        <v>168520.62346578445</v>
      </c>
      <c r="S121" s="371"/>
      <c r="T121" s="990">
        <f>IF(INDEX(HwyTransitModelGroup,A114,1)=Hwy,G121*M121-O121*N121,G121*IF(INDEX(NoTransit1,A114)=TRUE,INDEX(DivIndTrips,A114,2)/IF(INDEX(DivIndTrips,A114,1)=0,1,INDEX(DivIndTrips,A114,1)),M121)-O121*N121)</f>
        <v>20640.75</v>
      </c>
    </row>
    <row r="122" spans="1:20" x14ac:dyDescent="0.2">
      <c r="B122" s="385"/>
      <c r="C122" s="386"/>
      <c r="D122" s="386"/>
      <c r="E122" s="387"/>
      <c r="F122" s="387"/>
      <c r="G122" s="387"/>
      <c r="H122" s="387"/>
      <c r="I122" s="388"/>
      <c r="J122" s="388"/>
      <c r="K122" s="773"/>
      <c r="L122" s="773"/>
      <c r="M122" s="774"/>
      <c r="N122" s="774"/>
      <c r="O122" s="774"/>
      <c r="P122" s="374"/>
      <c r="Q122" s="388"/>
      <c r="R122" s="389"/>
      <c r="S122" s="390"/>
      <c r="T122" s="391"/>
    </row>
    <row r="123" spans="1:20" x14ac:dyDescent="0.2">
      <c r="B123" s="375">
        <f>YearOpen</f>
        <v>2026</v>
      </c>
      <c r="C123" s="393">
        <f>MAX(TREND(C120:C121,B120:B121,B123),0)</f>
        <v>21170</v>
      </c>
      <c r="D123" s="394">
        <f>MAX(TREND(D120:D121,B120:B121,B123),0)</f>
        <v>9855</v>
      </c>
      <c r="E123" s="395">
        <f>MAX(TREND(E120:E121,B120:B121,B123),0)</f>
        <v>1.45</v>
      </c>
      <c r="F123" s="396">
        <f>MAX(TREND(F120:F121,B120:B121,B123),0)</f>
        <v>1.45</v>
      </c>
      <c r="G123" s="393">
        <f>MAX(TREND(G120:G121,$B120:$B121,$B123),0)</f>
        <v>1</v>
      </c>
      <c r="H123" s="394">
        <f>MAX(TREND(H120:H121,$B120:$B121,$B123),0)</f>
        <v>1</v>
      </c>
      <c r="I123" s="397">
        <f>MIN(MAX(TREND(I120:I121,B120:B121,B123),0),1)</f>
        <v>0.24</v>
      </c>
      <c r="J123" s="771">
        <f>MIN(MAX(TREND(J120:J121,B120:B121,B123),0),1)</f>
        <v>0.24</v>
      </c>
      <c r="K123" s="393">
        <f>MAX(TREND(K120:K121,B120:B121,B123),0)</f>
        <v>0</v>
      </c>
      <c r="L123" s="394">
        <f>MAX(TREND(L120:L121,B120:B121,B123),0)</f>
        <v>0</v>
      </c>
      <c r="M123" s="395">
        <f>IFERROR(IF(INDEX(HwyTransitModelGroup,A114,1)=Hwy,C123*E123/G123,K123/G123),0)</f>
        <v>30696.5</v>
      </c>
      <c r="N123" s="396">
        <f>IFERROR(IF(INDEX(HwyTransitModelGroup,A114,1)=Hwy,D123*F123/H123,L123/H123),0)</f>
        <v>14289.75</v>
      </c>
      <c r="O123" s="394">
        <f>TREND(O120:O121,$B120:$B121,$B123)</f>
        <v>1</v>
      </c>
      <c r="P123" s="997">
        <f>IF(INDEX(HwyTransitModelGroup,A114,1)=Hwy,G123*M123*(I123*ValTimeTruck+(1-I123)*ValTimeAuto)-O123*N123*(J123*ValTimeTruck+(1-J123)*ValTimeAuto),G123*IF(INDEX(NoTransit20,A114)=TRUE,INDEX(DivIndTrips,A114,4)/IF(INDEX(DivIndTrips,A114,3)=0,1,INDEX(DivIndTrips,A114,3)),M123)*ValTimeAuto-O123*N123*ValTimeAuto)*(1+TTUprater)^($B123-YearCurrent)</f>
        <v>343360.46400000015</v>
      </c>
      <c r="Q123" s="780">
        <f t="shared" ref="Q123:Q142" si="22">SUM(P123)</f>
        <v>343360.46400000015</v>
      </c>
      <c r="R123" s="370">
        <f t="shared" ref="R123:R142" si="23">Q123/(1+DiscRate)^(B123-YearCurrent)</f>
        <v>293505.96366111137</v>
      </c>
      <c r="S123" s="371"/>
      <c r="T123" s="1023">
        <f>TREND(T120:T121,$B120:$B121,$B123)</f>
        <v>16406.75</v>
      </c>
    </row>
    <row r="124" spans="1:20" x14ac:dyDescent="0.2">
      <c r="B124" s="375">
        <f>B123+1</f>
        <v>2027</v>
      </c>
      <c r="C124" s="401">
        <f>MAX(TREND(C120:C121,B120:B121,B124),0)</f>
        <v>21462</v>
      </c>
      <c r="D124" s="402">
        <f>MAX(TREND(D120:D121,B120:B121,B124),0)</f>
        <v>10001</v>
      </c>
      <c r="E124" s="403">
        <f>MAX(TREND(E120:E121,B120:B121,B124),0)</f>
        <v>1.45</v>
      </c>
      <c r="F124" s="404">
        <f>MAX(TREND(F120:F121,B120:B121,B124),0)</f>
        <v>1.45</v>
      </c>
      <c r="G124" s="401">
        <f>MAX(TREND(G120:G121,$B120:$B121,$B124),0)</f>
        <v>1</v>
      </c>
      <c r="H124" s="402">
        <f>MAX(TREND(H120:H121,$B120:$B121,$B124),0)</f>
        <v>1</v>
      </c>
      <c r="I124" s="405">
        <f>MIN(MAX(TREND(I120:I121,B120:B121,B124),0),1)</f>
        <v>0.24</v>
      </c>
      <c r="J124" s="772">
        <f>MIN(MAX(TREND(J120:J121,B120:B121,B124),0),1)</f>
        <v>0.24</v>
      </c>
      <c r="K124" s="401">
        <f>MAX(TREND(K120:K121,B120:B121,B124),0)</f>
        <v>0</v>
      </c>
      <c r="L124" s="402">
        <f>MAX(TREND(L120:L121,B120:B121,B124),0)</f>
        <v>0</v>
      </c>
      <c r="M124" s="403">
        <f>IFERROR(IF(INDEX(HwyTransitModelGroup,A114,1)=Hwy,C124*E124/G124,K124/G124),0)</f>
        <v>31119.899999999998</v>
      </c>
      <c r="N124" s="404">
        <f>IFERROR(IF(INDEX(HwyTransitModelGroup,A114,1)=Hwy,D124*F124/H124,L124/H124),0)</f>
        <v>14501.449999999999</v>
      </c>
      <c r="O124" s="402">
        <f>TREND(O120:O121,$B120:$B121,$B124)</f>
        <v>1</v>
      </c>
      <c r="P124" s="998">
        <f>IF(INDEX(HwyTransitModelGroup,A114,1)=Hwy,G124*M124*(I124*ValTimeTruck+(1-I124)*ValTimeAuto)-O124*N124*(J124*ValTimeTruck+(1-J124)*ValTimeAuto),G124*IF(INDEX(NoTransit20,A114)=TRUE,INDEX(DivIndTrips,A114,4)/IF(INDEX(DivIndTrips,A114,3)=0,1,INDEX(DivIndTrips,A114,3)),M124)*ValTimeAuto-O124*N124*ValTimeAuto)*(1+TTUprater)^($B124-YearCurrent)</f>
        <v>347790.92160000006</v>
      </c>
      <c r="Q124" s="780">
        <f t="shared" si="22"/>
        <v>347790.92160000006</v>
      </c>
      <c r="R124" s="370">
        <f t="shared" si="23"/>
        <v>285858.78594785649</v>
      </c>
      <c r="S124" s="371"/>
      <c r="T124" s="378">
        <f>TREND(T120:T121,$B120:$B121,$B124)</f>
        <v>16618.450000000012</v>
      </c>
    </row>
    <row r="125" spans="1:20" x14ac:dyDescent="0.2">
      <c r="B125" s="375">
        <f t="shared" ref="B125:B142" si="24">B124+1</f>
        <v>2028</v>
      </c>
      <c r="C125" s="401">
        <f>MAX(TREND(C120:C121,B120:B121,B125),0)</f>
        <v>21754</v>
      </c>
      <c r="D125" s="402">
        <f>MAX(TREND(D120:D121,B120:B121,B125),0)</f>
        <v>10147</v>
      </c>
      <c r="E125" s="403">
        <f>MAX(TREND(E120:E121,B120:B121,B125),0)</f>
        <v>1.45</v>
      </c>
      <c r="F125" s="404">
        <f>MAX(TREND(F120:F121,B120:B121,B125),0)</f>
        <v>1.45</v>
      </c>
      <c r="G125" s="401">
        <f>MAX(TREND(G120:G121,$B120:$B121,$B125),0)</f>
        <v>1</v>
      </c>
      <c r="H125" s="402">
        <f>MAX(TREND(H120:H121,$B120:$B121,$B125),0)</f>
        <v>1</v>
      </c>
      <c r="I125" s="405">
        <f>MIN(MAX(TREND(I120:I121,B120:B121,B125),0),1)</f>
        <v>0.24</v>
      </c>
      <c r="J125" s="772">
        <f>MIN(MAX(TREND(J120:J121,B120:B121,B125),0),1)</f>
        <v>0.24</v>
      </c>
      <c r="K125" s="401">
        <f>MAX(TREND(K120:K121,B120:B121,B125),0)</f>
        <v>0</v>
      </c>
      <c r="L125" s="402">
        <f>MAX(TREND(L120:L121,B120:B121,B125),0)</f>
        <v>0</v>
      </c>
      <c r="M125" s="403">
        <f>IFERROR(IF(INDEX(HwyTransitModelGroup,A114,1)=Hwy,C125*E125/G125,K125/G125),0)</f>
        <v>31543.3</v>
      </c>
      <c r="N125" s="404">
        <f>IFERROR(IF(INDEX(HwyTransitModelGroup,A114,1)=Hwy,D125*F125/H125,L125/H125),0)</f>
        <v>14713.15</v>
      </c>
      <c r="O125" s="402">
        <f>TREND(O120:O121,$B120:$B121,$B125)</f>
        <v>1</v>
      </c>
      <c r="P125" s="998">
        <f>IF(INDEX(HwyTransitModelGroup,A114,1)=Hwy,G125*M125*(I125*ValTimeTruck+(1-I125)*ValTimeAuto)-O125*N125*(J125*ValTimeTruck+(1-J125)*ValTimeAuto),G125*IF(INDEX(NoTransit20,A114)=TRUE,INDEX(DivIndTrips,A114,4)/IF(INDEX(DivIndTrips,A114,3)=0,1,INDEX(DivIndTrips,A114,3)),M125)*ValTimeAuto-O125*N125*ValTimeAuto)*(1+TTUprater)^($B125-YearCurrent)</f>
        <v>352221.37920000008</v>
      </c>
      <c r="Q125" s="780">
        <f t="shared" si="22"/>
        <v>352221.37920000008</v>
      </c>
      <c r="R125" s="370">
        <f t="shared" si="23"/>
        <v>278365.67225446587</v>
      </c>
      <c r="S125" s="371"/>
      <c r="T125" s="378">
        <f>TREND(T120:T121,$B120:$B121,$B125)</f>
        <v>16830.150000000023</v>
      </c>
    </row>
    <row r="126" spans="1:20" x14ac:dyDescent="0.2">
      <c r="B126" s="375">
        <f t="shared" si="24"/>
        <v>2029</v>
      </c>
      <c r="C126" s="401">
        <f>MAX(TREND(C120:C121,B120:B121,B126),0)</f>
        <v>22046</v>
      </c>
      <c r="D126" s="402">
        <f>MAX(TREND(D120:D121,B120:B121,B126),0)</f>
        <v>10293</v>
      </c>
      <c r="E126" s="403">
        <f>MAX(TREND(E120:E121,B120:B121,B126),0)</f>
        <v>1.45</v>
      </c>
      <c r="F126" s="404">
        <f>MAX(TREND(F120:F121,B120:B121,B126),0)</f>
        <v>1.45</v>
      </c>
      <c r="G126" s="401">
        <f>MAX(TREND(G120:G121,$B120:$B121,$B126),0)</f>
        <v>1</v>
      </c>
      <c r="H126" s="402">
        <f>MAX(TREND(H120:H121,$B120:$B121,$B126),0)</f>
        <v>1</v>
      </c>
      <c r="I126" s="405">
        <f>MIN(MAX(TREND(I120:I121,B120:B121,B126),0),1)</f>
        <v>0.24</v>
      </c>
      <c r="J126" s="772">
        <f>MIN(MAX(TREND(J120:J121,B120:B121,B126),0),1)</f>
        <v>0.24</v>
      </c>
      <c r="K126" s="401">
        <f>MAX(TREND(K120:K121,B120:B121,B126),0)</f>
        <v>0</v>
      </c>
      <c r="L126" s="402">
        <f>MAX(TREND(L120:L121,B120:B121,B126),0)</f>
        <v>0</v>
      </c>
      <c r="M126" s="403">
        <f>IFERROR(IF(INDEX(HwyTransitModelGroup,A114,1)=Hwy,C126*E126/G126,K126/G126),0)</f>
        <v>31966.7</v>
      </c>
      <c r="N126" s="404">
        <f>IFERROR(IF(INDEX(HwyTransitModelGroup,A114,1)=Hwy,D126*F126/H126,L126/H126),0)</f>
        <v>14924.85</v>
      </c>
      <c r="O126" s="402">
        <f>TREND(O120:O121,$B120:$B121,$B126)</f>
        <v>1</v>
      </c>
      <c r="P126" s="998">
        <f>IF(INDEX(HwyTransitModelGroup,A114,1)=Hwy,G126*M126*(I126*ValTimeTruck+(1-I126)*ValTimeAuto)-O126*N126*(J126*ValTimeTruck+(1-J126)*ValTimeAuto),G126*IF(INDEX(NoTransit20,A114)=TRUE,INDEX(DivIndTrips,A114,4)/IF(INDEX(DivIndTrips,A114,3)=0,1,INDEX(DivIndTrips,A114,3)),M126)*ValTimeAuto-O126*N126*ValTimeAuto)*(1+TTUprater)^($B126-YearCurrent)</f>
        <v>356651.83680000016</v>
      </c>
      <c r="Q126" s="780">
        <f t="shared" si="22"/>
        <v>356651.83680000016</v>
      </c>
      <c r="R126" s="370">
        <f t="shared" si="23"/>
        <v>271026.08389555529</v>
      </c>
      <c r="S126" s="371"/>
      <c r="T126" s="378">
        <f>TREND(T120:T121,$B120:$B121,$B126)</f>
        <v>17041.850000000035</v>
      </c>
    </row>
    <row r="127" spans="1:20" x14ac:dyDescent="0.2">
      <c r="B127" s="375">
        <f t="shared" si="24"/>
        <v>2030</v>
      </c>
      <c r="C127" s="401">
        <f>MAX(TREND(C120:C121,B120:B121,B127),0)</f>
        <v>22338</v>
      </c>
      <c r="D127" s="402">
        <f>MAX(TREND(D120:D121,B120:B121,B127),0)</f>
        <v>10439</v>
      </c>
      <c r="E127" s="403">
        <f>MAX(TREND(E120:E121,B120:B121,B127),0)</f>
        <v>1.45</v>
      </c>
      <c r="F127" s="404">
        <f>MAX(TREND(F120:F121,B120:B121,B127),0)</f>
        <v>1.45</v>
      </c>
      <c r="G127" s="401">
        <f>MAX(TREND(G120:G121,$B120:$B121,$B127),0)</f>
        <v>1</v>
      </c>
      <c r="H127" s="402">
        <f>MAX(TREND(H120:H121,$B120:$B121,$B127),0)</f>
        <v>1</v>
      </c>
      <c r="I127" s="405">
        <f>MIN(MAX(TREND(I120:I121,B120:B121,B127),0),1)</f>
        <v>0.24</v>
      </c>
      <c r="J127" s="772">
        <f>MIN(MAX(TREND(J120:J121,B120:B121,B127),0),1)</f>
        <v>0.24</v>
      </c>
      <c r="K127" s="401">
        <f>MAX(TREND(K120:K121,B120:B121,B127),0)</f>
        <v>0</v>
      </c>
      <c r="L127" s="402">
        <f>MAX(TREND(L120:L121,B120:B121,B127),0)</f>
        <v>0</v>
      </c>
      <c r="M127" s="403">
        <f>IFERROR(IF(INDEX(HwyTransitModelGroup,A114,1)=Hwy,C127*E127/G127,K127/G127),0)</f>
        <v>32390.1</v>
      </c>
      <c r="N127" s="404">
        <f>IFERROR(IF(INDEX(HwyTransitModelGroup,A114,1)=Hwy,D127*F127/H127,L127/H127),0)</f>
        <v>15136.55</v>
      </c>
      <c r="O127" s="402">
        <f>TREND(O120:O121,$B120:$B121,$B127)</f>
        <v>1</v>
      </c>
      <c r="P127" s="998">
        <f>IF(INDEX(HwyTransitModelGroup,A114,1)=Hwy,G127*M127*(I127*ValTimeTruck+(1-I127)*ValTimeAuto)-O127*N127*(J127*ValTimeTruck+(1-J127)*ValTimeAuto),G127*IF(INDEX(NoTransit20,A114)=TRUE,INDEX(DivIndTrips,A114,4)/IF(INDEX(DivIndTrips,A114,3)=0,1,INDEX(DivIndTrips,A114,3)),M127)*ValTimeAuto-O127*N127*ValTimeAuto)*(1+TTUprater)^($B127-YearCurrent)</f>
        <v>361082.29440000007</v>
      </c>
      <c r="Q127" s="780">
        <f t="shared" si="22"/>
        <v>361082.29440000007</v>
      </c>
      <c r="R127" s="370">
        <f t="shared" si="23"/>
        <v>263839.29571772274</v>
      </c>
      <c r="S127" s="371"/>
      <c r="T127" s="378">
        <f>TREND(T120:T121,$B120:$B121,$B127)</f>
        <v>17253.550000000047</v>
      </c>
    </row>
    <row r="128" spans="1:20" x14ac:dyDescent="0.2">
      <c r="B128" s="375">
        <f t="shared" si="24"/>
        <v>2031</v>
      </c>
      <c r="C128" s="401">
        <f>MAX(TREND(C120:C121,B120:B121,B128),0)</f>
        <v>22630</v>
      </c>
      <c r="D128" s="402">
        <f>MAX(TREND(D120:D121,B120:B121,B128),0)</f>
        <v>10585</v>
      </c>
      <c r="E128" s="403">
        <f>MAX(TREND(E120:E121,B120:B121,B128),0)</f>
        <v>1.45</v>
      </c>
      <c r="F128" s="404">
        <f>MAX(TREND(F120:F121,B120:B121,B128),0)</f>
        <v>1.45</v>
      </c>
      <c r="G128" s="401">
        <f>MAX(TREND(G120:G121,$B120:$B121,$B128),0)</f>
        <v>1</v>
      </c>
      <c r="H128" s="402">
        <f>MAX(TREND(H120:H121,$B120:$B121,$B128),0)</f>
        <v>1</v>
      </c>
      <c r="I128" s="405">
        <f>MIN(MAX(TREND(I120:I121,B120:B121,B128),0),1)</f>
        <v>0.24</v>
      </c>
      <c r="J128" s="772">
        <f>MIN(MAX(TREND(J120:J121,B120:B121,B128),0),1)</f>
        <v>0.24</v>
      </c>
      <c r="K128" s="401">
        <f>MAX(TREND(K120:K121,B120:B121,B128),0)</f>
        <v>0</v>
      </c>
      <c r="L128" s="402">
        <f>MAX(TREND(L120:L121,B120:B121,B128),0)</f>
        <v>0</v>
      </c>
      <c r="M128" s="403">
        <f>IFERROR(IF(INDEX(HwyTransitModelGroup,A114,1)=Hwy,C128*E128/G128,K128/G128),0)</f>
        <v>32813.5</v>
      </c>
      <c r="N128" s="404">
        <f>IFERROR(IF(INDEX(HwyTransitModelGroup,A114,1)=Hwy,D128*F128/H128,L128/H128),0)</f>
        <v>15348.25</v>
      </c>
      <c r="O128" s="402">
        <f>TREND(O120:O121,$B120:$B121,$B128)</f>
        <v>1</v>
      </c>
      <c r="P128" s="998">
        <f>IF(INDEX(HwyTransitModelGroup,A114,1)=Hwy,G128*M128*(I128*ValTimeTruck+(1-I128)*ValTimeAuto)-O128*N128*(J128*ValTimeTruck+(1-J128)*ValTimeAuto),G128*IF(INDEX(NoTransit20,A114)=TRUE,INDEX(DivIndTrips,A114,4)/IF(INDEX(DivIndTrips,A114,3)=0,1,INDEX(DivIndTrips,A114,3)),M128)*ValTimeAuto-O128*N128*ValTimeAuto)*(1+TTUprater)^($B128-YearCurrent)</f>
        <v>365512.75200000009</v>
      </c>
      <c r="Q128" s="780">
        <f t="shared" si="22"/>
        <v>365512.75200000009</v>
      </c>
      <c r="R128" s="370">
        <f t="shared" si="23"/>
        <v>256804.41124011471</v>
      </c>
      <c r="S128" s="371"/>
      <c r="T128" s="378">
        <f>TREND(T120:T121,$B120:$B121,$B128)</f>
        <v>17465.25</v>
      </c>
    </row>
    <row r="129" spans="2:20" x14ac:dyDescent="0.2">
      <c r="B129" s="375">
        <f t="shared" si="24"/>
        <v>2032</v>
      </c>
      <c r="C129" s="401">
        <f>MAX(TREND(C120:C121,B120:B121,B129),0)</f>
        <v>22922</v>
      </c>
      <c r="D129" s="402">
        <f>MAX(TREND(D120:D121,B120:B121,B129),0)</f>
        <v>10731</v>
      </c>
      <c r="E129" s="403">
        <f>MAX(TREND(E120:E121,B120:B121,B129),0)</f>
        <v>1.45</v>
      </c>
      <c r="F129" s="404">
        <f>MAX(TREND(F120:F121,B120:B121,B129),0)</f>
        <v>1.45</v>
      </c>
      <c r="G129" s="401">
        <f>MAX(TREND(G120:G121,$B120:$B121,$B129),0)</f>
        <v>1</v>
      </c>
      <c r="H129" s="402">
        <f>MAX(TREND(H120:H121,$B120:$B121,$B129),0)</f>
        <v>1</v>
      </c>
      <c r="I129" s="405">
        <f>MIN(MAX(TREND(I120:I121,B120:B121,B129),0),1)</f>
        <v>0.24</v>
      </c>
      <c r="J129" s="772">
        <f>MIN(MAX(TREND(J120:J121,B120:B121,B129),0),1)</f>
        <v>0.24</v>
      </c>
      <c r="K129" s="401">
        <f>MAX(TREND(K120:K121,B120:B121,B129),0)</f>
        <v>0</v>
      </c>
      <c r="L129" s="402">
        <f>MAX(TREND(L120:L121,B120:B121,B129),0)</f>
        <v>0</v>
      </c>
      <c r="M129" s="403">
        <f>IFERROR(IF(INDEX(HwyTransitModelGroup,A114,1)=Hwy,C129*E129/G129,K129/G129),0)</f>
        <v>33236.9</v>
      </c>
      <c r="N129" s="404">
        <f>IFERROR(IF(INDEX(HwyTransitModelGroup,A114,1)=Hwy,D129*F129/H129,L129/H129),0)</f>
        <v>15559.949999999999</v>
      </c>
      <c r="O129" s="402">
        <f>TREND(O120:O121,$B120:$B121,$B129)</f>
        <v>1</v>
      </c>
      <c r="P129" s="998">
        <f>IF(INDEX(HwyTransitModelGroup,A114,1)=Hwy,G129*M129*(I129*ValTimeTruck+(1-I129)*ValTimeAuto)-O129*N129*(J129*ValTimeTruck+(1-J129)*ValTimeAuto),G129*IF(INDEX(NoTransit20,A114)=TRUE,INDEX(DivIndTrips,A114,4)/IF(INDEX(DivIndTrips,A114,3)=0,1,INDEX(DivIndTrips,A114,3)),M129)*ValTimeAuto-O129*N129*ValTimeAuto)*(1+TTUprater)^($B129-YearCurrent)</f>
        <v>369943.20960000006</v>
      </c>
      <c r="Q129" s="780">
        <f t="shared" si="22"/>
        <v>369943.20960000006</v>
      </c>
      <c r="R129" s="370">
        <f t="shared" si="23"/>
        <v>249920.37690617223</v>
      </c>
      <c r="S129" s="371"/>
      <c r="T129" s="378">
        <f>TREND(T120:T121,$B120:$B121,$B129)</f>
        <v>17676.950000000012</v>
      </c>
    </row>
    <row r="130" spans="2:20" x14ac:dyDescent="0.2">
      <c r="B130" s="375">
        <f t="shared" si="24"/>
        <v>2033</v>
      </c>
      <c r="C130" s="401">
        <f>MAX(TREND(C120:C121,B120:B121,B130),0)</f>
        <v>23214</v>
      </c>
      <c r="D130" s="402">
        <f>MAX(TREND(D120:D121,B120:B121,B130),0)</f>
        <v>10877</v>
      </c>
      <c r="E130" s="403">
        <f>MAX(TREND(E120:E121,B120:B121,B130),0)</f>
        <v>1.45</v>
      </c>
      <c r="F130" s="404">
        <f>MAX(TREND(F120:F121,B120:B121,B130),0)</f>
        <v>1.45</v>
      </c>
      <c r="G130" s="401">
        <f>MAX(TREND(G120:G121,$B120:$B121,$B130),0)</f>
        <v>1</v>
      </c>
      <c r="H130" s="402">
        <f>MAX(TREND(H120:H121,$B120:$B121,$B130),0)</f>
        <v>1</v>
      </c>
      <c r="I130" s="405">
        <f>MIN(MAX(TREND(I120:I121,B120:B121,B130),0),1)</f>
        <v>0.24</v>
      </c>
      <c r="J130" s="772">
        <f>MIN(MAX(TREND(J120:J121,B120:B121,B130),0),1)</f>
        <v>0.24</v>
      </c>
      <c r="K130" s="401">
        <f>MAX(TREND(K120:K121,B120:B121,B130),0)</f>
        <v>0</v>
      </c>
      <c r="L130" s="402">
        <f>MAX(TREND(L120:L121,B120:B121,B130),0)</f>
        <v>0</v>
      </c>
      <c r="M130" s="403">
        <f>IFERROR(IF(INDEX(HwyTransitModelGroup,A114,1)=Hwy,C130*E130/G130,K130/G130),0)</f>
        <v>33660.299999999996</v>
      </c>
      <c r="N130" s="404">
        <f>IFERROR(IF(INDEX(HwyTransitModelGroup,A114,1)=Hwy,D130*F130/H130,L130/H130),0)</f>
        <v>15771.65</v>
      </c>
      <c r="O130" s="402">
        <f>TREND(O120:O121,$B120:$B121,$B130)</f>
        <v>1</v>
      </c>
      <c r="P130" s="998">
        <f>IF(INDEX(HwyTransitModelGroup,A114,1)=Hwy,G130*M130*(I130*ValTimeTruck+(1-I130)*ValTimeAuto)-O130*N130*(J130*ValTimeTruck+(1-J130)*ValTimeAuto),G130*IF(INDEX(NoTransit20,A114)=TRUE,INDEX(DivIndTrips,A114,4)/IF(INDEX(DivIndTrips,A114,3)=0,1,INDEX(DivIndTrips,A114,3)),M130)*ValTimeAuto-O130*N130*ValTimeAuto)*(1+TTUprater)^($B130-YearCurrent)</f>
        <v>374373.66719999997</v>
      </c>
      <c r="Q130" s="780">
        <f t="shared" si="22"/>
        <v>374373.66719999997</v>
      </c>
      <c r="R130" s="370">
        <f t="shared" si="23"/>
        <v>243185.99549253282</v>
      </c>
      <c r="S130" s="371"/>
      <c r="T130" s="378">
        <f>TREND(T120:T121,$B120:$B121,$B130)</f>
        <v>17888.650000000023</v>
      </c>
    </row>
    <row r="131" spans="2:20" x14ac:dyDescent="0.2">
      <c r="B131" s="375">
        <f t="shared" si="24"/>
        <v>2034</v>
      </c>
      <c r="C131" s="401">
        <f>MAX(TREND(C120:C121,B120:B121,B131),0)</f>
        <v>23506</v>
      </c>
      <c r="D131" s="402">
        <f>MAX(TREND(D120:D121,B120:B121,B131),0)</f>
        <v>11023</v>
      </c>
      <c r="E131" s="403">
        <f>MAX(TREND(E120:E121,B120:B121,B131),0)</f>
        <v>1.45</v>
      </c>
      <c r="F131" s="404">
        <f>MAX(TREND(F120:F121,B120:B121,B131),0)</f>
        <v>1.45</v>
      </c>
      <c r="G131" s="401">
        <f>MAX(TREND(G120:G121,$B120:$B121,$B131),0)</f>
        <v>1</v>
      </c>
      <c r="H131" s="402">
        <f>MAX(TREND(H120:H121,$B120:$B121,$B131),0)</f>
        <v>1</v>
      </c>
      <c r="I131" s="405">
        <f>MIN(MAX(TREND(I120:I121,B120:B121,B131),0),1)</f>
        <v>0.24</v>
      </c>
      <c r="J131" s="772">
        <f>MIN(MAX(TREND(J120:J121,B120:B121,B131),0),1)</f>
        <v>0.24</v>
      </c>
      <c r="K131" s="401">
        <f>MAX(TREND(K120:K121,B120:B121,B131),0)</f>
        <v>0</v>
      </c>
      <c r="L131" s="402">
        <f>MAX(TREND(L120:L121,B120:B121,B131),0)</f>
        <v>0</v>
      </c>
      <c r="M131" s="403">
        <f>IFERROR(IF(INDEX(HwyTransitModelGroup,A114,1)=Hwy,C131*E131/G131,K131/G131),0)</f>
        <v>34083.699999999997</v>
      </c>
      <c r="N131" s="404">
        <f>IFERROR(IF(INDEX(HwyTransitModelGroup,A114,1)=Hwy,D131*F131/H131,L131/H131),0)</f>
        <v>15983.35</v>
      </c>
      <c r="O131" s="402">
        <f>TREND(O120:O121,$B120:$B121,$B131)</f>
        <v>1</v>
      </c>
      <c r="P131" s="998">
        <f>IF(INDEX(HwyTransitModelGroup,A114,1)=Hwy,G131*M131*(I131*ValTimeTruck+(1-I131)*ValTimeAuto)-O131*N131*(J131*ValTimeTruck+(1-J131)*ValTimeAuto),G131*IF(INDEX(NoTransit20,A114)=TRUE,INDEX(DivIndTrips,A114,4)/IF(INDEX(DivIndTrips,A114,3)=0,1,INDEX(DivIndTrips,A114,3)),M131)*ValTimeAuto-O131*N131*ValTimeAuto)*(1+TTUprater)^($B131-YearCurrent)</f>
        <v>378804.12479999999</v>
      </c>
      <c r="Q131" s="780">
        <f t="shared" si="22"/>
        <v>378804.12479999999</v>
      </c>
      <c r="R131" s="370">
        <f t="shared" si="23"/>
        <v>236599.93871883876</v>
      </c>
      <c r="S131" s="371"/>
      <c r="T131" s="378">
        <f>TREND(T120:T121,$B120:$B121,$B131)</f>
        <v>18100.350000000035</v>
      </c>
    </row>
    <row r="132" spans="2:20" x14ac:dyDescent="0.2">
      <c r="B132" s="375">
        <f t="shared" si="24"/>
        <v>2035</v>
      </c>
      <c r="C132" s="401">
        <f>MAX(TREND(C120:C121,B120:B121,B132),0)</f>
        <v>23798</v>
      </c>
      <c r="D132" s="402">
        <f>MAX(TREND(D120:D121,B120:B121,B132),0)</f>
        <v>11169</v>
      </c>
      <c r="E132" s="403">
        <f>MAX(TREND(E120:E121,B120:B121,B132),0)</f>
        <v>1.45</v>
      </c>
      <c r="F132" s="404">
        <f>MAX(TREND(F120:F121,B120:B121,B132),0)</f>
        <v>1.45</v>
      </c>
      <c r="G132" s="401">
        <f>MAX(TREND(G120:G121,$B120:$B121,$B132),0)</f>
        <v>1</v>
      </c>
      <c r="H132" s="402">
        <f>MAX(TREND(H120:H121,$B120:$B121,$B132),0)</f>
        <v>1</v>
      </c>
      <c r="I132" s="405">
        <f>MIN(MAX(TREND(I120:I121,B120:B121,B132),0),1)</f>
        <v>0.24</v>
      </c>
      <c r="J132" s="772">
        <f>MIN(MAX(TREND(J120:J121,B120:B121,B132),0),1)</f>
        <v>0.24</v>
      </c>
      <c r="K132" s="401">
        <f>MAX(TREND(K120:K121,B120:B121,B132),0)</f>
        <v>0</v>
      </c>
      <c r="L132" s="402">
        <f>MAX(TREND(L120:L121,B120:B121,B132),0)</f>
        <v>0</v>
      </c>
      <c r="M132" s="403">
        <f>IFERROR(IF(INDEX(HwyTransitModelGroup,A114,1)=Hwy,C132*E132/G132,K132/G132),0)</f>
        <v>34507.1</v>
      </c>
      <c r="N132" s="404">
        <f>IFERROR(IF(INDEX(HwyTransitModelGroup,A114,1)=Hwy,D132*F132/H132,L132/H132),0)</f>
        <v>16195.05</v>
      </c>
      <c r="O132" s="402">
        <f>TREND(O120:O121,$B120:$B121,$B132)</f>
        <v>1</v>
      </c>
      <c r="P132" s="998">
        <f>IF(INDEX(HwyTransitModelGroup,A114,1)=Hwy,G132*M132*(I132*ValTimeTruck+(1-I132)*ValTimeAuto)-O132*N132*(J132*ValTimeTruck+(1-J132)*ValTimeAuto),G132*IF(INDEX(NoTransit20,A114)=TRUE,INDEX(DivIndTrips,A114,4)/IF(INDEX(DivIndTrips,A114,3)=0,1,INDEX(DivIndTrips,A114,3)),M132)*ValTimeAuto-O132*N132*ValTimeAuto)*(1+TTUprater)^($B132-YearCurrent)</f>
        <v>383234.58240000007</v>
      </c>
      <c r="Q132" s="780">
        <f t="shared" si="22"/>
        <v>383234.58240000007</v>
      </c>
      <c r="R132" s="370">
        <f t="shared" si="23"/>
        <v>230160.75910008501</v>
      </c>
      <c r="S132" s="371"/>
      <c r="T132" s="378">
        <f>TREND(T120:T121,$B120:$B121,$B132)</f>
        <v>18312.050000000047</v>
      </c>
    </row>
    <row r="133" spans="2:20" x14ac:dyDescent="0.2">
      <c r="B133" s="375">
        <f t="shared" si="24"/>
        <v>2036</v>
      </c>
      <c r="C133" s="401">
        <f>MAX(TREND(C120:C121,B120:B121,B133),0)</f>
        <v>24090</v>
      </c>
      <c r="D133" s="402">
        <f>MAX(TREND(D120:D121,B120:B121,B133),0)</f>
        <v>11315</v>
      </c>
      <c r="E133" s="403">
        <f>MAX(TREND(E120:E121,B120:B121,B133),0)</f>
        <v>1.45</v>
      </c>
      <c r="F133" s="404">
        <f>MAX(TREND(F120:F121,B120:B121,B133),0)</f>
        <v>1.45</v>
      </c>
      <c r="G133" s="401">
        <f>MAX(TREND(G120:G121,$B120:$B121,$B133),0)</f>
        <v>1</v>
      </c>
      <c r="H133" s="402">
        <f>MAX(TREND(H120:H121,$B120:$B121,$B133),0)</f>
        <v>1</v>
      </c>
      <c r="I133" s="405">
        <f>MIN(MAX(TREND(I120:I121,B120:B121,B133),0),1)</f>
        <v>0.24</v>
      </c>
      <c r="J133" s="772">
        <f>MIN(MAX(TREND(J120:J121,B120:B121,B133),0),1)</f>
        <v>0.24</v>
      </c>
      <c r="K133" s="401">
        <f>MAX(TREND(K120:K121,B120:B121,B133),0)</f>
        <v>0</v>
      </c>
      <c r="L133" s="402">
        <f>MAX(TREND(L120:L121,B120:B121,B133),0)</f>
        <v>0</v>
      </c>
      <c r="M133" s="403">
        <f>IFERROR(IF(INDEX(HwyTransitModelGroup,A114,1)=Hwy,C133*E133/G133,K133/G133),0)</f>
        <v>34930.5</v>
      </c>
      <c r="N133" s="404">
        <f>IFERROR(IF(INDEX(HwyTransitModelGroup,A114,1)=Hwy,D133*F133/H133,L133/H133),0)</f>
        <v>16406.75</v>
      </c>
      <c r="O133" s="402">
        <f>TREND(O120:O121,$B120:$B121,$B133)</f>
        <v>1</v>
      </c>
      <c r="P133" s="998">
        <f>IF(INDEX(HwyTransitModelGroup,A114,1)=Hwy,G133*M133*(I133*ValTimeTruck+(1-I133)*ValTimeAuto)-O133*N133*(J133*ValTimeTruck+(1-J133)*ValTimeAuto),G133*IF(INDEX(NoTransit20,A114)=TRUE,INDEX(DivIndTrips,A114,4)/IF(INDEX(DivIndTrips,A114,3)=0,1,INDEX(DivIndTrips,A114,3)),M133)*ValTimeAuto-O133*N133*ValTimeAuto)*(1+TTUprater)^($B133-YearCurrent)</f>
        <v>387665.0400000001</v>
      </c>
      <c r="Q133" s="780">
        <f t="shared" si="22"/>
        <v>387665.0400000001</v>
      </c>
      <c r="R133" s="370">
        <f t="shared" si="23"/>
        <v>223866.9010811187</v>
      </c>
      <c r="S133" s="371"/>
      <c r="T133" s="378">
        <f>TREND(T120:T121,$B120:$B121,$B133)</f>
        <v>18523.75</v>
      </c>
    </row>
    <row r="134" spans="2:20" x14ac:dyDescent="0.2">
      <c r="B134" s="375">
        <f t="shared" si="24"/>
        <v>2037</v>
      </c>
      <c r="C134" s="401">
        <f>MAX(TREND(C120:C121,B120:B121,B134),0)</f>
        <v>24382</v>
      </c>
      <c r="D134" s="402">
        <f>MAX(TREND(D120:D121,B120:B121,B134),0)</f>
        <v>11461</v>
      </c>
      <c r="E134" s="403">
        <f>MAX(TREND(E120:E121,B120:B121,B134),0)</f>
        <v>1.45</v>
      </c>
      <c r="F134" s="404">
        <f>MAX(TREND(F120:F121,B120:B121,B134),0)</f>
        <v>1.45</v>
      </c>
      <c r="G134" s="401">
        <f>MAX(TREND(G120:G121,$B120:$B121,$B134),0)</f>
        <v>1</v>
      </c>
      <c r="H134" s="402">
        <f>MAX(TREND(H120:H121,$B120:$B121,$B134),0)</f>
        <v>1</v>
      </c>
      <c r="I134" s="405">
        <f>MIN(MAX(TREND(I120:I121,B120:B121,B134),0),1)</f>
        <v>0.24</v>
      </c>
      <c r="J134" s="772">
        <f>MIN(MAX(TREND(J120:J121,B120:B121,B134),0),1)</f>
        <v>0.24</v>
      </c>
      <c r="K134" s="401">
        <f>MAX(TREND(K120:K121,B120:B121,B134),0)</f>
        <v>0</v>
      </c>
      <c r="L134" s="402">
        <f>MAX(TREND(L120:L121,B120:B121,B134),0)</f>
        <v>0</v>
      </c>
      <c r="M134" s="403">
        <f>IFERROR(IF(INDEX(HwyTransitModelGroup,A114,1)=Hwy,C134*E134/G134,K134/G134),0)</f>
        <v>35353.9</v>
      </c>
      <c r="N134" s="404">
        <f>IFERROR(IF(INDEX(HwyTransitModelGroup,A114,1)=Hwy,D134*F134/H134,L134/H134),0)</f>
        <v>16618.45</v>
      </c>
      <c r="O134" s="402">
        <f>TREND(O120:O121,$B120:$B121,$B134)</f>
        <v>1</v>
      </c>
      <c r="P134" s="998">
        <f>IF(INDEX(HwyTransitModelGroup,A114,1)=Hwy,G134*M134*(I134*ValTimeTruck+(1-I134)*ValTimeAuto)-O134*N134*(J134*ValTimeTruck+(1-J134)*ValTimeAuto),G134*IF(INDEX(NoTransit20,A114)=TRUE,INDEX(DivIndTrips,A114,4)/IF(INDEX(DivIndTrips,A114,3)=0,1,INDEX(DivIndTrips,A114,3)),M134)*ValTimeAuto-O134*N134*ValTimeAuto)*(1+TTUprater)^($B134-YearCurrent)</f>
        <v>392095.49760000018</v>
      </c>
      <c r="Q134" s="780">
        <f t="shared" si="22"/>
        <v>392095.49760000018</v>
      </c>
      <c r="R134" s="370">
        <f t="shared" si="23"/>
        <v>217716.71149097814</v>
      </c>
      <c r="S134" s="371"/>
      <c r="T134" s="378">
        <f>TREND(T120:T121,$B120:$B121,$B134)</f>
        <v>18735.450000000012</v>
      </c>
    </row>
    <row r="135" spans="2:20" x14ac:dyDescent="0.2">
      <c r="B135" s="375">
        <f t="shared" si="24"/>
        <v>2038</v>
      </c>
      <c r="C135" s="401">
        <f>MAX(TREND(C120:C121,B120:B121,B135),0)</f>
        <v>24674</v>
      </c>
      <c r="D135" s="402">
        <f>MAX(TREND(D120:D121,B120:B121,B135),0)</f>
        <v>11607</v>
      </c>
      <c r="E135" s="403">
        <f>MAX(TREND(E120:E121,B120:B121,B135),0)</f>
        <v>1.45</v>
      </c>
      <c r="F135" s="404">
        <f>MAX(TREND(F120:F121,B120:B121,B135),0)</f>
        <v>1.45</v>
      </c>
      <c r="G135" s="401">
        <f>MAX(TREND(G120:G121,$B120:$B121,$B135),0)</f>
        <v>1</v>
      </c>
      <c r="H135" s="402">
        <f>MAX(TREND(H120:H121,$B120:$B121,$B135),0)</f>
        <v>1</v>
      </c>
      <c r="I135" s="405">
        <f>MIN(MAX(TREND(I120:I121,B120:B121,B135),0),1)</f>
        <v>0.24</v>
      </c>
      <c r="J135" s="772">
        <f>MIN(MAX(TREND(J120:J121,B120:B121,B135),0),1)</f>
        <v>0.24</v>
      </c>
      <c r="K135" s="401">
        <f>MAX(TREND(K120:K121,B120:B121,B135),0)</f>
        <v>0</v>
      </c>
      <c r="L135" s="402">
        <f>MAX(TREND(L120:L121,B120:B121,B135),0)</f>
        <v>0</v>
      </c>
      <c r="M135" s="403">
        <f>IFERROR(IF(INDEX(HwyTransitModelGroup,A114,1)=Hwy,C135*E135/G135,K135/G135),0)</f>
        <v>35777.299999999996</v>
      </c>
      <c r="N135" s="404">
        <f>IFERROR(IF(INDEX(HwyTransitModelGroup,A114,1)=Hwy,D135*F135/H135,L135/H135),0)</f>
        <v>16830.149999999998</v>
      </c>
      <c r="O135" s="402">
        <f>TREND(O120:O121,$B120:$B121,$B135)</f>
        <v>1</v>
      </c>
      <c r="P135" s="998">
        <f>IF(INDEX(HwyTransitModelGroup,A114,1)=Hwy,G135*M135*(I135*ValTimeTruck+(1-I135)*ValTimeAuto)-O135*N135*(J135*ValTimeTruck+(1-J135)*ValTimeAuto),G135*IF(INDEX(NoTransit20,A114)=TRUE,INDEX(DivIndTrips,A114,4)/IF(INDEX(DivIndTrips,A114,3)=0,1,INDEX(DivIndTrips,A114,3)),M135)*ValTimeAuto-O135*N135*ValTimeAuto)*(1+TTUprater)^($B135-YearCurrent)</f>
        <v>396525.95520000003</v>
      </c>
      <c r="Q135" s="780">
        <f t="shared" si="22"/>
        <v>396525.95520000003</v>
      </c>
      <c r="R135" s="370">
        <f t="shared" si="23"/>
        <v>211708.44935291755</v>
      </c>
      <c r="S135" s="371"/>
      <c r="T135" s="378">
        <f>TREND(T120:T121,$B120:$B121,$B135)</f>
        <v>18947.150000000023</v>
      </c>
    </row>
    <row r="136" spans="2:20" x14ac:dyDescent="0.2">
      <c r="B136" s="375">
        <f t="shared" si="24"/>
        <v>2039</v>
      </c>
      <c r="C136" s="401">
        <f>MAX(TREND(C120:C121,B120:B121,B136),0)</f>
        <v>24966</v>
      </c>
      <c r="D136" s="402">
        <f>MAX(TREND(D120:D121,B120:B121,B136),0)</f>
        <v>11753</v>
      </c>
      <c r="E136" s="403">
        <f>MAX(TREND(E120:E121,B120:B121,B136),0)</f>
        <v>1.45</v>
      </c>
      <c r="F136" s="404">
        <f>MAX(TREND(F120:F121,B120:B121,B136),0)</f>
        <v>1.45</v>
      </c>
      <c r="G136" s="401">
        <f>MAX(TREND(G120:G121,$B120:$B121,$B136),0)</f>
        <v>1</v>
      </c>
      <c r="H136" s="402">
        <f>MAX(TREND(H120:H121,$B120:$B121,$B136),0)</f>
        <v>1</v>
      </c>
      <c r="I136" s="405">
        <f>MIN(MAX(TREND(I120:I121,B120:B121,B136),0),1)</f>
        <v>0.24</v>
      </c>
      <c r="J136" s="772">
        <f>MIN(MAX(TREND(J120:J121,B120:B121,B136),0),1)</f>
        <v>0.24</v>
      </c>
      <c r="K136" s="401">
        <f>MAX(TREND(K120:K121,B120:B121,B136),0)</f>
        <v>0</v>
      </c>
      <c r="L136" s="402">
        <f>MAX(TREND(L120:L121,B120:B121,B136),0)</f>
        <v>0</v>
      </c>
      <c r="M136" s="403">
        <f>IFERROR(IF(INDEX(HwyTransitModelGroup,A114,1)=Hwy,C136*E136/G136,K136/G136),0)</f>
        <v>36200.699999999997</v>
      </c>
      <c r="N136" s="404">
        <f>IFERROR(IF(INDEX(HwyTransitModelGroup,A114,1)=Hwy,D136*F136/H136,L136/H136),0)</f>
        <v>17041.849999999999</v>
      </c>
      <c r="O136" s="402">
        <f>TREND(O120:O121,$B120:$B121,$B136)</f>
        <v>1</v>
      </c>
      <c r="P136" s="998">
        <f>IF(INDEX(HwyTransitModelGroup,A114,1)=Hwy,G136*M136*(I136*ValTimeTruck+(1-I136)*ValTimeAuto)-O136*N136*(J136*ValTimeTruck+(1-J136)*ValTimeAuto),G136*IF(INDEX(NoTransit20,A114)=TRUE,INDEX(DivIndTrips,A114,4)/IF(INDEX(DivIndTrips,A114,3)=0,1,INDEX(DivIndTrips,A114,3)),M136)*ValTimeAuto-O136*N136*ValTimeAuto)*(1+TTUprater)^($B136-YearCurrent)</f>
        <v>400956.41280000005</v>
      </c>
      <c r="Q136" s="780">
        <f t="shared" si="22"/>
        <v>400956.41280000005</v>
      </c>
      <c r="R136" s="370">
        <f t="shared" si="23"/>
        <v>205840.29508421829</v>
      </c>
      <c r="S136" s="371"/>
      <c r="T136" s="378">
        <f>TREND(T120:T121,$B120:$B121,$B136)</f>
        <v>19158.850000000035</v>
      </c>
    </row>
    <row r="137" spans="2:20" x14ac:dyDescent="0.2">
      <c r="B137" s="375">
        <f t="shared" si="24"/>
        <v>2040</v>
      </c>
      <c r="C137" s="401">
        <f>MAX(TREND(C120:C121,B120:B121,B137),0)</f>
        <v>25258</v>
      </c>
      <c r="D137" s="402">
        <f>MAX(TREND(D120:D121,B120:B121,B137),0)</f>
        <v>11899</v>
      </c>
      <c r="E137" s="403">
        <f>MAX(TREND(E120:E121,B120:B121,B137),0)</f>
        <v>1.45</v>
      </c>
      <c r="F137" s="404">
        <f>MAX(TREND(F120:F121,B120:B121,B137),0)</f>
        <v>1.45</v>
      </c>
      <c r="G137" s="401">
        <f>MAX(TREND(G120:G121,$B120:$B121,$B137),0)</f>
        <v>1</v>
      </c>
      <c r="H137" s="402">
        <f>MAX(TREND(H120:H121,$B120:$B121,$B137),0)</f>
        <v>1</v>
      </c>
      <c r="I137" s="405">
        <f>MIN(MAX(TREND(I120:I121,B120:B121,B137),0),1)</f>
        <v>0.24</v>
      </c>
      <c r="J137" s="772">
        <f>MIN(MAX(TREND(J120:J121,B120:B121,B137),0),1)</f>
        <v>0.24</v>
      </c>
      <c r="K137" s="401">
        <f>MAX(TREND(K120:K121,B120:B121,B137),0)</f>
        <v>0</v>
      </c>
      <c r="L137" s="402">
        <f>MAX(TREND(L120:L121,B120:B121,B137),0)</f>
        <v>0</v>
      </c>
      <c r="M137" s="403">
        <f>IFERROR(IF(INDEX(HwyTransitModelGroup,A114,1)=Hwy,C137*E137/G137,K137/G137),0)</f>
        <v>36624.1</v>
      </c>
      <c r="N137" s="404">
        <f>IFERROR(IF(INDEX(HwyTransitModelGroup,A114,1)=Hwy,D137*F137/H137,L137/H137),0)</f>
        <v>17253.55</v>
      </c>
      <c r="O137" s="402">
        <f>TREND(O120:O121,$B120:$B121,$B137)</f>
        <v>1</v>
      </c>
      <c r="P137" s="998">
        <f>IF(INDEX(HwyTransitModelGroup,A114,1)=Hwy,G137*M137*(I137*ValTimeTruck+(1-I137)*ValTimeAuto)-O137*N137*(J137*ValTimeTruck+(1-J137)*ValTimeAuto),G137*IF(INDEX(NoTransit20,A114)=TRUE,INDEX(DivIndTrips,A114,4)/IF(INDEX(DivIndTrips,A114,3)=0,1,INDEX(DivIndTrips,A114,3)),M137)*ValTimeAuto-O137*N137*ValTimeAuto)*(1+TTUprater)^($B137-YearCurrent)</f>
        <v>405386.87040000007</v>
      </c>
      <c r="Q137" s="780">
        <f t="shared" si="22"/>
        <v>405386.87040000007</v>
      </c>
      <c r="R137" s="370">
        <f t="shared" si="23"/>
        <v>200110.3591182105</v>
      </c>
      <c r="S137" s="371"/>
      <c r="T137" s="378">
        <f>TREND(T120:T121,$B120:$B121,$B137)</f>
        <v>19370.550000000047</v>
      </c>
    </row>
    <row r="138" spans="2:20" x14ac:dyDescent="0.2">
      <c r="B138" s="375">
        <f t="shared" si="24"/>
        <v>2041</v>
      </c>
      <c r="C138" s="401">
        <f>MAX(TREND(C120:C121,B120:B121,B138),0)</f>
        <v>25550</v>
      </c>
      <c r="D138" s="402">
        <f>MAX(TREND(D120:D121,B120:B121,B138),0)</f>
        <v>12045</v>
      </c>
      <c r="E138" s="403">
        <f>MAX(TREND(E120:E121,B120:B121,B138),0)</f>
        <v>1.45</v>
      </c>
      <c r="F138" s="404">
        <f>MAX(TREND(F120:F121,B120:B121,B138),0)</f>
        <v>1.45</v>
      </c>
      <c r="G138" s="401">
        <f>MAX(TREND(G120:G121,$B120:$B121,$B138),0)</f>
        <v>1</v>
      </c>
      <c r="H138" s="402">
        <f>MAX(TREND(H120:H121,$B120:$B121,$B138),0)</f>
        <v>1</v>
      </c>
      <c r="I138" s="405">
        <f>MIN(MAX(TREND(I120:I121,B120:B121,B138),0),1)</f>
        <v>0.24</v>
      </c>
      <c r="J138" s="772">
        <f>MIN(MAX(TREND(J120:J121,B120:B121,B138),0),1)</f>
        <v>0.24</v>
      </c>
      <c r="K138" s="401">
        <f>MAX(TREND(K120:K121,B120:B121,B138),0)</f>
        <v>0</v>
      </c>
      <c r="L138" s="402">
        <f>MAX(TREND(L120:L121,B120:B121,B138),0)</f>
        <v>0</v>
      </c>
      <c r="M138" s="403">
        <f>IFERROR(IF(INDEX(HwyTransitModelGroup,A114,1)=Hwy,C138*E138/G138,K138/G138),0)</f>
        <v>37047.5</v>
      </c>
      <c r="N138" s="404">
        <f>IFERROR(IF(INDEX(HwyTransitModelGroup,A114,1)=Hwy,D138*F138/H138,L138/H138),0)</f>
        <v>17465.25</v>
      </c>
      <c r="O138" s="402">
        <f>TREND(O120:O121,$B120:$B121,$B138)</f>
        <v>1</v>
      </c>
      <c r="P138" s="998">
        <f>IF(INDEX(HwyTransitModelGroup,A114,1)=Hwy,G138*M138*(I138*ValTimeTruck+(1-I138)*ValTimeAuto)-O138*N138*(J138*ValTimeTruck+(1-J138)*ValTimeAuto),G138*IF(INDEX(NoTransit20,A114)=TRUE,INDEX(DivIndTrips,A114,4)/IF(INDEX(DivIndTrips,A114,3)=0,1,INDEX(DivIndTrips,A114,3)),M138)*ValTimeAuto-O138*N138*ValTimeAuto)*(1+TTUprater)^($B138-YearCurrent)</f>
        <v>409817.3280000001</v>
      </c>
      <c r="Q138" s="780">
        <f t="shared" si="22"/>
        <v>409817.3280000001</v>
      </c>
      <c r="R138" s="370">
        <f t="shared" si="23"/>
        <v>194516.68997934504</v>
      </c>
      <c r="S138" s="371"/>
      <c r="T138" s="378">
        <f>TREND(T120:T121,$B120:$B121,$B138)</f>
        <v>19582.25</v>
      </c>
    </row>
    <row r="139" spans="2:20" x14ac:dyDescent="0.2">
      <c r="B139" s="375">
        <f t="shared" si="24"/>
        <v>2042</v>
      </c>
      <c r="C139" s="401">
        <f>MAX(TREND(C120:C121,B120:B121,B139),0)</f>
        <v>25842</v>
      </c>
      <c r="D139" s="402">
        <f>MAX(TREND(D120:D121,B120:B121,B139),0)</f>
        <v>12191</v>
      </c>
      <c r="E139" s="403">
        <f>MAX(TREND(E120:E121,B120:B121,B139),0)</f>
        <v>1.45</v>
      </c>
      <c r="F139" s="404">
        <f>MAX(TREND(F120:F121,B120:B121,B139),0)</f>
        <v>1.45</v>
      </c>
      <c r="G139" s="401">
        <f>MAX(TREND(G120:G121,$B120:$B121,$B139),0)</f>
        <v>1</v>
      </c>
      <c r="H139" s="402">
        <f>MAX(TREND(H120:H121,$B120:$B121,$B139),0)</f>
        <v>1</v>
      </c>
      <c r="I139" s="405">
        <f>MIN(MAX(TREND(I120:I121,B120:B121,B139),0),1)</f>
        <v>0.24</v>
      </c>
      <c r="J139" s="772">
        <f>MIN(MAX(TREND(J120:J121,B120:B121,B139),0),1)</f>
        <v>0.24</v>
      </c>
      <c r="K139" s="401">
        <f>MAX(TREND(K120:K121,B120:B121,B139),0)</f>
        <v>0</v>
      </c>
      <c r="L139" s="402">
        <f>MAX(TREND(L120:L121,B120:B121,B139),0)</f>
        <v>0</v>
      </c>
      <c r="M139" s="403">
        <f>IFERROR(IF(INDEX(HwyTransitModelGroup,A114,1)=Hwy,C139*E139/G139,K139/G139),0)</f>
        <v>37470.9</v>
      </c>
      <c r="N139" s="404">
        <f>IFERROR(IF(INDEX(HwyTransitModelGroup,A114,1)=Hwy,D139*F139/H139,L139/H139),0)</f>
        <v>17676.95</v>
      </c>
      <c r="O139" s="402">
        <f>TREND(O120:O121,$B120:$B121,$B139)</f>
        <v>1</v>
      </c>
      <c r="P139" s="998">
        <f>IF(INDEX(HwyTransitModelGroup,A114,1)=Hwy,G139*M139*(I139*ValTimeTruck+(1-I139)*ValTimeAuto)-O139*N139*(J139*ValTimeTruck+(1-J139)*ValTimeAuto),G139*IF(INDEX(NoTransit20,A114)=TRUE,INDEX(DivIndTrips,A114,4)/IF(INDEX(DivIndTrips,A114,3)=0,1,INDEX(DivIndTrips,A114,3)),M139)*ValTimeAuto-O139*N139*ValTimeAuto)*(1+TTUprater)^($B139-YearCurrent)</f>
        <v>414247.78560000012</v>
      </c>
      <c r="Q139" s="780">
        <f t="shared" si="22"/>
        <v>414247.78560000012</v>
      </c>
      <c r="R139" s="370">
        <f t="shared" si="23"/>
        <v>189057.28184063162</v>
      </c>
      <c r="S139" s="371"/>
      <c r="T139" s="378">
        <f>TREND(T120:T121,$B120:$B121,$B139)</f>
        <v>19793.950000000012</v>
      </c>
    </row>
    <row r="140" spans="2:20" x14ac:dyDescent="0.2">
      <c r="B140" s="375">
        <f t="shared" si="24"/>
        <v>2043</v>
      </c>
      <c r="C140" s="401">
        <f>MAX(TREND(C120:C121,B120:B121,B140),0)</f>
        <v>26134</v>
      </c>
      <c r="D140" s="402">
        <f>MAX(TREND(D120:D121,B120:B121,B140),0)</f>
        <v>12337</v>
      </c>
      <c r="E140" s="403">
        <f>MAX(TREND(E120:E121,B120:B121,B140),0)</f>
        <v>1.45</v>
      </c>
      <c r="F140" s="404">
        <f>MAX(TREND(F120:F121,B120:B121,B140),0)</f>
        <v>1.45</v>
      </c>
      <c r="G140" s="401">
        <f>MAX(TREND(G120:G121,$B120:$B121,$B140),0)</f>
        <v>1</v>
      </c>
      <c r="H140" s="402">
        <f>MAX(TREND(H120:H121,$B120:$B121,$B140),0)</f>
        <v>1</v>
      </c>
      <c r="I140" s="405">
        <f>MIN(MAX(TREND(I120:I121,B120:B121,B140),0),1)</f>
        <v>0.24</v>
      </c>
      <c r="J140" s="772">
        <f>MIN(MAX(TREND(J120:J121,B120:B121,B140),0),1)</f>
        <v>0.24</v>
      </c>
      <c r="K140" s="401">
        <f>MAX(TREND(K120:K121,B120:B121,B140),0)</f>
        <v>0</v>
      </c>
      <c r="L140" s="402">
        <f>MAX(TREND(L120:L121,B120:B121,B140),0)</f>
        <v>0</v>
      </c>
      <c r="M140" s="403">
        <f>IFERROR(IF(INDEX(HwyTransitModelGroup,A114,1)=Hwy,C140*E140/G140,K140/G140),0)</f>
        <v>37894.299999999996</v>
      </c>
      <c r="N140" s="404">
        <f>IFERROR(IF(INDEX(HwyTransitModelGroup,A114,1)=Hwy,D140*F140/H140,L140/H140),0)</f>
        <v>17888.649999999998</v>
      </c>
      <c r="O140" s="402">
        <f>TREND(O120:O121,$B120:$B121,$B140)</f>
        <v>1</v>
      </c>
      <c r="P140" s="998">
        <f>IF(INDEX(HwyTransitModelGroup,A114,1)=Hwy,G140*M140*(I140*ValTimeTruck+(1-I140)*ValTimeAuto)-O140*N140*(J140*ValTimeTruck+(1-J140)*ValTimeAuto),G140*IF(INDEX(NoTransit20,A114)=TRUE,INDEX(DivIndTrips,A114,4)/IF(INDEX(DivIndTrips,A114,3)=0,1,INDEX(DivIndTrips,A114,3)),M140)*ValTimeAuto-O140*N140*ValTimeAuto)*(1+TTUprater)^($B140-YearCurrent)</f>
        <v>418678.24320000003</v>
      </c>
      <c r="Q140" s="780">
        <f t="shared" si="22"/>
        <v>418678.24320000003</v>
      </c>
      <c r="R140" s="370">
        <f t="shared" si="23"/>
        <v>183730.08159131714</v>
      </c>
      <c r="S140" s="371"/>
      <c r="T140" s="378">
        <f>TREND(T120:T121,$B120:$B121,$B140)</f>
        <v>20005.650000000023</v>
      </c>
    </row>
    <row r="141" spans="2:20" x14ac:dyDescent="0.2">
      <c r="B141" s="375">
        <f t="shared" si="24"/>
        <v>2044</v>
      </c>
      <c r="C141" s="401">
        <f>MAX(TREND(C120:C121,B120:B121,B141),0)</f>
        <v>26426</v>
      </c>
      <c r="D141" s="402">
        <f>MAX(TREND(D120:D121,B120:B121,B141),0)</f>
        <v>12483</v>
      </c>
      <c r="E141" s="403">
        <f>MAX(TREND(E120:E121,B120:B121,B141),0)</f>
        <v>1.45</v>
      </c>
      <c r="F141" s="404">
        <f>MAX(TREND(F120:F121,B120:B121,B141),0)</f>
        <v>1.45</v>
      </c>
      <c r="G141" s="401">
        <f>MAX(TREND(G120:G121,$B120:$B121,$B141),0)</f>
        <v>1</v>
      </c>
      <c r="H141" s="402">
        <f>MAX(TREND(H120:H121,$B120:$B121,$B141),0)</f>
        <v>1</v>
      </c>
      <c r="I141" s="405">
        <f>MIN(MAX(TREND(I120:I121,B120:B121,B141),0),1)</f>
        <v>0.24</v>
      </c>
      <c r="J141" s="772">
        <f>MIN(MAX(TREND(J120:J121,B120:B121,B141),0),1)</f>
        <v>0.24</v>
      </c>
      <c r="K141" s="401">
        <f>MAX(TREND(K120:K121,B120:B121,B141),0)</f>
        <v>0</v>
      </c>
      <c r="L141" s="402">
        <f>MAX(TREND(L120:L121,B120:B121,B141),0)</f>
        <v>0</v>
      </c>
      <c r="M141" s="403">
        <f>IFERROR(IF(INDEX(HwyTransitModelGroup,A114,1)=Hwy,C141*E141/G141,K141/G141),0)</f>
        <v>38317.699999999997</v>
      </c>
      <c r="N141" s="404">
        <f>IFERROR(IF(INDEX(HwyTransitModelGroup,A114,1)=Hwy,D141*F141/H141,L141/H141),0)</f>
        <v>18100.349999999999</v>
      </c>
      <c r="O141" s="402">
        <f>TREND(O120:O121,$B120:$B121,$B141)</f>
        <v>1</v>
      </c>
      <c r="P141" s="998">
        <f>IF(INDEX(HwyTransitModelGroup,A114,1)=Hwy,G141*M141*(I141*ValTimeTruck+(1-I141)*ValTimeAuto)-O141*N141*(J141*ValTimeTruck+(1-J141)*ValTimeAuto),G141*IF(INDEX(NoTransit20,A114)=TRUE,INDEX(DivIndTrips,A114,4)/IF(INDEX(DivIndTrips,A114,3)=0,1,INDEX(DivIndTrips,A114,3)),M141)*ValTimeAuto-O141*N141*ValTimeAuto)*(1+TTUprater)^($B141-YearCurrent)</f>
        <v>423108.70080000005</v>
      </c>
      <c r="Q141" s="780">
        <f t="shared" si="22"/>
        <v>423108.70080000005</v>
      </c>
      <c r="R141" s="370">
        <f t="shared" si="23"/>
        <v>178532.99544129823</v>
      </c>
      <c r="S141" s="371"/>
      <c r="T141" s="378">
        <f>TREND(T120:T121,$B120:$B121,$B141)</f>
        <v>20217.350000000035</v>
      </c>
    </row>
    <row r="142" spans="2:20" x14ac:dyDescent="0.2">
      <c r="B142" s="375">
        <f t="shared" si="24"/>
        <v>2045</v>
      </c>
      <c r="C142" s="401">
        <f>MAX(TREND(C120:C121,B120:B121,B142),0)</f>
        <v>26718</v>
      </c>
      <c r="D142" s="402">
        <f>MAX(TREND(D120:D121,B120:B121,B142),0)</f>
        <v>12629</v>
      </c>
      <c r="E142" s="403">
        <f>MAX(TREND(E120:E121,B120:B121,B142),0)</f>
        <v>1.45</v>
      </c>
      <c r="F142" s="404">
        <f>MAX(TREND(F120:F121,B120:B121,B142),0)</f>
        <v>1.45</v>
      </c>
      <c r="G142" s="401">
        <f>MAX(TREND(G120:G121,$B120:$B121,$B142),0)</f>
        <v>1</v>
      </c>
      <c r="H142" s="402">
        <f>MAX(TREND(H120:H121,$B120:$B121,$B142),0)</f>
        <v>1</v>
      </c>
      <c r="I142" s="405">
        <f>MIN(MAX(TREND(I120:I121,B120:B121,B142),0),1)</f>
        <v>0.24</v>
      </c>
      <c r="J142" s="772">
        <f>MIN(MAX(TREND(J120:J121,B120:B121,B142),0),1)</f>
        <v>0.24</v>
      </c>
      <c r="K142" s="401">
        <f>MAX(TREND(K120:K121,B120:B121,B142),0)</f>
        <v>0</v>
      </c>
      <c r="L142" s="402">
        <f>MAX(TREND(L120:L121,B120:B121,B142),0)</f>
        <v>0</v>
      </c>
      <c r="M142" s="403">
        <f>IFERROR(IF(INDEX(HwyTransitModelGroup,A114,1)=Hwy,C142*E142/G142,K142/G142),0)</f>
        <v>38741.1</v>
      </c>
      <c r="N142" s="404">
        <f>IFERROR(IF(INDEX(HwyTransitModelGroup,A114,1)=Hwy,D142*F142/H142,L142/H142),0)</f>
        <v>18312.05</v>
      </c>
      <c r="O142" s="402">
        <f>TREND(O120:O121,$B120:$B121,$B142)</f>
        <v>1</v>
      </c>
      <c r="P142" s="998">
        <f>IF(INDEX(HwyTransitModelGroup,A114,1)=Hwy,G142*M142*(I142*ValTimeTruck+(1-I142)*ValTimeAuto)-O142*N142*(J142*ValTimeTruck+(1-J142)*ValTimeAuto),G142*IF(INDEX(NoTransit20,A114)=TRUE,INDEX(DivIndTrips,A114,4)/IF(INDEX(DivIndTrips,A114,3)=0,1,INDEX(DivIndTrips,A114,3)),M142)*ValTimeAuto-O142*N142*ValTimeAuto)*(1+TTUprater)^($B142-YearCurrent)</f>
        <v>427539.15840000007</v>
      </c>
      <c r="Q142" s="780">
        <f t="shared" si="22"/>
        <v>427539.15840000007</v>
      </c>
      <c r="R142" s="370">
        <f t="shared" si="23"/>
        <v>173463.89508744745</v>
      </c>
      <c r="S142" s="371"/>
      <c r="T142" s="378">
        <f>TREND(T120:T121,$B120:$B121,$B142)</f>
        <v>20429.050000000047</v>
      </c>
    </row>
    <row r="143" spans="2:20" x14ac:dyDescent="0.2">
      <c r="B143" s="385"/>
      <c r="C143" s="386"/>
      <c r="D143" s="386"/>
      <c r="E143" s="388"/>
      <c r="F143" s="388"/>
      <c r="G143" s="388"/>
      <c r="H143" s="388"/>
      <c r="I143" s="388"/>
      <c r="J143" s="388"/>
      <c r="K143" s="774"/>
      <c r="L143" s="774"/>
      <c r="M143" s="388"/>
      <c r="N143" s="388"/>
      <c r="O143" s="388"/>
      <c r="P143" s="388"/>
      <c r="Q143" s="388"/>
      <c r="R143" s="389"/>
      <c r="S143" s="390"/>
      <c r="T143" s="388"/>
    </row>
    <row r="144" spans="2:20" x14ac:dyDescent="0.2">
      <c r="B144" s="407" t="s">
        <v>56</v>
      </c>
      <c r="C144" s="413"/>
      <c r="D144" s="414"/>
      <c r="E144" s="414"/>
      <c r="F144" s="414"/>
      <c r="G144" s="414"/>
      <c r="H144" s="414"/>
      <c r="I144" s="414"/>
      <c r="J144" s="414"/>
      <c r="K144" s="414"/>
      <c r="L144" s="414"/>
      <c r="M144" s="414"/>
      <c r="N144" s="414"/>
      <c r="O144" s="414"/>
      <c r="P144" s="414"/>
      <c r="Q144" s="414"/>
      <c r="R144" s="409">
        <f>SUM(R123:R142)</f>
        <v>4587810.9430019381</v>
      </c>
      <c r="S144" s="416"/>
      <c r="T144" s="411">
        <f>SUM(T123:T142)</f>
        <v>368358.00000000047</v>
      </c>
    </row>
    <row r="145" spans="1:20" x14ac:dyDescent="0.2">
      <c r="B145" s="2"/>
      <c r="C145" s="418"/>
      <c r="D145" s="2"/>
      <c r="E145" s="2"/>
      <c r="F145" s="2"/>
      <c r="G145" s="2"/>
      <c r="H145" s="2"/>
      <c r="I145" s="2"/>
      <c r="J145" s="2"/>
      <c r="K145" s="2"/>
      <c r="L145" s="2"/>
      <c r="M145" s="2"/>
      <c r="N145" s="2"/>
      <c r="O145" s="2"/>
      <c r="P145" s="2"/>
      <c r="Q145" s="2"/>
      <c r="R145" s="2"/>
      <c r="S145" s="2"/>
    </row>
    <row r="146" spans="1:20" ht="15" x14ac:dyDescent="0.25">
      <c r="A146" s="1">
        <f>MAX($A$1:A145)+1</f>
        <v>5</v>
      </c>
      <c r="B146" s="319" t="str">
        <f>IF(ISBLANK(INDEX(ModelGroup,A146,1)),"Not Used",INDEX(ModelGroup,A146,1))</f>
        <v>NB Mainline</v>
      </c>
      <c r="C146" s="2"/>
      <c r="D146" s="2"/>
      <c r="E146" s="2"/>
      <c r="F146" s="2"/>
      <c r="G146"/>
      <c r="H146"/>
      <c r="I146" s="320"/>
      <c r="J146" s="320"/>
      <c r="K146" s="320"/>
      <c r="L146" s="320"/>
      <c r="M146" s="320"/>
      <c r="N146" s="320"/>
      <c r="O146" s="320"/>
      <c r="P146" s="317"/>
      <c r="Q146" s="2"/>
      <c r="R146" s="2"/>
      <c r="S146" s="2"/>
    </row>
    <row r="147" spans="1:20" x14ac:dyDescent="0.2">
      <c r="B147" s="2"/>
      <c r="C147" s="38"/>
      <c r="D147" s="877"/>
      <c r="E147" s="38"/>
      <c r="F147" s="877"/>
      <c r="G147" s="877"/>
      <c r="H147" s="877"/>
      <c r="I147" s="38"/>
      <c r="J147" s="877"/>
      <c r="K147" s="38"/>
      <c r="L147" s="38"/>
      <c r="M147" s="2"/>
      <c r="N147" s="2"/>
      <c r="P147" s="2"/>
      <c r="Q147" s="2"/>
      <c r="R147" s="149"/>
      <c r="S147" s="149"/>
    </row>
    <row r="148" spans="1:20" ht="15.75" x14ac:dyDescent="0.2">
      <c r="A148" s="1776"/>
      <c r="B148" s="322"/>
      <c r="C148" s="323" t="s">
        <v>190</v>
      </c>
      <c r="D148" s="324"/>
      <c r="E148" s="323" t="s">
        <v>191</v>
      </c>
      <c r="F148" s="324"/>
      <c r="G148" s="323" t="str">
        <f>IF(INDEX(HwyTransitModelGroup,A146,1)=Hwy,"TOTAL VEHICLE TRIPS","TOTAL PERSON TRIPS")</f>
        <v>TOTAL VEHICLE TRIPS</v>
      </c>
      <c r="H148" s="324"/>
      <c r="I148" s="323" t="s">
        <v>192</v>
      </c>
      <c r="J148" s="324"/>
      <c r="K148" s="323" t="s">
        <v>193</v>
      </c>
      <c r="L148" s="324"/>
      <c r="M148" s="323" t="s">
        <v>194</v>
      </c>
      <c r="N148" s="324"/>
      <c r="O148" s="919" t="str">
        <f>IF(INDEX(HwyTransitModelGroup,A146,1)=Hwy,"TOTAL VEHICLE TRIPS","TOTAL PERSON TRIPS")</f>
        <v>TOTAL VEHICLE TRIPS</v>
      </c>
      <c r="P148" s="919" t="s">
        <v>195</v>
      </c>
      <c r="Q148" s="991"/>
      <c r="R148" s="330"/>
      <c r="S148" s="2"/>
      <c r="T148" s="331" t="s">
        <v>196</v>
      </c>
    </row>
    <row r="149" spans="1:20" ht="14.25" x14ac:dyDescent="0.2">
      <c r="A149" s="1776"/>
      <c r="B149" s="335"/>
      <c r="C149" s="336" t="s">
        <v>197</v>
      </c>
      <c r="D149" s="337"/>
      <c r="E149" s="338" t="s">
        <v>198</v>
      </c>
      <c r="F149" s="337"/>
      <c r="G149" s="338" t="s">
        <v>199</v>
      </c>
      <c r="H149" s="337"/>
      <c r="I149" s="764" t="s">
        <v>200</v>
      </c>
      <c r="J149" s="339"/>
      <c r="K149" s="765" t="s">
        <v>201</v>
      </c>
      <c r="L149" s="337"/>
      <c r="M149" s="777" t="s">
        <v>202</v>
      </c>
      <c r="N149" s="339"/>
      <c r="O149" s="920" t="s">
        <v>199</v>
      </c>
      <c r="P149" s="920" t="s">
        <v>203</v>
      </c>
      <c r="Q149" s="992"/>
      <c r="R149" s="343"/>
      <c r="S149" s="2"/>
      <c r="T149" s="920" t="s">
        <v>201</v>
      </c>
    </row>
    <row r="150" spans="1:20" ht="15" x14ac:dyDescent="0.2">
      <c r="A150" s="1776"/>
      <c r="B150" s="77" t="s">
        <v>34</v>
      </c>
      <c r="C150" s="348"/>
      <c r="D150" s="349"/>
      <c r="E150" s="348"/>
      <c r="F150" s="349"/>
      <c r="G150" s="348"/>
      <c r="H150" s="349"/>
      <c r="I150" s="348"/>
      <c r="J150" s="349"/>
      <c r="K150" s="348"/>
      <c r="L150" s="349"/>
      <c r="M150" s="348"/>
      <c r="N150" s="349"/>
      <c r="O150" s="921" t="s">
        <v>206</v>
      </c>
      <c r="P150" s="995" t="s">
        <v>207</v>
      </c>
      <c r="Q150" s="993" t="s">
        <v>208</v>
      </c>
      <c r="R150" s="347" t="s">
        <v>39</v>
      </c>
      <c r="S150" s="352"/>
      <c r="T150" s="353" t="s">
        <v>207</v>
      </c>
    </row>
    <row r="151" spans="1:20" ht="15" x14ac:dyDescent="0.2">
      <c r="A151" s="1776"/>
      <c r="B151" s="355"/>
      <c r="C151" s="356" t="s">
        <v>74</v>
      </c>
      <c r="D151" s="357" t="s">
        <v>125</v>
      </c>
      <c r="E151" s="356" t="s">
        <v>74</v>
      </c>
      <c r="F151" s="357" t="s">
        <v>125</v>
      </c>
      <c r="G151" s="356" t="s">
        <v>74</v>
      </c>
      <c r="H151" s="357" t="s">
        <v>125</v>
      </c>
      <c r="I151" s="356" t="s">
        <v>74</v>
      </c>
      <c r="J151" s="357" t="s">
        <v>125</v>
      </c>
      <c r="K151" s="356" t="s">
        <v>74</v>
      </c>
      <c r="L151" s="357" t="s">
        <v>125</v>
      </c>
      <c r="M151" s="348" t="s">
        <v>74</v>
      </c>
      <c r="N151" s="349" t="s">
        <v>125</v>
      </c>
      <c r="O151" s="94" t="s">
        <v>125</v>
      </c>
      <c r="P151" s="94" t="s">
        <v>211</v>
      </c>
      <c r="Q151" s="994" t="s">
        <v>48</v>
      </c>
      <c r="R151" s="360" t="s">
        <v>49</v>
      </c>
      <c r="S151" s="352"/>
      <c r="T151" s="361" t="s">
        <v>211</v>
      </c>
    </row>
    <row r="152" spans="1:20" x14ac:dyDescent="0.2">
      <c r="B152" s="363">
        <f>YearFirst</f>
        <v>2026</v>
      </c>
      <c r="C152" s="364">
        <f>IF(INDEX(HwyTransitModelGroup,A146,1)=Hwy,INDEX(ModelData1NB,A146,3),0)*AnnualFactor</f>
        <v>265720</v>
      </c>
      <c r="D152" s="365">
        <f>IF(INDEX(HwyTransitModelGroup,A146,1)=Hwy,INDEX(ModelData1B,A146,3),0)*AnnualFactor</f>
        <v>246740</v>
      </c>
      <c r="E152" s="972">
        <f>IF(INDEX(HwyTransitModelGroup,A146,1)=Hwy,INDEX(ModelData1NB,A146,8),0)</f>
        <v>1.45</v>
      </c>
      <c r="F152" s="973">
        <f>IF(INDEX(HwyTransitModelGroup,A146,1)=Hwy,INDEX(ModelData1B,A146,8),0)</f>
        <v>1.45</v>
      </c>
      <c r="G152" s="364">
        <f>IF(AND(INDEX(HwyTransitModelGroup,A146,1)=Hwy,INDEX(ModelData1NB,A146,1)=0),1,INDEX(ModelData1NB,A146,1)*AnnualFactor)</f>
        <v>1</v>
      </c>
      <c r="H152" s="365">
        <f>IF(AND(INDEX(HwyTransitModelGroup,A146,1)=Hwy,INDEX(ModelData1B,A146,1)=0),1,INDEX(ModelData1B,A146,1)*AnnualFactor)</f>
        <v>1</v>
      </c>
      <c r="I152" s="976">
        <f>IF(INDEX(HwyTransitModelGroup,A146,1)=Hwy,INDEX(ModelData1NB,A146,9),0)</f>
        <v>0.24</v>
      </c>
      <c r="J152" s="977">
        <f>IF(INDEX(HwyTransitModelGroup,A146,1)=Hwy,INDEX(ModelData1B,A146,9),0)</f>
        <v>0.24</v>
      </c>
      <c r="K152" s="364">
        <f>IF(INDEX(HwyTransitModelGroup,A146,1)=Hwy,0,INDEX(ModelData1NB,A146,5))*AnnualFactor</f>
        <v>0</v>
      </c>
      <c r="L152" s="365">
        <f>IF(INDEX(HwyTransitModelGroup,A146,1)=Hwy,0,INDEX(ModelData1B,A146,5))*AnnualFactor</f>
        <v>0</v>
      </c>
      <c r="M152" s="366">
        <f>IFERROR(IF(INDEX(HwyTransitModelGroup,A146,1)=Hwy,C152*E152/G152,K152/G152),0)</f>
        <v>385294</v>
      </c>
      <c r="N152" s="778">
        <f>IFERROR(IF(INDEX(HwyTransitModelGroup,A146,1)=Hwy,D152*F152/H152,L152/H152),0)</f>
        <v>357773</v>
      </c>
      <c r="O152" s="946">
        <f>$H152-INDEX(ModeShare1,A146)*SUMIF('Consumer Surplus'!$C$157:$C$160,INDEX(HwyTransitModelGroup,A146,1),'Consumer Surplus'!$G$157:$G$160)</f>
        <v>1</v>
      </c>
      <c r="P152" s="996">
        <f>IF(INDEX(HwyTransitModelGroup,A146,1)=Hwy,G152*M152*(I152*ValTimeTruck+(1-I152)*ValTimeAuto)-O152*N152*(J152*ValTimeTruck+(1-J152)*ValTimeAuto),G152*IF(INDEX(NoTransit1,A146)=TRUE,INDEX(DivIndTrips,A146,2)/IF(INDEX(DivIndTrips,A146,1)=0,1,INDEX(DivIndTrips,A146,1)),M152)*ValTimeAuto-O152*N152*ValTimeAuto)*(1+TTUprater)^($B152-YearCurrent)</f>
        <v>575959.4879999999</v>
      </c>
      <c r="Q152" s="780">
        <f>SUM(P152)</f>
        <v>575959.4879999999</v>
      </c>
      <c r="R152" s="370">
        <f>Q152/(1+DiscRate)^(B152-YearCurrent)</f>
        <v>492332.58420573489</v>
      </c>
      <c r="S152" s="371"/>
      <c r="T152" s="989">
        <f>IF(INDEX(HwyTransitModelGroup,A146,1)=Hwy,G152*M152-O152*N152,G152*IF(INDEX(NoTransit1,A146)=TRUE,INDEX(DivIndTrips,A146,2)/IF(INDEX(DivIndTrips,A146,1)=0,1,INDEX(DivIndTrips,A146,1)),M152)-O152*N152)</f>
        <v>27521</v>
      </c>
    </row>
    <row r="153" spans="1:20" x14ac:dyDescent="0.2">
      <c r="B153" s="379">
        <f>YearLast</f>
        <v>2046</v>
      </c>
      <c r="C153" s="380">
        <f>IF(INDEX(HwyTransitModelGroup,A146,1)=Hwy,INDEX(ModelData20NB,A146,3),0)*AnnualFactor</f>
        <v>338720</v>
      </c>
      <c r="D153" s="381">
        <f>IF(INDEX(HwyTransitModelGroup,A146,1)=Hwy,INDEX(ModelData20B,A146,3),0)*AnnualFactor</f>
        <v>298570</v>
      </c>
      <c r="E153" s="974">
        <f>IF(INDEX(HwyTransitModelGroup,A146,1)=Hwy,INDEX(ModelData20NB,A146,8),0)</f>
        <v>1.45</v>
      </c>
      <c r="F153" s="975">
        <f>IF(INDEX(HwyTransitModelGroup,A146,1)=Hwy,INDEX(ModelData20B,A146,8),0)</f>
        <v>1.45</v>
      </c>
      <c r="G153" s="380">
        <f>IF(AND(INDEX(HwyTransitModelGroup,A146,1)=Hwy,INDEX(ModelData20NB,A146,1)=0),1,INDEX(ModelData20NB,A146,1)*AnnualFactor)</f>
        <v>1</v>
      </c>
      <c r="H153" s="381">
        <f>IF(AND(INDEX(HwyTransitModelGroup,A146,1)=Hwy,INDEX(ModelData20B,A146,1)=0),1,INDEX(ModelData20B,A146,1)*AnnualFactor)</f>
        <v>1</v>
      </c>
      <c r="I153" s="978">
        <f>IF(INDEX(HwyTransitModelGroup,A146,1)=Hwy,INDEX(ModelData20NB,A146,9),0)</f>
        <v>0.24</v>
      </c>
      <c r="J153" s="979">
        <f>IF(INDEX(HwyTransitModelGroup,A146,1)=Hwy,INDEX(ModelData20B,A146,9),0)</f>
        <v>0.24</v>
      </c>
      <c r="K153" s="380">
        <f>IF(INDEX(HwyTransitModelGroup,A146,1)=Hwy,0,INDEX(ModelData20NB,A146,5))*AnnualFactor</f>
        <v>0</v>
      </c>
      <c r="L153" s="381">
        <f>IF(INDEX(HwyTransitModelGroup,A146,1)=Hwy,0,INDEX(ModelData20B,A146,5))*AnnualFactor</f>
        <v>0</v>
      </c>
      <c r="M153" s="382">
        <f>IFERROR(IF(INDEX(HwyTransitModelGroup,A146,1)=Hwy,C153*E153/G153,K153/G153),0)</f>
        <v>491144</v>
      </c>
      <c r="N153" s="779">
        <f>IFERROR(IF(INDEX(HwyTransitModelGroup,A146,1)=Hwy,D153*F153/H153,L153/H153),0)</f>
        <v>432926.5</v>
      </c>
      <c r="O153" s="947">
        <f>$H153-INDEX(ModeShare20,A146)*SUMIF('Consumer Surplus'!$C$157:$C$160,INDEX(HwyTransitModelGroup,A146,1),'Consumer Surplus'!$K$157:$K$160)</f>
        <v>1</v>
      </c>
      <c r="P153" s="703">
        <f>IF(INDEX(HwyTransitModelGroup,A146,1)=Hwy,G153*M153*(I153*ValTimeTruck+(1-I153)*ValTimeAuto)-O153*N153*(J153*ValTimeTruck+(1-J153)*ValTimeAuto),G153*IF(INDEX(NoTransit20,A146)=TRUE,INDEX(DivIndTrips,A146,4)/IF(INDEX(DivIndTrips,A146,3)=0,1,INDEX(DivIndTrips,A146,3)),M153)*ValTimeAuto-O153*N153*ValTimeAuto)*(1+TTUprater)^($B153-YearCurrent)</f>
        <v>1218375.8400000017</v>
      </c>
      <c r="Q153" s="780">
        <f>SUM(P153)</f>
        <v>1218375.8400000017</v>
      </c>
      <c r="R153" s="370">
        <f>Q153/(1+DiscRate)^(B153-YearCurrent)</f>
        <v>475314.57900605927</v>
      </c>
      <c r="S153" s="371"/>
      <c r="T153" s="990">
        <f>IF(INDEX(HwyTransitModelGroup,A146,1)=Hwy,G153*M153-O153*N153,G153*IF(INDEX(NoTransit1,A146)=TRUE,INDEX(DivIndTrips,A146,2)/IF(INDEX(DivIndTrips,A146,1)=0,1,INDEX(DivIndTrips,A146,1)),M153)-O153*N153)</f>
        <v>58217.5</v>
      </c>
    </row>
    <row r="154" spans="1:20" x14ac:dyDescent="0.2">
      <c r="B154" s="385"/>
      <c r="C154" s="386"/>
      <c r="D154" s="386"/>
      <c r="E154" s="387"/>
      <c r="F154" s="387"/>
      <c r="G154" s="387"/>
      <c r="H154" s="387"/>
      <c r="I154" s="388"/>
      <c r="J154" s="388"/>
      <c r="K154" s="773"/>
      <c r="L154" s="773"/>
      <c r="M154" s="774"/>
      <c r="N154" s="774"/>
      <c r="O154" s="774"/>
      <c r="P154" s="374"/>
      <c r="Q154" s="388"/>
      <c r="R154" s="389"/>
      <c r="S154" s="390"/>
      <c r="T154" s="391"/>
    </row>
    <row r="155" spans="1:20" x14ac:dyDescent="0.2">
      <c r="B155" s="375">
        <f>YearOpen</f>
        <v>2026</v>
      </c>
      <c r="C155" s="393">
        <f>MAX(TREND(C152:C153,B152:B153,B155),0)</f>
        <v>265720</v>
      </c>
      <c r="D155" s="394">
        <f>MAX(TREND(D152:D153,B152:B153,B155),0)</f>
        <v>246740</v>
      </c>
      <c r="E155" s="395">
        <f>MAX(TREND(E152:E153,B152:B153,B155),0)</f>
        <v>1.45</v>
      </c>
      <c r="F155" s="396">
        <f>MAX(TREND(F152:F153,B152:B153,B155),0)</f>
        <v>1.45</v>
      </c>
      <c r="G155" s="393">
        <f>MAX(TREND(G152:G153,$B152:$B153,$B155),0)</f>
        <v>1</v>
      </c>
      <c r="H155" s="394">
        <f>MAX(TREND(H152:H153,$B152:$B153,$B155),0)</f>
        <v>1</v>
      </c>
      <c r="I155" s="397">
        <f>MIN(MAX(TREND(I152:I153,B152:B153,B155),0),1)</f>
        <v>0.24</v>
      </c>
      <c r="J155" s="771">
        <f>MIN(MAX(TREND(J152:J153,B152:B153,B155),0),1)</f>
        <v>0.24</v>
      </c>
      <c r="K155" s="393">
        <f>MAX(TREND(K152:K153,B152:B153,B155),0)</f>
        <v>0</v>
      </c>
      <c r="L155" s="394">
        <f>MAX(TREND(L152:L153,B152:B153,B155),0)</f>
        <v>0</v>
      </c>
      <c r="M155" s="395">
        <f>IFERROR(IF(INDEX(HwyTransitModelGroup,A146,1)=Hwy,C155*E155/G155,K155/G155),0)</f>
        <v>385294</v>
      </c>
      <c r="N155" s="396">
        <f>IFERROR(IF(INDEX(HwyTransitModelGroup,A146,1)=Hwy,D155*F155/H155,L155/H155),0)</f>
        <v>357773</v>
      </c>
      <c r="O155" s="394">
        <f>TREND(O152:O153,$B152:$B153,$B155)</f>
        <v>1</v>
      </c>
      <c r="P155" s="997">
        <f>IF(INDEX(HwyTransitModelGroup,A146,1)=Hwy,G155*M155*(I155*ValTimeTruck+(1-I155)*ValTimeAuto)-O155*N155*(J155*ValTimeTruck+(1-J155)*ValTimeAuto),G155*IF(INDEX(NoTransit20,A146)=TRUE,INDEX(DivIndTrips,A146,4)/IF(INDEX(DivIndTrips,A146,3)=0,1,INDEX(DivIndTrips,A146,3)),M155)*ValTimeAuto-O155*N155*ValTimeAuto)*(1+TTUprater)^($B155-YearCurrent)</f>
        <v>575959.4879999999</v>
      </c>
      <c r="Q155" s="780">
        <f t="shared" ref="Q155:Q174" si="25">SUM(P155)</f>
        <v>575959.4879999999</v>
      </c>
      <c r="R155" s="370">
        <f t="shared" ref="R155:R174" si="26">Q155/(1+DiscRate)^(B155-YearCurrent)</f>
        <v>492332.58420573489</v>
      </c>
      <c r="S155" s="371"/>
      <c r="T155" s="1023">
        <f>TREND(T152:T153,$B152:$B153,$B155)</f>
        <v>27521</v>
      </c>
    </row>
    <row r="156" spans="1:20" x14ac:dyDescent="0.2">
      <c r="B156" s="375">
        <f>B155+1</f>
        <v>2027</v>
      </c>
      <c r="C156" s="401">
        <f>MAX(TREND(C152:C153,B152:B153,B156),0)</f>
        <v>269370</v>
      </c>
      <c r="D156" s="402">
        <f>MAX(TREND(D152:D153,B152:B153,B156),0)</f>
        <v>249331.5</v>
      </c>
      <c r="E156" s="403">
        <f>MAX(TREND(E152:E153,B152:B153,B156),0)</f>
        <v>1.45</v>
      </c>
      <c r="F156" s="404">
        <f>MAX(TREND(F152:F153,B152:B153,B156),0)</f>
        <v>1.45</v>
      </c>
      <c r="G156" s="401">
        <f>MAX(TREND(G152:G153,$B152:$B153,$B156),0)</f>
        <v>1</v>
      </c>
      <c r="H156" s="402">
        <f>MAX(TREND(H152:H153,$B152:$B153,$B156),0)</f>
        <v>1</v>
      </c>
      <c r="I156" s="405">
        <f>MIN(MAX(TREND(I152:I153,B152:B153,B156),0),1)</f>
        <v>0.24</v>
      </c>
      <c r="J156" s="772">
        <f>MIN(MAX(TREND(J152:J153,B152:B153,B156),0),1)</f>
        <v>0.24</v>
      </c>
      <c r="K156" s="401">
        <f>MAX(TREND(K152:K153,B152:B153,B156),0)</f>
        <v>0</v>
      </c>
      <c r="L156" s="402">
        <f>MAX(TREND(L152:L153,B152:B153,B156),0)</f>
        <v>0</v>
      </c>
      <c r="M156" s="403">
        <f>IFERROR(IF(INDEX(HwyTransitModelGroup,A146,1)=Hwy,C156*E156/G156,K156/G156),0)</f>
        <v>390586.5</v>
      </c>
      <c r="N156" s="404">
        <f>IFERROR(IF(INDEX(HwyTransitModelGroup,A146,1)=Hwy,D156*F156/H156,L156/H156),0)</f>
        <v>361530.67499999999</v>
      </c>
      <c r="O156" s="402">
        <f>TREND(O152:O153,$B152:$B153,$B156)</f>
        <v>1</v>
      </c>
      <c r="P156" s="998">
        <f>IF(INDEX(HwyTransitModelGroup,A146,1)=Hwy,G156*M156*(I156*ValTimeTruck+(1-I156)*ValTimeAuto)-O156*N156*(J156*ValTimeTruck+(1-J156)*ValTimeAuto),G156*IF(INDEX(NoTransit20,A146)=TRUE,INDEX(DivIndTrips,A146,4)/IF(INDEX(DivIndTrips,A146,3)=0,1,INDEX(DivIndTrips,A146,3)),M156)*ValTimeAuto-O156*N156*ValTimeAuto)*(1+TTUprater)^($B156-YearCurrent)</f>
        <v>608080.30560000055</v>
      </c>
      <c r="Q156" s="780">
        <f t="shared" si="25"/>
        <v>608080.30560000055</v>
      </c>
      <c r="R156" s="370">
        <f t="shared" si="26"/>
        <v>499797.68625915074</v>
      </c>
      <c r="S156" s="371"/>
      <c r="T156" s="378">
        <f>TREND(T152:T153,$B152:$B153,$B156)</f>
        <v>29055.824999999721</v>
      </c>
    </row>
    <row r="157" spans="1:20" x14ac:dyDescent="0.2">
      <c r="B157" s="375">
        <f t="shared" ref="B157:B174" si="27">B156+1</f>
        <v>2028</v>
      </c>
      <c r="C157" s="401">
        <f>MAX(TREND(C152:C153,B152:B153,B157),0)</f>
        <v>273020</v>
      </c>
      <c r="D157" s="402">
        <f>MAX(TREND(D152:D153,B152:B153,B157),0)</f>
        <v>251923</v>
      </c>
      <c r="E157" s="403">
        <f>MAX(TREND(E152:E153,B152:B153,B157),0)</f>
        <v>1.45</v>
      </c>
      <c r="F157" s="404">
        <f>MAX(TREND(F152:F153,B152:B153,B157),0)</f>
        <v>1.45</v>
      </c>
      <c r="G157" s="401">
        <f>MAX(TREND(G152:G153,$B152:$B153,$B157),0)</f>
        <v>1</v>
      </c>
      <c r="H157" s="402">
        <f>MAX(TREND(H152:H153,$B152:$B153,$B157),0)</f>
        <v>1</v>
      </c>
      <c r="I157" s="405">
        <f>MIN(MAX(TREND(I152:I153,B152:B153,B157),0),1)</f>
        <v>0.24</v>
      </c>
      <c r="J157" s="772">
        <f>MIN(MAX(TREND(J152:J153,B152:B153,B157),0),1)</f>
        <v>0.24</v>
      </c>
      <c r="K157" s="401">
        <f>MAX(TREND(K152:K153,B152:B153,B157),0)</f>
        <v>0</v>
      </c>
      <c r="L157" s="402">
        <f>MAX(TREND(L152:L153,B152:B153,B157),0)</f>
        <v>0</v>
      </c>
      <c r="M157" s="403">
        <f>IFERROR(IF(INDEX(HwyTransitModelGroup,A146,1)=Hwy,C157*E157/G157,K157/G157),0)</f>
        <v>395879</v>
      </c>
      <c r="N157" s="404">
        <f>IFERROR(IF(INDEX(HwyTransitModelGroup,A146,1)=Hwy,D157*F157/H157,L157/H157),0)</f>
        <v>365288.35</v>
      </c>
      <c r="O157" s="402">
        <f>TREND(O152:O153,$B152:$B153,$B157)</f>
        <v>1</v>
      </c>
      <c r="P157" s="998">
        <f>IF(INDEX(HwyTransitModelGroup,A146,1)=Hwy,G157*M157*(I157*ValTimeTruck+(1-I157)*ValTimeAuto)-O157*N157*(J157*ValTimeTruck+(1-J157)*ValTimeAuto),G157*IF(INDEX(NoTransit20,A146)=TRUE,INDEX(DivIndTrips,A146,4)/IF(INDEX(DivIndTrips,A146,3)=0,1,INDEX(DivIndTrips,A146,3)),M157)*ValTimeAuto-O157*N157*ValTimeAuto)*(1+TTUprater)^($B157-YearCurrent)</f>
        <v>640201.1232000012</v>
      </c>
      <c r="Q157" s="780">
        <f t="shared" si="25"/>
        <v>640201.1232000012</v>
      </c>
      <c r="R157" s="370">
        <f t="shared" si="26"/>
        <v>505960.24705371552</v>
      </c>
      <c r="S157" s="371"/>
      <c r="T157" s="378">
        <f>TREND(T152:T153,$B152:$B153,$B157)</f>
        <v>30590.649999999907</v>
      </c>
    </row>
    <row r="158" spans="1:20" x14ac:dyDescent="0.2">
      <c r="B158" s="375">
        <f t="shared" si="27"/>
        <v>2029</v>
      </c>
      <c r="C158" s="401">
        <f>MAX(TREND(C152:C153,B152:B153,B158),0)</f>
        <v>276670</v>
      </c>
      <c r="D158" s="402">
        <f>MAX(TREND(D152:D153,B152:B153,B158),0)</f>
        <v>254514.5</v>
      </c>
      <c r="E158" s="403">
        <f>MAX(TREND(E152:E153,B152:B153,B158),0)</f>
        <v>1.45</v>
      </c>
      <c r="F158" s="404">
        <f>MAX(TREND(F152:F153,B152:B153,B158),0)</f>
        <v>1.45</v>
      </c>
      <c r="G158" s="401">
        <f>MAX(TREND(G152:G153,$B152:$B153,$B158),0)</f>
        <v>1</v>
      </c>
      <c r="H158" s="402">
        <f>MAX(TREND(H152:H153,$B152:$B153,$B158),0)</f>
        <v>1</v>
      </c>
      <c r="I158" s="405">
        <f>MIN(MAX(TREND(I152:I153,B152:B153,B158),0),1)</f>
        <v>0.24</v>
      </c>
      <c r="J158" s="772">
        <f>MIN(MAX(TREND(J152:J153,B152:B153,B158),0),1)</f>
        <v>0.24</v>
      </c>
      <c r="K158" s="401">
        <f>MAX(TREND(K152:K153,B152:B153,B158),0)</f>
        <v>0</v>
      </c>
      <c r="L158" s="402">
        <f>MAX(TREND(L152:L153,B152:B153,B158),0)</f>
        <v>0</v>
      </c>
      <c r="M158" s="403">
        <f>IFERROR(IF(INDEX(HwyTransitModelGroup,A146,1)=Hwy,C158*E158/G158,K158/G158),0)</f>
        <v>401171.5</v>
      </c>
      <c r="N158" s="404">
        <f>IFERROR(IF(INDEX(HwyTransitModelGroup,A146,1)=Hwy,D158*F158/H158,L158/H158),0)</f>
        <v>369046.02499999997</v>
      </c>
      <c r="O158" s="402">
        <f>TREND(O152:O153,$B152:$B153,$B158)</f>
        <v>1</v>
      </c>
      <c r="P158" s="998">
        <f>IF(INDEX(HwyTransitModelGroup,A146,1)=Hwy,G158*M158*(I158*ValTimeTruck+(1-I158)*ValTimeAuto)-O158*N158*(J158*ValTimeTruck+(1-J158)*ValTimeAuto),G158*IF(INDEX(NoTransit20,A146)=TRUE,INDEX(DivIndTrips,A146,4)/IF(INDEX(DivIndTrips,A146,3)=0,1,INDEX(DivIndTrips,A146,3)),M158)*ValTimeAuto-O158*N158*ValTimeAuto)*(1+TTUprater)^($B158-YearCurrent)</f>
        <v>672321.94080000184</v>
      </c>
      <c r="Q158" s="780">
        <f t="shared" si="25"/>
        <v>672321.94080000184</v>
      </c>
      <c r="R158" s="370">
        <f t="shared" si="26"/>
        <v>510909.41902050446</v>
      </c>
      <c r="S158" s="371"/>
      <c r="T158" s="378">
        <f>TREND(T152:T153,$B152:$B153,$B158)</f>
        <v>32125.475000000093</v>
      </c>
    </row>
    <row r="159" spans="1:20" x14ac:dyDescent="0.2">
      <c r="B159" s="375">
        <f t="shared" si="27"/>
        <v>2030</v>
      </c>
      <c r="C159" s="401">
        <f>MAX(TREND(C152:C153,B152:B153,B159),0)</f>
        <v>280320</v>
      </c>
      <c r="D159" s="402">
        <f>MAX(TREND(D152:D153,B152:B153,B159),0)</f>
        <v>257106</v>
      </c>
      <c r="E159" s="403">
        <f>MAX(TREND(E152:E153,B152:B153,B159),0)</f>
        <v>1.45</v>
      </c>
      <c r="F159" s="404">
        <f>MAX(TREND(F152:F153,B152:B153,B159),0)</f>
        <v>1.45</v>
      </c>
      <c r="G159" s="401">
        <f>MAX(TREND(G152:G153,$B152:$B153,$B159),0)</f>
        <v>1</v>
      </c>
      <c r="H159" s="402">
        <f>MAX(TREND(H152:H153,$B152:$B153,$B159),0)</f>
        <v>1</v>
      </c>
      <c r="I159" s="405">
        <f>MIN(MAX(TREND(I152:I153,B152:B153,B159),0),1)</f>
        <v>0.24</v>
      </c>
      <c r="J159" s="772">
        <f>MIN(MAX(TREND(J152:J153,B152:B153,B159),0),1)</f>
        <v>0.24</v>
      </c>
      <c r="K159" s="401">
        <f>MAX(TREND(K152:K153,B152:B153,B159),0)</f>
        <v>0</v>
      </c>
      <c r="L159" s="402">
        <f>MAX(TREND(L152:L153,B152:B153,B159),0)</f>
        <v>0</v>
      </c>
      <c r="M159" s="403">
        <f>IFERROR(IF(INDEX(HwyTransitModelGroup,A146,1)=Hwy,C159*E159/G159,K159/G159),0)</f>
        <v>406464</v>
      </c>
      <c r="N159" s="404">
        <f>IFERROR(IF(INDEX(HwyTransitModelGroup,A146,1)=Hwy,D159*F159/H159,L159/H159),0)</f>
        <v>372803.7</v>
      </c>
      <c r="O159" s="402">
        <f>TREND(O152:O153,$B152:$B153,$B159)</f>
        <v>1</v>
      </c>
      <c r="P159" s="998">
        <f>IF(INDEX(HwyTransitModelGroup,A146,1)=Hwy,G159*M159*(I159*ValTimeTruck+(1-I159)*ValTimeAuto)-O159*N159*(J159*ValTimeTruck+(1-J159)*ValTimeAuto),G159*IF(INDEX(NoTransit20,A146)=TRUE,INDEX(DivIndTrips,A146,4)/IF(INDEX(DivIndTrips,A146,3)=0,1,INDEX(DivIndTrips,A146,3)),M159)*ValTimeAuto-O159*N159*ValTimeAuto)*(1+TTUprater)^($B159-YearCurrent)</f>
        <v>704442.75840000063</v>
      </c>
      <c r="Q159" s="780">
        <f t="shared" si="25"/>
        <v>704442.75840000063</v>
      </c>
      <c r="R159" s="370">
        <f t="shared" si="26"/>
        <v>514729.42354745942</v>
      </c>
      <c r="S159" s="371"/>
      <c r="T159" s="378">
        <f>TREND(T152:T153,$B152:$B153,$B159)</f>
        <v>33660.299999999814</v>
      </c>
    </row>
    <row r="160" spans="1:20" x14ac:dyDescent="0.2">
      <c r="B160" s="375">
        <f t="shared" si="27"/>
        <v>2031</v>
      </c>
      <c r="C160" s="401">
        <f>MAX(TREND(C152:C153,B152:B153,B160),0)</f>
        <v>283970</v>
      </c>
      <c r="D160" s="402">
        <f>MAX(TREND(D152:D153,B152:B153,B160),0)</f>
        <v>259697.5</v>
      </c>
      <c r="E160" s="403">
        <f>MAX(TREND(E152:E153,B152:B153,B160),0)</f>
        <v>1.45</v>
      </c>
      <c r="F160" s="404">
        <f>MAX(TREND(F152:F153,B152:B153,B160),0)</f>
        <v>1.45</v>
      </c>
      <c r="G160" s="401">
        <f>MAX(TREND(G152:G153,$B152:$B153,$B160),0)</f>
        <v>1</v>
      </c>
      <c r="H160" s="402">
        <f>MAX(TREND(H152:H153,$B152:$B153,$B160),0)</f>
        <v>1</v>
      </c>
      <c r="I160" s="405">
        <f>MIN(MAX(TREND(I152:I153,B152:B153,B160),0),1)</f>
        <v>0.24</v>
      </c>
      <c r="J160" s="772">
        <f>MIN(MAX(TREND(J152:J153,B152:B153,B160),0),1)</f>
        <v>0.24</v>
      </c>
      <c r="K160" s="401">
        <f>MAX(TREND(K152:K153,B152:B153,B160),0)</f>
        <v>0</v>
      </c>
      <c r="L160" s="402">
        <f>MAX(TREND(L152:L153,B152:B153,B160),0)</f>
        <v>0</v>
      </c>
      <c r="M160" s="403">
        <f>IFERROR(IF(INDEX(HwyTransitModelGroup,A146,1)=Hwy,C160*E160/G160,K160/G160),0)</f>
        <v>411756.5</v>
      </c>
      <c r="N160" s="404">
        <f>IFERROR(IF(INDEX(HwyTransitModelGroup,A146,1)=Hwy,D160*F160/H160,L160/H160),0)</f>
        <v>376561.375</v>
      </c>
      <c r="O160" s="402">
        <f>TREND(O152:O153,$B152:$B153,$B160)</f>
        <v>1</v>
      </c>
      <c r="P160" s="998">
        <f>IF(INDEX(HwyTransitModelGroup,A146,1)=Hwy,G160*M160*(I160*ValTimeTruck+(1-I160)*ValTimeAuto)-O160*N160*(J160*ValTimeTruck+(1-J160)*ValTimeAuto),G160*IF(INDEX(NoTransit20,A146)=TRUE,INDEX(DivIndTrips,A146,4)/IF(INDEX(DivIndTrips,A146,3)=0,1,INDEX(DivIndTrips,A146,3)),M160)*ValTimeAuto-O160*N160*ValTimeAuto)*(1+TTUprater)^($B160-YearCurrent)</f>
        <v>736563.57599999942</v>
      </c>
      <c r="Q160" s="780">
        <f t="shared" si="25"/>
        <v>736563.57599999942</v>
      </c>
      <c r="R160" s="370">
        <f t="shared" si="26"/>
        <v>517499.7984081094</v>
      </c>
      <c r="S160" s="371"/>
      <c r="T160" s="378">
        <f>TREND(T152:T153,$B152:$B153,$B160)</f>
        <v>35195.125</v>
      </c>
    </row>
    <row r="161" spans="2:20" x14ac:dyDescent="0.2">
      <c r="B161" s="375">
        <f t="shared" si="27"/>
        <v>2032</v>
      </c>
      <c r="C161" s="401">
        <f>MAX(TREND(C152:C153,B152:B153,B161),0)</f>
        <v>287620</v>
      </c>
      <c r="D161" s="402">
        <f>MAX(TREND(D152:D153,B152:B153,B161),0)</f>
        <v>262289</v>
      </c>
      <c r="E161" s="403">
        <f>MAX(TREND(E152:E153,B152:B153,B161),0)</f>
        <v>1.45</v>
      </c>
      <c r="F161" s="404">
        <f>MAX(TREND(F152:F153,B152:B153,B161),0)</f>
        <v>1.45</v>
      </c>
      <c r="G161" s="401">
        <f>MAX(TREND(G152:G153,$B152:$B153,$B161),0)</f>
        <v>1</v>
      </c>
      <c r="H161" s="402">
        <f>MAX(TREND(H152:H153,$B152:$B153,$B161),0)</f>
        <v>1</v>
      </c>
      <c r="I161" s="405">
        <f>MIN(MAX(TREND(I152:I153,B152:B153,B161),0),1)</f>
        <v>0.24</v>
      </c>
      <c r="J161" s="772">
        <f>MIN(MAX(TREND(J152:J153,B152:B153,B161),0),1)</f>
        <v>0.24</v>
      </c>
      <c r="K161" s="401">
        <f>MAX(TREND(K152:K153,B152:B153,B161),0)</f>
        <v>0</v>
      </c>
      <c r="L161" s="402">
        <f>MAX(TREND(L152:L153,B152:B153,B161),0)</f>
        <v>0</v>
      </c>
      <c r="M161" s="403">
        <f>IFERROR(IF(INDEX(HwyTransitModelGroup,A146,1)=Hwy,C161*E161/G161,K161/G161),0)</f>
        <v>417049</v>
      </c>
      <c r="N161" s="404">
        <f>IFERROR(IF(INDEX(HwyTransitModelGroup,A146,1)=Hwy,D161*F161/H161,L161/H161),0)</f>
        <v>380319.05</v>
      </c>
      <c r="O161" s="402">
        <f>TREND(O152:O153,$B152:$B153,$B161)</f>
        <v>1</v>
      </c>
      <c r="P161" s="998">
        <f>IF(INDEX(HwyTransitModelGroup,A146,1)=Hwy,G161*M161*(I161*ValTimeTruck+(1-I161)*ValTimeAuto)-O161*N161*(J161*ValTimeTruck+(1-J161)*ValTimeAuto),G161*IF(INDEX(NoTransit20,A146)=TRUE,INDEX(DivIndTrips,A146,4)/IF(INDEX(DivIndTrips,A146,3)=0,1,INDEX(DivIndTrips,A146,3)),M161)*ValTimeAuto-O161*N161*ValTimeAuto)*(1+TTUprater)^($B161-YearCurrent)</f>
        <v>768684.39359999914</v>
      </c>
      <c r="Q161" s="780">
        <f t="shared" si="25"/>
        <v>768684.39359999914</v>
      </c>
      <c r="R161" s="370">
        <f t="shared" si="26"/>
        <v>519295.63345174643</v>
      </c>
      <c r="S161" s="371"/>
      <c r="T161" s="378">
        <f>TREND(T152:T153,$B152:$B153,$B161)</f>
        <v>36729.949999999721</v>
      </c>
    </row>
    <row r="162" spans="2:20" x14ac:dyDescent="0.2">
      <c r="B162" s="375">
        <f t="shared" si="27"/>
        <v>2033</v>
      </c>
      <c r="C162" s="401">
        <f>MAX(TREND(C152:C153,B152:B153,B162),0)</f>
        <v>291270</v>
      </c>
      <c r="D162" s="402">
        <f>MAX(TREND(D152:D153,B152:B153,B162),0)</f>
        <v>264880.5</v>
      </c>
      <c r="E162" s="403">
        <f>MAX(TREND(E152:E153,B152:B153,B162),0)</f>
        <v>1.45</v>
      </c>
      <c r="F162" s="404">
        <f>MAX(TREND(F152:F153,B152:B153,B162),0)</f>
        <v>1.45</v>
      </c>
      <c r="G162" s="401">
        <f>MAX(TREND(G152:G153,$B152:$B153,$B162),0)</f>
        <v>1</v>
      </c>
      <c r="H162" s="402">
        <f>MAX(TREND(H152:H153,$B152:$B153,$B162),0)</f>
        <v>1</v>
      </c>
      <c r="I162" s="405">
        <f>MIN(MAX(TREND(I152:I153,B152:B153,B162),0),1)</f>
        <v>0.24</v>
      </c>
      <c r="J162" s="772">
        <f>MIN(MAX(TREND(J152:J153,B152:B153,B162),0),1)</f>
        <v>0.24</v>
      </c>
      <c r="K162" s="401">
        <f>MAX(TREND(K152:K153,B152:B153,B162),0)</f>
        <v>0</v>
      </c>
      <c r="L162" s="402">
        <f>MAX(TREND(L152:L153,B152:B153,B162),0)</f>
        <v>0</v>
      </c>
      <c r="M162" s="403">
        <f>IFERROR(IF(INDEX(HwyTransitModelGroup,A146,1)=Hwy,C162*E162/G162,K162/G162),0)</f>
        <v>422341.5</v>
      </c>
      <c r="N162" s="404">
        <f>IFERROR(IF(INDEX(HwyTransitModelGroup,A146,1)=Hwy,D162*F162/H162,L162/H162),0)</f>
        <v>384076.72499999998</v>
      </c>
      <c r="O162" s="402">
        <f>TREND(O152:O153,$B152:$B153,$B162)</f>
        <v>1</v>
      </c>
      <c r="P162" s="998">
        <f>IF(INDEX(HwyTransitModelGroup,A146,1)=Hwy,G162*M162*(I162*ValTimeTruck+(1-I162)*ValTimeAuto)-O162*N162*(J162*ValTimeTruck+(1-J162)*ValTimeAuto),G162*IF(INDEX(NoTransit20,A146)=TRUE,INDEX(DivIndTrips,A146,4)/IF(INDEX(DivIndTrips,A146,3)=0,1,INDEX(DivIndTrips,A146,3)),M162)*ValTimeAuto-O162*N162*ValTimeAuto)*(1+TTUprater)^($B162-YearCurrent)</f>
        <v>800805.21120000072</v>
      </c>
      <c r="Q162" s="780">
        <f t="shared" si="25"/>
        <v>800805.21120000072</v>
      </c>
      <c r="R162" s="370">
        <f t="shared" si="26"/>
        <v>520187.79509201593</v>
      </c>
      <c r="S162" s="371"/>
      <c r="T162" s="378">
        <f>TREND(T152:T153,$B152:$B153,$B162)</f>
        <v>38264.774999999907</v>
      </c>
    </row>
    <row r="163" spans="2:20" x14ac:dyDescent="0.2">
      <c r="B163" s="375">
        <f t="shared" si="27"/>
        <v>2034</v>
      </c>
      <c r="C163" s="401">
        <f>MAX(TREND(C152:C153,B152:B153,B163),0)</f>
        <v>294920</v>
      </c>
      <c r="D163" s="402">
        <f>MAX(TREND(D152:D153,B152:B153,B163),0)</f>
        <v>267472</v>
      </c>
      <c r="E163" s="403">
        <f>MAX(TREND(E152:E153,B152:B153,B163),0)</f>
        <v>1.45</v>
      </c>
      <c r="F163" s="404">
        <f>MAX(TREND(F152:F153,B152:B153,B163),0)</f>
        <v>1.45</v>
      </c>
      <c r="G163" s="401">
        <f>MAX(TREND(G152:G153,$B152:$B153,$B163),0)</f>
        <v>1</v>
      </c>
      <c r="H163" s="402">
        <f>MAX(TREND(H152:H153,$B152:$B153,$B163),0)</f>
        <v>1</v>
      </c>
      <c r="I163" s="405">
        <f>MIN(MAX(TREND(I152:I153,B152:B153,B163),0),1)</f>
        <v>0.24</v>
      </c>
      <c r="J163" s="772">
        <f>MIN(MAX(TREND(J152:J153,B152:B153,B163),0),1)</f>
        <v>0.24</v>
      </c>
      <c r="K163" s="401">
        <f>MAX(TREND(K152:K153,B152:B153,B163),0)</f>
        <v>0</v>
      </c>
      <c r="L163" s="402">
        <f>MAX(TREND(L152:L153,B152:B153,B163),0)</f>
        <v>0</v>
      </c>
      <c r="M163" s="403">
        <f>IFERROR(IF(INDEX(HwyTransitModelGroup,A146,1)=Hwy,C163*E163/G163,K163/G163),0)</f>
        <v>427634</v>
      </c>
      <c r="N163" s="404">
        <f>IFERROR(IF(INDEX(HwyTransitModelGroup,A146,1)=Hwy,D163*F163/H163,L163/H163),0)</f>
        <v>387834.39999999997</v>
      </c>
      <c r="O163" s="402">
        <f>TREND(O152:O153,$B152:$B153,$B163)</f>
        <v>1</v>
      </c>
      <c r="P163" s="998">
        <f>IF(INDEX(HwyTransitModelGroup,A146,1)=Hwy,G163*M163*(I163*ValTimeTruck+(1-I163)*ValTimeAuto)-O163*N163*(J163*ValTimeTruck+(1-J163)*ValTimeAuto),G163*IF(INDEX(NoTransit20,A146)=TRUE,INDEX(DivIndTrips,A146,4)/IF(INDEX(DivIndTrips,A146,3)=0,1,INDEX(DivIndTrips,A146,3)),M163)*ValTimeAuto-O163*N163*ValTimeAuto)*(1+TTUprater)^($B163-YearCurrent)</f>
        <v>832926.02880000044</v>
      </c>
      <c r="Q163" s="780">
        <f t="shared" si="25"/>
        <v>832926.02880000044</v>
      </c>
      <c r="R163" s="370">
        <f t="shared" si="26"/>
        <v>520243.14010692062</v>
      </c>
      <c r="S163" s="371"/>
      <c r="T163" s="378">
        <f>TREND(T152:T153,$B152:$B153,$B163)</f>
        <v>39799.600000000093</v>
      </c>
    </row>
    <row r="164" spans="2:20" x14ac:dyDescent="0.2">
      <c r="B164" s="375">
        <f t="shared" si="27"/>
        <v>2035</v>
      </c>
      <c r="C164" s="401">
        <f>MAX(TREND(C152:C153,B152:B153,B164),0)</f>
        <v>298570</v>
      </c>
      <c r="D164" s="402">
        <f>MAX(TREND(D152:D153,B152:B153,B164),0)</f>
        <v>270063.5</v>
      </c>
      <c r="E164" s="403">
        <f>MAX(TREND(E152:E153,B152:B153,B164),0)</f>
        <v>1.45</v>
      </c>
      <c r="F164" s="404">
        <f>MAX(TREND(F152:F153,B152:B153,B164),0)</f>
        <v>1.45</v>
      </c>
      <c r="G164" s="401">
        <f>MAX(TREND(G152:G153,$B152:$B153,$B164),0)</f>
        <v>1</v>
      </c>
      <c r="H164" s="402">
        <f>MAX(TREND(H152:H153,$B152:$B153,$B164),0)</f>
        <v>1</v>
      </c>
      <c r="I164" s="405">
        <f>MIN(MAX(TREND(I152:I153,B152:B153,B164),0),1)</f>
        <v>0.24</v>
      </c>
      <c r="J164" s="772">
        <f>MIN(MAX(TREND(J152:J153,B152:B153,B164),0),1)</f>
        <v>0.24</v>
      </c>
      <c r="K164" s="401">
        <f>MAX(TREND(K152:K153,B152:B153,B164),0)</f>
        <v>0</v>
      </c>
      <c r="L164" s="402">
        <f>MAX(TREND(L152:L153,B152:B153,B164),0)</f>
        <v>0</v>
      </c>
      <c r="M164" s="403">
        <f>IFERROR(IF(INDEX(HwyTransitModelGroup,A146,1)=Hwy,C164*E164/G164,K164/G164),0)</f>
        <v>432926.5</v>
      </c>
      <c r="N164" s="404">
        <f>IFERROR(IF(INDEX(HwyTransitModelGroup,A146,1)=Hwy,D164*F164/H164,L164/H164),0)</f>
        <v>391592.07500000001</v>
      </c>
      <c r="O164" s="402">
        <f>TREND(O152:O153,$B152:$B153,$B164)</f>
        <v>1</v>
      </c>
      <c r="P164" s="998">
        <f>IF(INDEX(HwyTransitModelGroup,A146,1)=Hwy,G164*M164*(I164*ValTimeTruck+(1-I164)*ValTimeAuto)-O164*N164*(J164*ValTimeTruck+(1-J164)*ValTimeAuto),G164*IF(INDEX(NoTransit20,A146)=TRUE,INDEX(DivIndTrips,A146,4)/IF(INDEX(DivIndTrips,A146,3)=0,1,INDEX(DivIndTrips,A146,3)),M164)*ValTimeAuto-O164*N164*ValTimeAuto)*(1+TTUprater)^($B164-YearCurrent)</f>
        <v>865046.84639999922</v>
      </c>
      <c r="Q164" s="780">
        <f t="shared" si="25"/>
        <v>865046.84639999922</v>
      </c>
      <c r="R164" s="370">
        <f t="shared" si="26"/>
        <v>519524.71924036468</v>
      </c>
      <c r="S164" s="371"/>
      <c r="T164" s="378">
        <f>TREND(T152:T153,$B152:$B153,$B164)</f>
        <v>41334.424999999814</v>
      </c>
    </row>
    <row r="165" spans="2:20" x14ac:dyDescent="0.2">
      <c r="B165" s="375">
        <f t="shared" si="27"/>
        <v>2036</v>
      </c>
      <c r="C165" s="401">
        <f>MAX(TREND(C152:C153,B152:B153,B165),0)</f>
        <v>302220</v>
      </c>
      <c r="D165" s="402">
        <f>MAX(TREND(D152:D153,B152:B153,B165),0)</f>
        <v>272655</v>
      </c>
      <c r="E165" s="403">
        <f>MAX(TREND(E152:E153,B152:B153,B165),0)</f>
        <v>1.45</v>
      </c>
      <c r="F165" s="404">
        <f>MAX(TREND(F152:F153,B152:B153,B165),0)</f>
        <v>1.45</v>
      </c>
      <c r="G165" s="401">
        <f>MAX(TREND(G152:G153,$B152:$B153,$B165),0)</f>
        <v>1</v>
      </c>
      <c r="H165" s="402">
        <f>MAX(TREND(H152:H153,$B152:$B153,$B165),0)</f>
        <v>1</v>
      </c>
      <c r="I165" s="405">
        <f>MIN(MAX(TREND(I152:I153,B152:B153,B165),0),1)</f>
        <v>0.24</v>
      </c>
      <c r="J165" s="772">
        <f>MIN(MAX(TREND(J152:J153,B152:B153,B165),0),1)</f>
        <v>0.24</v>
      </c>
      <c r="K165" s="401">
        <f>MAX(TREND(K152:K153,B152:B153,B165),0)</f>
        <v>0</v>
      </c>
      <c r="L165" s="402">
        <f>MAX(TREND(L152:L153,B152:B153,B165),0)</f>
        <v>0</v>
      </c>
      <c r="M165" s="403">
        <f>IFERROR(IF(INDEX(HwyTransitModelGroup,A146,1)=Hwy,C165*E165/G165,K165/G165),0)</f>
        <v>438219</v>
      </c>
      <c r="N165" s="404">
        <f>IFERROR(IF(INDEX(HwyTransitModelGroup,A146,1)=Hwy,D165*F165/H165,L165/H165),0)</f>
        <v>395349.75</v>
      </c>
      <c r="O165" s="402">
        <f>TREND(O152:O153,$B152:$B153,$B165)</f>
        <v>1</v>
      </c>
      <c r="P165" s="998">
        <f>IF(INDEX(HwyTransitModelGroup,A146,1)=Hwy,G165*M165*(I165*ValTimeTruck+(1-I165)*ValTimeAuto)-O165*N165*(J165*ValTimeTruck+(1-J165)*ValTimeAuto),G165*IF(INDEX(NoTransit20,A146)=TRUE,INDEX(DivIndTrips,A146,4)/IF(INDEX(DivIndTrips,A146,3)=0,1,INDEX(DivIndTrips,A146,3)),M165)*ValTimeAuto-O165*N165*ValTimeAuto)*(1+TTUprater)^($B165-YearCurrent)</f>
        <v>897167.6640000008</v>
      </c>
      <c r="Q165" s="780">
        <f t="shared" si="25"/>
        <v>897167.6640000008</v>
      </c>
      <c r="R165" s="370">
        <f t="shared" si="26"/>
        <v>518091.9710734465</v>
      </c>
      <c r="S165" s="371"/>
      <c r="T165" s="378">
        <f>TREND(T152:T153,$B152:$B153,$B165)</f>
        <v>42869.25</v>
      </c>
    </row>
    <row r="166" spans="2:20" x14ac:dyDescent="0.2">
      <c r="B166" s="375">
        <f t="shared" si="27"/>
        <v>2037</v>
      </c>
      <c r="C166" s="401">
        <f>MAX(TREND(C152:C153,B152:B153,B166),0)</f>
        <v>305870</v>
      </c>
      <c r="D166" s="402">
        <f>MAX(TREND(D152:D153,B152:B153,B166),0)</f>
        <v>275246.5</v>
      </c>
      <c r="E166" s="403">
        <f>MAX(TREND(E152:E153,B152:B153,B166),0)</f>
        <v>1.45</v>
      </c>
      <c r="F166" s="404">
        <f>MAX(TREND(F152:F153,B152:B153,B166),0)</f>
        <v>1.45</v>
      </c>
      <c r="G166" s="401">
        <f>MAX(TREND(G152:G153,$B152:$B153,$B166),0)</f>
        <v>1</v>
      </c>
      <c r="H166" s="402">
        <f>MAX(TREND(H152:H153,$B152:$B153,$B166),0)</f>
        <v>1</v>
      </c>
      <c r="I166" s="405">
        <f>MIN(MAX(TREND(I152:I153,B152:B153,B166),0),1)</f>
        <v>0.24</v>
      </c>
      <c r="J166" s="772">
        <f>MIN(MAX(TREND(J152:J153,B152:B153,B166),0),1)</f>
        <v>0.24</v>
      </c>
      <c r="K166" s="401">
        <f>MAX(TREND(K152:K153,B152:B153,B166),0)</f>
        <v>0</v>
      </c>
      <c r="L166" s="402">
        <f>MAX(TREND(L152:L153,B152:B153,B166),0)</f>
        <v>0</v>
      </c>
      <c r="M166" s="403">
        <f>IFERROR(IF(INDEX(HwyTransitModelGroup,A146,1)=Hwy,C166*E166/G166,K166/G166),0)</f>
        <v>443511.5</v>
      </c>
      <c r="N166" s="404">
        <f>IFERROR(IF(INDEX(HwyTransitModelGroup,A146,1)=Hwy,D166*F166/H166,L166/H166),0)</f>
        <v>399107.42499999999</v>
      </c>
      <c r="O166" s="402">
        <f>TREND(O152:O153,$B152:$B153,$B166)</f>
        <v>1</v>
      </c>
      <c r="P166" s="998">
        <f>IF(INDEX(HwyTransitModelGroup,A146,1)=Hwy,G166*M166*(I166*ValTimeTruck+(1-I166)*ValTimeAuto)-O166*N166*(J166*ValTimeTruck+(1-J166)*ValTimeAuto),G166*IF(INDEX(NoTransit20,A146)=TRUE,INDEX(DivIndTrips,A146,4)/IF(INDEX(DivIndTrips,A146,3)=0,1,INDEX(DivIndTrips,A146,3)),M166)*ValTimeAuto-O166*N166*ValTimeAuto)*(1+TTUprater)^($B166-YearCurrent)</f>
        <v>929288.48160000052</v>
      </c>
      <c r="Q166" s="780">
        <f t="shared" si="25"/>
        <v>929288.48160000052</v>
      </c>
      <c r="R166" s="370">
        <f t="shared" si="26"/>
        <v>516000.90661279851</v>
      </c>
      <c r="S166" s="371"/>
      <c r="T166" s="378">
        <f>TREND(T152:T153,$B152:$B153,$B166)</f>
        <v>44404.074999999721</v>
      </c>
    </row>
    <row r="167" spans="2:20" x14ac:dyDescent="0.2">
      <c r="B167" s="375">
        <f t="shared" si="27"/>
        <v>2038</v>
      </c>
      <c r="C167" s="401">
        <f>MAX(TREND(C152:C153,B152:B153,B167),0)</f>
        <v>309520</v>
      </c>
      <c r="D167" s="402">
        <f>MAX(TREND(D152:D153,B152:B153,B167),0)</f>
        <v>277838</v>
      </c>
      <c r="E167" s="403">
        <f>MAX(TREND(E152:E153,B152:B153,B167),0)</f>
        <v>1.45</v>
      </c>
      <c r="F167" s="404">
        <f>MAX(TREND(F152:F153,B152:B153,B167),0)</f>
        <v>1.45</v>
      </c>
      <c r="G167" s="401">
        <f>MAX(TREND(G152:G153,$B152:$B153,$B167),0)</f>
        <v>1</v>
      </c>
      <c r="H167" s="402">
        <f>MAX(TREND(H152:H153,$B152:$B153,$B167),0)</f>
        <v>1</v>
      </c>
      <c r="I167" s="405">
        <f>MIN(MAX(TREND(I152:I153,B152:B153,B167),0),1)</f>
        <v>0.24</v>
      </c>
      <c r="J167" s="772">
        <f>MIN(MAX(TREND(J152:J153,B152:B153,B167),0),1)</f>
        <v>0.24</v>
      </c>
      <c r="K167" s="401">
        <f>MAX(TREND(K152:K153,B152:B153,B167),0)</f>
        <v>0</v>
      </c>
      <c r="L167" s="402">
        <f>MAX(TREND(L152:L153,B152:B153,B167),0)</f>
        <v>0</v>
      </c>
      <c r="M167" s="403">
        <f>IFERROR(IF(INDEX(HwyTransitModelGroup,A146,1)=Hwy,C167*E167/G167,K167/G167),0)</f>
        <v>448804</v>
      </c>
      <c r="N167" s="404">
        <f>IFERROR(IF(INDEX(HwyTransitModelGroup,A146,1)=Hwy,D167*F167/H167,L167/H167),0)</f>
        <v>402865.1</v>
      </c>
      <c r="O167" s="402">
        <f>TREND(O152:O153,$B152:$B153,$B167)</f>
        <v>1</v>
      </c>
      <c r="P167" s="998">
        <f>IF(INDEX(HwyTransitModelGroup,A146,1)=Hwy,G167*M167*(I167*ValTimeTruck+(1-I167)*ValTimeAuto)-O167*N167*(J167*ValTimeTruck+(1-J167)*ValTimeAuto),G167*IF(INDEX(NoTransit20,A146)=TRUE,INDEX(DivIndTrips,A146,4)/IF(INDEX(DivIndTrips,A146,3)=0,1,INDEX(DivIndTrips,A146,3)),M167)*ValTimeAuto-O167*N167*ValTimeAuto)*(1+TTUprater)^($B167-YearCurrent)</f>
        <v>961409.29920000024</v>
      </c>
      <c r="Q167" s="780">
        <f t="shared" si="25"/>
        <v>961409.29920000024</v>
      </c>
      <c r="R167" s="370">
        <f t="shared" si="26"/>
        <v>513304.28502327506</v>
      </c>
      <c r="S167" s="371"/>
      <c r="T167" s="378">
        <f>TREND(T152:T153,$B152:$B153,$B167)</f>
        <v>45938.899999999907</v>
      </c>
    </row>
    <row r="168" spans="2:20" x14ac:dyDescent="0.2">
      <c r="B168" s="375">
        <f t="shared" si="27"/>
        <v>2039</v>
      </c>
      <c r="C168" s="401">
        <f>MAX(TREND(C152:C153,B152:B153,B168),0)</f>
        <v>313170</v>
      </c>
      <c r="D168" s="402">
        <f>MAX(TREND(D152:D153,B152:B153,B168),0)</f>
        <v>280429.5</v>
      </c>
      <c r="E168" s="403">
        <f>MAX(TREND(E152:E153,B152:B153,B168),0)</f>
        <v>1.45</v>
      </c>
      <c r="F168" s="404">
        <f>MAX(TREND(F152:F153,B152:B153,B168),0)</f>
        <v>1.45</v>
      </c>
      <c r="G168" s="401">
        <f>MAX(TREND(G152:G153,$B152:$B153,$B168),0)</f>
        <v>1</v>
      </c>
      <c r="H168" s="402">
        <f>MAX(TREND(H152:H153,$B152:$B153,$B168),0)</f>
        <v>1</v>
      </c>
      <c r="I168" s="405">
        <f>MIN(MAX(TREND(I152:I153,B152:B153,B168),0),1)</f>
        <v>0.24</v>
      </c>
      <c r="J168" s="772">
        <f>MIN(MAX(TREND(J152:J153,B152:B153,B168),0),1)</f>
        <v>0.24</v>
      </c>
      <c r="K168" s="401">
        <f>MAX(TREND(K152:K153,B152:B153,B168),0)</f>
        <v>0</v>
      </c>
      <c r="L168" s="402">
        <f>MAX(TREND(L152:L153,B152:B153,B168),0)</f>
        <v>0</v>
      </c>
      <c r="M168" s="403">
        <f>IFERROR(IF(INDEX(HwyTransitModelGroup,A146,1)=Hwy,C168*E168/G168,K168/G168),0)</f>
        <v>454096.5</v>
      </c>
      <c r="N168" s="404">
        <f>IFERROR(IF(INDEX(HwyTransitModelGroup,A146,1)=Hwy,D168*F168/H168,L168/H168),0)</f>
        <v>406622.77499999997</v>
      </c>
      <c r="O168" s="402">
        <f>TREND(O152:O153,$B152:$B153,$B168)</f>
        <v>1</v>
      </c>
      <c r="P168" s="998">
        <f>IF(INDEX(HwyTransitModelGroup,A146,1)=Hwy,G168*M168*(I168*ValTimeTruck+(1-I168)*ValTimeAuto)-O168*N168*(J168*ValTimeTruck+(1-J168)*ValTimeAuto),G168*IF(INDEX(NoTransit20,A146)=TRUE,INDEX(DivIndTrips,A146,4)/IF(INDEX(DivIndTrips,A146,3)=0,1,INDEX(DivIndTrips,A146,3)),M168)*ValTimeAuto-O168*N168*ValTimeAuto)*(1+TTUprater)^($B168-YearCurrent)</f>
        <v>993530.11680000089</v>
      </c>
      <c r="Q168" s="780">
        <f t="shared" si="25"/>
        <v>993530.11680000089</v>
      </c>
      <c r="R168" s="370">
        <f t="shared" si="26"/>
        <v>510051.78091310489</v>
      </c>
      <c r="S168" s="371"/>
      <c r="T168" s="378">
        <f>TREND(T152:T153,$B152:$B153,$B168)</f>
        <v>47473.725000000093</v>
      </c>
    </row>
    <row r="169" spans="2:20" x14ac:dyDescent="0.2">
      <c r="B169" s="375">
        <f t="shared" si="27"/>
        <v>2040</v>
      </c>
      <c r="C169" s="401">
        <f>MAX(TREND(C152:C153,B152:B153,B169),0)</f>
        <v>316820</v>
      </c>
      <c r="D169" s="402">
        <f>MAX(TREND(D152:D153,B152:B153,B169),0)</f>
        <v>283021</v>
      </c>
      <c r="E169" s="403">
        <f>MAX(TREND(E152:E153,B152:B153,B169),0)</f>
        <v>1.45</v>
      </c>
      <c r="F169" s="404">
        <f>MAX(TREND(F152:F153,B152:B153,B169),0)</f>
        <v>1.45</v>
      </c>
      <c r="G169" s="401">
        <f>MAX(TREND(G152:G153,$B152:$B153,$B169),0)</f>
        <v>1</v>
      </c>
      <c r="H169" s="402">
        <f>MAX(TREND(H152:H153,$B152:$B153,$B169),0)</f>
        <v>1</v>
      </c>
      <c r="I169" s="405">
        <f>MIN(MAX(TREND(I152:I153,B152:B153,B169),0),1)</f>
        <v>0.24</v>
      </c>
      <c r="J169" s="772">
        <f>MIN(MAX(TREND(J152:J153,B152:B153,B169),0),1)</f>
        <v>0.24</v>
      </c>
      <c r="K169" s="401">
        <f>MAX(TREND(K152:K153,B152:B153,B169),0)</f>
        <v>0</v>
      </c>
      <c r="L169" s="402">
        <f>MAX(TREND(L152:L153,B152:B153,B169),0)</f>
        <v>0</v>
      </c>
      <c r="M169" s="403">
        <f>IFERROR(IF(INDEX(HwyTransitModelGroup,A146,1)=Hwy,C169*E169/G169,K169/G169),0)</f>
        <v>459389</v>
      </c>
      <c r="N169" s="404">
        <f>IFERROR(IF(INDEX(HwyTransitModelGroup,A146,1)=Hwy,D169*F169/H169,L169/H169),0)</f>
        <v>410380.45</v>
      </c>
      <c r="O169" s="402">
        <f>TREND(O152:O153,$B152:$B153,$B169)</f>
        <v>1</v>
      </c>
      <c r="P169" s="998">
        <f>IF(INDEX(HwyTransitModelGroup,A146,1)=Hwy,G169*M169*(I169*ValTimeTruck+(1-I169)*ValTimeAuto)-O169*N169*(J169*ValTimeTruck+(1-J169)*ValTimeAuto),G169*IF(INDEX(NoTransit20,A146)=TRUE,INDEX(DivIndTrips,A146,4)/IF(INDEX(DivIndTrips,A146,3)=0,1,INDEX(DivIndTrips,A146,3)),M169)*ValTimeAuto-O169*N169*ValTimeAuto)*(1+TTUprater)^($B169-YearCurrent)</f>
        <v>1025650.9343999997</v>
      </c>
      <c r="Q169" s="780">
        <f t="shared" si="25"/>
        <v>1025650.9343999997</v>
      </c>
      <c r="R169" s="370">
        <f t="shared" si="26"/>
        <v>506290.14356137387</v>
      </c>
      <c r="S169" s="371"/>
      <c r="T169" s="378">
        <f>TREND(T152:T153,$B152:$B153,$B169)</f>
        <v>49008.549999999814</v>
      </c>
    </row>
    <row r="170" spans="2:20" x14ac:dyDescent="0.2">
      <c r="B170" s="375">
        <f t="shared" si="27"/>
        <v>2041</v>
      </c>
      <c r="C170" s="401">
        <f>MAX(TREND(C152:C153,B152:B153,B170),0)</f>
        <v>320470</v>
      </c>
      <c r="D170" s="402">
        <f>MAX(TREND(D152:D153,B152:B153,B170),0)</f>
        <v>285612.5</v>
      </c>
      <c r="E170" s="403">
        <f>MAX(TREND(E152:E153,B152:B153,B170),0)</f>
        <v>1.45</v>
      </c>
      <c r="F170" s="404">
        <f>MAX(TREND(F152:F153,B152:B153,B170),0)</f>
        <v>1.45</v>
      </c>
      <c r="G170" s="401">
        <f>MAX(TREND(G152:G153,$B152:$B153,$B170),0)</f>
        <v>1</v>
      </c>
      <c r="H170" s="402">
        <f>MAX(TREND(H152:H153,$B152:$B153,$B170),0)</f>
        <v>1</v>
      </c>
      <c r="I170" s="405">
        <f>MIN(MAX(TREND(I152:I153,B152:B153,B170),0),1)</f>
        <v>0.24</v>
      </c>
      <c r="J170" s="772">
        <f>MIN(MAX(TREND(J152:J153,B152:B153,B170),0),1)</f>
        <v>0.24</v>
      </c>
      <c r="K170" s="401">
        <f>MAX(TREND(K152:K153,B152:B153,B170),0)</f>
        <v>0</v>
      </c>
      <c r="L170" s="402">
        <f>MAX(TREND(L152:L153,B152:B153,B170),0)</f>
        <v>0</v>
      </c>
      <c r="M170" s="403">
        <f>IFERROR(IF(INDEX(HwyTransitModelGroup,A146,1)=Hwy,C170*E170/G170,K170/G170),0)</f>
        <v>464681.5</v>
      </c>
      <c r="N170" s="404">
        <f>IFERROR(IF(INDEX(HwyTransitModelGroup,A146,1)=Hwy,D170*F170/H170,L170/H170),0)</f>
        <v>414138.125</v>
      </c>
      <c r="O170" s="402">
        <f>TREND(O152:O153,$B152:$B153,$B170)</f>
        <v>1</v>
      </c>
      <c r="P170" s="998">
        <f>IF(INDEX(HwyTransitModelGroup,A146,1)=Hwy,G170*M170*(I170*ValTimeTruck+(1-I170)*ValTimeAuto)-O170*N170*(J170*ValTimeTruck+(1-J170)*ValTimeAuto),G170*IF(INDEX(NoTransit20,A146)=TRUE,INDEX(DivIndTrips,A146,4)/IF(INDEX(DivIndTrips,A146,3)=0,1,INDEX(DivIndTrips,A146,3)),M170)*ValTimeAuto-O170*N170*ValTimeAuto)*(1+TTUprater)^($B170-YearCurrent)</f>
        <v>1057771.7520000003</v>
      </c>
      <c r="Q170" s="780">
        <f t="shared" si="25"/>
        <v>1057771.7520000003</v>
      </c>
      <c r="R170" s="370">
        <f t="shared" si="26"/>
        <v>502063.34846020141</v>
      </c>
      <c r="S170" s="371"/>
      <c r="T170" s="378">
        <f>TREND(T152:T153,$B152:$B153,$B170)</f>
        <v>50543.375</v>
      </c>
    </row>
    <row r="171" spans="2:20" x14ac:dyDescent="0.2">
      <c r="B171" s="375">
        <f t="shared" si="27"/>
        <v>2042</v>
      </c>
      <c r="C171" s="401">
        <f>MAX(TREND(C152:C153,B152:B153,B171),0)</f>
        <v>324120</v>
      </c>
      <c r="D171" s="402">
        <f>MAX(TREND(D152:D153,B152:B153,B171),0)</f>
        <v>288204</v>
      </c>
      <c r="E171" s="403">
        <f>MAX(TREND(E152:E153,B152:B153,B171),0)</f>
        <v>1.45</v>
      </c>
      <c r="F171" s="404">
        <f>MAX(TREND(F152:F153,B152:B153,B171),0)</f>
        <v>1.45</v>
      </c>
      <c r="G171" s="401">
        <f>MAX(TREND(G152:G153,$B152:$B153,$B171),0)</f>
        <v>1</v>
      </c>
      <c r="H171" s="402">
        <f>MAX(TREND(H152:H153,$B152:$B153,$B171),0)</f>
        <v>1</v>
      </c>
      <c r="I171" s="405">
        <f>MIN(MAX(TREND(I152:I153,B152:B153,B171),0),1)</f>
        <v>0.24</v>
      </c>
      <c r="J171" s="772">
        <f>MIN(MAX(TREND(J152:J153,B152:B153,B171),0),1)</f>
        <v>0.24</v>
      </c>
      <c r="K171" s="401">
        <f>MAX(TREND(K152:K153,B152:B153,B171),0)</f>
        <v>0</v>
      </c>
      <c r="L171" s="402">
        <f>MAX(TREND(L152:L153,B152:B153,B171),0)</f>
        <v>0</v>
      </c>
      <c r="M171" s="403">
        <f>IFERROR(IF(INDEX(HwyTransitModelGroup,A146,1)=Hwy,C171*E171/G171,K171/G171),0)</f>
        <v>469974</v>
      </c>
      <c r="N171" s="404">
        <f>IFERROR(IF(INDEX(HwyTransitModelGroup,A146,1)=Hwy,D171*F171/H171,L171/H171),0)</f>
        <v>417895.8</v>
      </c>
      <c r="O171" s="402">
        <f>TREND(O152:O153,$B152:$B153,$B171)</f>
        <v>1</v>
      </c>
      <c r="P171" s="998">
        <f>IF(INDEX(HwyTransitModelGroup,A146,1)=Hwy,G171*M171*(I171*ValTimeTruck+(1-I171)*ValTimeAuto)-O171*N171*(J171*ValTimeTruck+(1-J171)*ValTimeAuto),G171*IF(INDEX(NoTransit20,A146)=TRUE,INDEX(DivIndTrips,A146,4)/IF(INDEX(DivIndTrips,A146,3)=0,1,INDEX(DivIndTrips,A146,3)),M171)*ValTimeAuto-O171*N171*ValTimeAuto)*(1+TTUprater)^($B171-YearCurrent)</f>
        <v>1089892.5695999991</v>
      </c>
      <c r="Q171" s="780">
        <f t="shared" si="25"/>
        <v>1089892.5695999991</v>
      </c>
      <c r="R171" s="370">
        <f t="shared" si="26"/>
        <v>497412.74152722274</v>
      </c>
      <c r="S171" s="371"/>
      <c r="T171" s="378">
        <f>TREND(T152:T153,$B152:$B153,$B171)</f>
        <v>52078.199999999721</v>
      </c>
    </row>
    <row r="172" spans="2:20" x14ac:dyDescent="0.2">
      <c r="B172" s="375">
        <f t="shared" si="27"/>
        <v>2043</v>
      </c>
      <c r="C172" s="401">
        <f>MAX(TREND(C152:C153,B152:B153,B172),0)</f>
        <v>327770</v>
      </c>
      <c r="D172" s="402">
        <f>MAX(TREND(D152:D153,B152:B153,B172),0)</f>
        <v>290795.5</v>
      </c>
      <c r="E172" s="403">
        <f>MAX(TREND(E152:E153,B152:B153,B172),0)</f>
        <v>1.45</v>
      </c>
      <c r="F172" s="404">
        <f>MAX(TREND(F152:F153,B152:B153,B172),0)</f>
        <v>1.45</v>
      </c>
      <c r="G172" s="401">
        <f>MAX(TREND(G152:G153,$B152:$B153,$B172),0)</f>
        <v>1</v>
      </c>
      <c r="H172" s="402">
        <f>MAX(TREND(H152:H153,$B152:$B153,$B172),0)</f>
        <v>1</v>
      </c>
      <c r="I172" s="405">
        <f>MIN(MAX(TREND(I152:I153,B152:B153,B172),0),1)</f>
        <v>0.24</v>
      </c>
      <c r="J172" s="772">
        <f>MIN(MAX(TREND(J152:J153,B152:B153,B172),0),1)</f>
        <v>0.24</v>
      </c>
      <c r="K172" s="401">
        <f>MAX(TREND(K152:K153,B152:B153,B172),0)</f>
        <v>0</v>
      </c>
      <c r="L172" s="402">
        <f>MAX(TREND(L152:L153,B152:B153,B172),0)</f>
        <v>0</v>
      </c>
      <c r="M172" s="403">
        <f>IFERROR(IF(INDEX(HwyTransitModelGroup,A146,1)=Hwy,C172*E172/G172,K172/G172),0)</f>
        <v>475266.5</v>
      </c>
      <c r="N172" s="404">
        <f>IFERROR(IF(INDEX(HwyTransitModelGroup,A146,1)=Hwy,D172*F172/H172,L172/H172),0)</f>
        <v>421653.47499999998</v>
      </c>
      <c r="O172" s="402">
        <f>TREND(O152:O153,$B152:$B153,$B172)</f>
        <v>1</v>
      </c>
      <c r="P172" s="998">
        <f>IF(INDEX(HwyTransitModelGroup,A146,1)=Hwy,G172*M172*(I172*ValTimeTruck+(1-I172)*ValTimeAuto)-O172*N172*(J172*ValTimeTruck+(1-J172)*ValTimeAuto),G172*IF(INDEX(NoTransit20,A146)=TRUE,INDEX(DivIndTrips,A146,4)/IF(INDEX(DivIndTrips,A146,3)=0,1,INDEX(DivIndTrips,A146,3)),M172)*ValTimeAuto-O172*N172*ValTimeAuto)*(1+TTUprater)^($B172-YearCurrent)</f>
        <v>1122013.3872000016</v>
      </c>
      <c r="Q172" s="780">
        <f t="shared" si="25"/>
        <v>1122013.3872000016</v>
      </c>
      <c r="R172" s="370">
        <f t="shared" si="26"/>
        <v>492377.17632805434</v>
      </c>
      <c r="S172" s="371"/>
      <c r="T172" s="378">
        <f>TREND(T152:T153,$B152:$B153,$B172)</f>
        <v>53613.024999999907</v>
      </c>
    </row>
    <row r="173" spans="2:20" x14ac:dyDescent="0.2">
      <c r="B173" s="375">
        <f t="shared" si="27"/>
        <v>2044</v>
      </c>
      <c r="C173" s="401">
        <f>MAX(TREND(C152:C153,B152:B153,B173),0)</f>
        <v>331420</v>
      </c>
      <c r="D173" s="402">
        <f>MAX(TREND(D152:D153,B152:B153,B173),0)</f>
        <v>293387</v>
      </c>
      <c r="E173" s="403">
        <f>MAX(TREND(E152:E153,B152:B153,B173),0)</f>
        <v>1.45</v>
      </c>
      <c r="F173" s="404">
        <f>MAX(TREND(F152:F153,B152:B153,B173),0)</f>
        <v>1.45</v>
      </c>
      <c r="G173" s="401">
        <f>MAX(TREND(G152:G153,$B152:$B153,$B173),0)</f>
        <v>1</v>
      </c>
      <c r="H173" s="402">
        <f>MAX(TREND(H152:H153,$B152:$B153,$B173),0)</f>
        <v>1</v>
      </c>
      <c r="I173" s="405">
        <f>MIN(MAX(TREND(I152:I153,B152:B153,B173),0),1)</f>
        <v>0.24</v>
      </c>
      <c r="J173" s="772">
        <f>MIN(MAX(TREND(J152:J153,B152:B153,B173),0),1)</f>
        <v>0.24</v>
      </c>
      <c r="K173" s="401">
        <f>MAX(TREND(K152:K153,B152:B153,B173),0)</f>
        <v>0</v>
      </c>
      <c r="L173" s="402">
        <f>MAX(TREND(L152:L153,B152:B153,B173),0)</f>
        <v>0</v>
      </c>
      <c r="M173" s="403">
        <f>IFERROR(IF(INDEX(HwyTransitModelGroup,A146,1)=Hwy,C173*E173/G173,K173/G173),0)</f>
        <v>480559</v>
      </c>
      <c r="N173" s="404">
        <f>IFERROR(IF(INDEX(HwyTransitModelGroup,A146,1)=Hwy,D173*F173/H173,L173/H173),0)</f>
        <v>425411.14999999997</v>
      </c>
      <c r="O173" s="402">
        <f>TREND(O152:O153,$B152:$B153,$B173)</f>
        <v>1</v>
      </c>
      <c r="P173" s="998">
        <f>IF(INDEX(HwyTransitModelGroup,A146,1)=Hwy,G173*M173*(I173*ValTimeTruck+(1-I173)*ValTimeAuto)-O173*N173*(J173*ValTimeTruck+(1-J173)*ValTimeAuto),G173*IF(INDEX(NoTransit20,A146)=TRUE,INDEX(DivIndTrips,A146,4)/IF(INDEX(DivIndTrips,A146,3)=0,1,INDEX(DivIndTrips,A146,3)),M173)*ValTimeAuto-O173*N173*ValTimeAuto)*(1+TTUprater)^($B173-YearCurrent)</f>
        <v>1154134.2048000004</v>
      </c>
      <c r="Q173" s="780">
        <f t="shared" si="25"/>
        <v>1154134.2048000004</v>
      </c>
      <c r="R173" s="370">
        <f t="shared" si="26"/>
        <v>486993.14463307016</v>
      </c>
      <c r="S173" s="371"/>
      <c r="T173" s="378">
        <f>TREND(T152:T153,$B152:$B153,$B173)</f>
        <v>55147.850000000093</v>
      </c>
    </row>
    <row r="174" spans="2:20" x14ac:dyDescent="0.2">
      <c r="B174" s="375">
        <f t="shared" si="27"/>
        <v>2045</v>
      </c>
      <c r="C174" s="401">
        <f>MAX(TREND(C152:C153,B152:B153,B174),0)</f>
        <v>335070</v>
      </c>
      <c r="D174" s="402">
        <f>MAX(TREND(D152:D153,B152:B153,B174),0)</f>
        <v>295978.5</v>
      </c>
      <c r="E174" s="403">
        <f>MAX(TREND(E152:E153,B152:B153,B174),0)</f>
        <v>1.45</v>
      </c>
      <c r="F174" s="404">
        <f>MAX(TREND(F152:F153,B152:B153,B174),0)</f>
        <v>1.45</v>
      </c>
      <c r="G174" s="401">
        <f>MAX(TREND(G152:G153,$B152:$B153,$B174),0)</f>
        <v>1</v>
      </c>
      <c r="H174" s="402">
        <f>MAX(TREND(H152:H153,$B152:$B153,$B174),0)</f>
        <v>1</v>
      </c>
      <c r="I174" s="405">
        <f>MIN(MAX(TREND(I152:I153,B152:B153,B174),0),1)</f>
        <v>0.24</v>
      </c>
      <c r="J174" s="772">
        <f>MIN(MAX(TREND(J152:J153,B152:B153,B174),0),1)</f>
        <v>0.24</v>
      </c>
      <c r="K174" s="401">
        <f>MAX(TREND(K152:K153,B152:B153,B174),0)</f>
        <v>0</v>
      </c>
      <c r="L174" s="402">
        <f>MAX(TREND(L152:L153,B152:B153,B174),0)</f>
        <v>0</v>
      </c>
      <c r="M174" s="403">
        <f>IFERROR(IF(INDEX(HwyTransitModelGroup,A146,1)=Hwy,C174*E174/G174,K174/G174),0)</f>
        <v>485851.5</v>
      </c>
      <c r="N174" s="404">
        <f>IFERROR(IF(INDEX(HwyTransitModelGroup,A146,1)=Hwy,D174*F174/H174,L174/H174),0)</f>
        <v>429168.82500000001</v>
      </c>
      <c r="O174" s="402">
        <f>TREND(O152:O153,$B152:$B153,$B174)</f>
        <v>1</v>
      </c>
      <c r="P174" s="998">
        <f>IF(INDEX(HwyTransitModelGroup,A146,1)=Hwy,G174*M174*(I174*ValTimeTruck+(1-I174)*ValTimeAuto)-O174*N174*(J174*ValTimeTruck+(1-J174)*ValTimeAuto),G174*IF(INDEX(NoTransit20,A146)=TRUE,INDEX(DivIndTrips,A146,4)/IF(INDEX(DivIndTrips,A146,3)=0,1,INDEX(DivIndTrips,A146,3)),M174)*ValTimeAuto-O174*N174*ValTimeAuto)*(1+TTUprater)^($B174-YearCurrent)</f>
        <v>1186255.0223999992</v>
      </c>
      <c r="Q174" s="780">
        <f t="shared" si="25"/>
        <v>1186255.0223999992</v>
      </c>
      <c r="R174" s="370">
        <f t="shared" si="26"/>
        <v>481294.90061827999</v>
      </c>
      <c r="S174" s="371"/>
      <c r="T174" s="378">
        <f>TREND(T152:T153,$B152:$B153,$B174)</f>
        <v>56682.674999999814</v>
      </c>
    </row>
    <row r="175" spans="2:20" x14ac:dyDescent="0.2">
      <c r="B175" s="385"/>
      <c r="C175" s="386"/>
      <c r="D175" s="386"/>
      <c r="E175" s="388"/>
      <c r="F175" s="388"/>
      <c r="G175" s="388"/>
      <c r="H175" s="388"/>
      <c r="I175" s="388"/>
      <c r="J175" s="388"/>
      <c r="K175" s="774"/>
      <c r="L175" s="774"/>
      <c r="M175" s="388"/>
      <c r="N175" s="388"/>
      <c r="O175" s="388"/>
      <c r="P175" s="388"/>
      <c r="Q175" s="388"/>
      <c r="R175" s="389"/>
      <c r="S175" s="390"/>
      <c r="T175" s="388"/>
    </row>
    <row r="176" spans="2:20" x14ac:dyDescent="0.2">
      <c r="B176" s="407" t="s">
        <v>56</v>
      </c>
      <c r="C176" s="413"/>
      <c r="D176" s="414"/>
      <c r="E176" s="414"/>
      <c r="F176" s="414"/>
      <c r="G176" s="414"/>
      <c r="H176" s="414"/>
      <c r="I176" s="414"/>
      <c r="J176" s="414"/>
      <c r="K176" s="414"/>
      <c r="L176" s="414"/>
      <c r="M176" s="414"/>
      <c r="N176" s="414"/>
      <c r="O176" s="414"/>
      <c r="P176" s="414"/>
      <c r="Q176" s="414"/>
      <c r="R176" s="409">
        <f>SUM(R155:R174)</f>
        <v>10144360.845136547</v>
      </c>
      <c r="S176" s="416"/>
      <c r="T176" s="411">
        <f>SUM(T155:T174)</f>
        <v>842036.74999999814</v>
      </c>
    </row>
    <row r="177" spans="1:20" x14ac:dyDescent="0.2">
      <c r="B177" s="2"/>
      <c r="C177" s="418"/>
      <c r="D177" s="2"/>
      <c r="E177" s="2"/>
      <c r="F177" s="2"/>
      <c r="G177" s="2"/>
      <c r="H177" s="2"/>
      <c r="I177" s="2"/>
      <c r="J177" s="2"/>
      <c r="K177" s="2"/>
      <c r="L177" s="2"/>
      <c r="M177" s="2"/>
      <c r="N177" s="2"/>
      <c r="O177" s="2"/>
      <c r="P177" s="2"/>
      <c r="Q177" s="2"/>
      <c r="R177" s="2"/>
      <c r="S177" s="2"/>
    </row>
    <row r="178" spans="1:20" ht="15" x14ac:dyDescent="0.25">
      <c r="A178" s="1">
        <f>MAX($A$1:A177)+1</f>
        <v>6</v>
      </c>
      <c r="B178" s="319" t="str">
        <f>IF(ISBLANK(INDEX(ModelGroup,A178,1)),"Not Used",INDEX(ModelGroup,A178,1))</f>
        <v>SB Mainline</v>
      </c>
      <c r="C178" s="2"/>
      <c r="D178" s="2"/>
      <c r="E178" s="2"/>
      <c r="F178" s="2"/>
      <c r="G178"/>
      <c r="H178"/>
      <c r="I178" s="320"/>
      <c r="J178" s="320"/>
      <c r="K178" s="320"/>
      <c r="L178" s="320"/>
      <c r="M178" s="320"/>
      <c r="N178" s="320"/>
      <c r="O178" s="320"/>
      <c r="P178" s="317"/>
      <c r="Q178" s="2"/>
      <c r="R178" s="2"/>
      <c r="S178" s="2"/>
    </row>
    <row r="179" spans="1:20" x14ac:dyDescent="0.2">
      <c r="B179" s="2"/>
      <c r="C179" s="38"/>
      <c r="D179" s="877"/>
      <c r="E179" s="38"/>
      <c r="F179" s="877"/>
      <c r="G179" s="877"/>
      <c r="H179" s="877"/>
      <c r="I179" s="38"/>
      <c r="J179" s="877"/>
      <c r="K179" s="38"/>
      <c r="L179" s="38"/>
      <c r="M179" s="2"/>
      <c r="N179" s="2"/>
      <c r="P179" s="2"/>
      <c r="Q179" s="2"/>
      <c r="R179" s="149"/>
      <c r="S179" s="149"/>
    </row>
    <row r="180" spans="1:20" ht="15.75" x14ac:dyDescent="0.2">
      <c r="A180" s="1776"/>
      <c r="B180" s="322"/>
      <c r="C180" s="323" t="s">
        <v>190</v>
      </c>
      <c r="D180" s="324"/>
      <c r="E180" s="323" t="s">
        <v>191</v>
      </c>
      <c r="F180" s="324"/>
      <c r="G180" s="323" t="str">
        <f>IF(INDEX(HwyTransitModelGroup,A178,1)=Hwy,"TOTAL VEHICLE TRIPS","TOTAL PERSON TRIPS")</f>
        <v>TOTAL VEHICLE TRIPS</v>
      </c>
      <c r="H180" s="324"/>
      <c r="I180" s="323" t="s">
        <v>192</v>
      </c>
      <c r="J180" s="324"/>
      <c r="K180" s="323" t="s">
        <v>193</v>
      </c>
      <c r="L180" s="324"/>
      <c r="M180" s="323" t="s">
        <v>194</v>
      </c>
      <c r="N180" s="324"/>
      <c r="O180" s="919" t="str">
        <f>IF(INDEX(HwyTransitModelGroup,A178,1)=Hwy,"TOTAL VEHICLE TRIPS","TOTAL PERSON TRIPS")</f>
        <v>TOTAL VEHICLE TRIPS</v>
      </c>
      <c r="P180" s="919" t="s">
        <v>195</v>
      </c>
      <c r="Q180" s="991"/>
      <c r="R180" s="330"/>
      <c r="S180" s="2"/>
      <c r="T180" s="331" t="s">
        <v>196</v>
      </c>
    </row>
    <row r="181" spans="1:20" ht="14.25" x14ac:dyDescent="0.2">
      <c r="A181" s="1776"/>
      <c r="B181" s="335"/>
      <c r="C181" s="336" t="s">
        <v>197</v>
      </c>
      <c r="D181" s="337"/>
      <c r="E181" s="338" t="s">
        <v>198</v>
      </c>
      <c r="F181" s="337"/>
      <c r="G181" s="338" t="s">
        <v>199</v>
      </c>
      <c r="H181" s="337"/>
      <c r="I181" s="764" t="s">
        <v>200</v>
      </c>
      <c r="J181" s="339"/>
      <c r="K181" s="765" t="s">
        <v>201</v>
      </c>
      <c r="L181" s="337"/>
      <c r="M181" s="777" t="s">
        <v>202</v>
      </c>
      <c r="N181" s="339"/>
      <c r="O181" s="920" t="s">
        <v>199</v>
      </c>
      <c r="P181" s="920" t="s">
        <v>203</v>
      </c>
      <c r="Q181" s="992"/>
      <c r="R181" s="343"/>
      <c r="S181" s="2"/>
      <c r="T181" s="920" t="s">
        <v>201</v>
      </c>
    </row>
    <row r="182" spans="1:20" ht="15" x14ac:dyDescent="0.2">
      <c r="A182" s="1776"/>
      <c r="B182" s="77" t="s">
        <v>34</v>
      </c>
      <c r="C182" s="348"/>
      <c r="D182" s="349"/>
      <c r="E182" s="348"/>
      <c r="F182" s="349"/>
      <c r="G182" s="348"/>
      <c r="H182" s="349"/>
      <c r="I182" s="348"/>
      <c r="J182" s="349"/>
      <c r="K182" s="348"/>
      <c r="L182" s="349"/>
      <c r="M182" s="348"/>
      <c r="N182" s="349"/>
      <c r="O182" s="921" t="s">
        <v>206</v>
      </c>
      <c r="P182" s="995" t="s">
        <v>207</v>
      </c>
      <c r="Q182" s="993" t="s">
        <v>208</v>
      </c>
      <c r="R182" s="347" t="s">
        <v>39</v>
      </c>
      <c r="S182" s="352"/>
      <c r="T182" s="353" t="s">
        <v>207</v>
      </c>
    </row>
    <row r="183" spans="1:20" ht="15" x14ac:dyDescent="0.2">
      <c r="A183" s="1776"/>
      <c r="B183" s="355"/>
      <c r="C183" s="356" t="s">
        <v>74</v>
      </c>
      <c r="D183" s="357" t="s">
        <v>125</v>
      </c>
      <c r="E183" s="356" t="s">
        <v>74</v>
      </c>
      <c r="F183" s="357" t="s">
        <v>125</v>
      </c>
      <c r="G183" s="356" t="s">
        <v>74</v>
      </c>
      <c r="H183" s="357" t="s">
        <v>125</v>
      </c>
      <c r="I183" s="356" t="s">
        <v>74</v>
      </c>
      <c r="J183" s="357" t="s">
        <v>125</v>
      </c>
      <c r="K183" s="356" t="s">
        <v>74</v>
      </c>
      <c r="L183" s="357" t="s">
        <v>125</v>
      </c>
      <c r="M183" s="348" t="s">
        <v>74</v>
      </c>
      <c r="N183" s="349" t="s">
        <v>125</v>
      </c>
      <c r="O183" s="94" t="s">
        <v>125</v>
      </c>
      <c r="P183" s="94" t="s">
        <v>211</v>
      </c>
      <c r="Q183" s="994" t="s">
        <v>48</v>
      </c>
      <c r="R183" s="360" t="s">
        <v>49</v>
      </c>
      <c r="S183" s="352"/>
      <c r="T183" s="361" t="s">
        <v>211</v>
      </c>
    </row>
    <row r="184" spans="1:20" x14ac:dyDescent="0.2">
      <c r="B184" s="363">
        <f>YearFirst</f>
        <v>2026</v>
      </c>
      <c r="C184" s="364">
        <f>IF(INDEX(HwyTransitModelGroup,A178,1)=Hwy,INDEX(ModelData1NB,A178,3),0)*AnnualFactor</f>
        <v>255500</v>
      </c>
      <c r="D184" s="365">
        <f>IF(INDEX(HwyTransitModelGroup,A178,1)=Hwy,INDEX(ModelData1B,A178,3),0)*AnnualFactor</f>
        <v>227760</v>
      </c>
      <c r="E184" s="972">
        <f>IF(INDEX(HwyTransitModelGroup,A178,1)=Hwy,INDEX(ModelData1NB,A178,8),0)</f>
        <v>1.45</v>
      </c>
      <c r="F184" s="973">
        <f>IF(INDEX(HwyTransitModelGroup,A178,1)=Hwy,INDEX(ModelData1B,A178,8),0)</f>
        <v>1.45</v>
      </c>
      <c r="G184" s="364">
        <f>IF(AND(INDEX(HwyTransitModelGroup,A178,1)=Hwy,INDEX(ModelData1NB,A178,1)=0),1,INDEX(ModelData1NB,A178,1)*AnnualFactor)</f>
        <v>1</v>
      </c>
      <c r="H184" s="365">
        <f>IF(AND(INDEX(HwyTransitModelGroup,A178,1)=Hwy,INDEX(ModelData1B,A178,1)=0),1,INDEX(ModelData1B,A178,1)*AnnualFactor)</f>
        <v>1</v>
      </c>
      <c r="I184" s="976">
        <f>IF(INDEX(HwyTransitModelGroup,A178,1)=Hwy,INDEX(ModelData1NB,A178,9),0)</f>
        <v>0.24</v>
      </c>
      <c r="J184" s="977">
        <f>IF(INDEX(HwyTransitModelGroup,A178,1)=Hwy,INDEX(ModelData1B,A178,9),0)</f>
        <v>0.24</v>
      </c>
      <c r="K184" s="364">
        <f>IF(INDEX(HwyTransitModelGroup,A178,1)=Hwy,0,INDEX(ModelData1NB,A178,5))*AnnualFactor</f>
        <v>0</v>
      </c>
      <c r="L184" s="365">
        <f>IF(INDEX(HwyTransitModelGroup,A178,1)=Hwy,0,INDEX(ModelData1B,A178,5))*AnnualFactor</f>
        <v>0</v>
      </c>
      <c r="M184" s="366">
        <f>IFERROR(IF(INDEX(HwyTransitModelGroup,A178,1)=Hwy,C184*E184/G184,K184/G184),0)</f>
        <v>370475</v>
      </c>
      <c r="N184" s="778">
        <f>IFERROR(IF(INDEX(HwyTransitModelGroup,A178,1)=Hwy,D184*F184/H184,L184/H184),0)</f>
        <v>330252</v>
      </c>
      <c r="O184" s="946">
        <f>$H184-INDEX(ModeShare1,A178)*SUMIF('Consumer Surplus'!$C$157:$C$160,INDEX(HwyTransitModelGroup,A178,1),'Consumer Surplus'!$G$157:$G$160)</f>
        <v>1</v>
      </c>
      <c r="P184" s="996">
        <f>IF(INDEX(HwyTransitModelGroup,A178,1)=Hwy,G184*M184*(I184*ValTimeTruck+(1-I184)*ValTimeAuto)-O184*N184*(J184*ValTimeTruck+(1-J184)*ValTimeAuto),G184*IF(INDEX(NoTransit1,A178)=TRUE,INDEX(DivIndTrips,A178,2)/IF(INDEX(DivIndTrips,A178,1)=0,1,INDEX(DivIndTrips,A178,1)),M184)*ValTimeAuto-O184*N184*ValTimeAuto)*(1+TTUprater)^($B184-YearCurrent)</f>
        <v>841786.94400000013</v>
      </c>
      <c r="Q184" s="780">
        <f>SUM(P184)</f>
        <v>841786.94400000013</v>
      </c>
      <c r="R184" s="370">
        <f>Q184/(1+DiscRate)^(B184-YearCurrent)</f>
        <v>719563.00768530509</v>
      </c>
      <c r="S184" s="371"/>
      <c r="T184" s="989">
        <f>IF(INDEX(HwyTransitModelGroup,A178,1)=Hwy,G184*M184-O184*N184,G184*IF(INDEX(NoTransit1,A178)=TRUE,INDEX(DivIndTrips,A178,2)/IF(INDEX(DivIndTrips,A178,1)=0,1,INDEX(DivIndTrips,A178,1)),M184)-O184*N184)</f>
        <v>40223</v>
      </c>
    </row>
    <row r="185" spans="1:20" x14ac:dyDescent="0.2">
      <c r="B185" s="379">
        <f>YearLast</f>
        <v>2046</v>
      </c>
      <c r="C185" s="380">
        <f>IF(INDEX(HwyTransitModelGroup,A178,1)=Hwy,INDEX(ModelData20NB,A178,3),0)*AnnualFactor</f>
        <v>325945</v>
      </c>
      <c r="D185" s="381">
        <f>IF(INDEX(HwyTransitModelGroup,A178,1)=Hwy,INDEX(ModelData20B,A178,3),0)*AnnualFactor</f>
        <v>280685</v>
      </c>
      <c r="E185" s="974">
        <f>IF(INDEX(HwyTransitModelGroup,A178,1)=Hwy,INDEX(ModelData20NB,A178,8),0)</f>
        <v>1.45</v>
      </c>
      <c r="F185" s="975">
        <f>IF(INDEX(HwyTransitModelGroup,A178,1)=Hwy,INDEX(ModelData20B,A178,8),0)</f>
        <v>1.45</v>
      </c>
      <c r="G185" s="380">
        <f>IF(AND(INDEX(HwyTransitModelGroup,A178,1)=Hwy,INDEX(ModelData20NB,A178,1)=0),1,INDEX(ModelData20NB,A178,1)*AnnualFactor)</f>
        <v>1</v>
      </c>
      <c r="H185" s="381">
        <f>IF(AND(INDEX(HwyTransitModelGroup,A178,1)=Hwy,INDEX(ModelData20B,A178,1)=0),1,INDEX(ModelData20B,A178,1)*AnnualFactor)</f>
        <v>1</v>
      </c>
      <c r="I185" s="978">
        <f>IF(INDEX(HwyTransitModelGroup,A178,1)=Hwy,INDEX(ModelData20NB,A178,9),0)</f>
        <v>0.24</v>
      </c>
      <c r="J185" s="979">
        <f>IF(INDEX(HwyTransitModelGroup,A178,1)=Hwy,INDEX(ModelData20B,A178,9),0)</f>
        <v>0.24</v>
      </c>
      <c r="K185" s="380">
        <f>IF(INDEX(HwyTransitModelGroup,A178,1)=Hwy,0,INDEX(ModelData20NB,A178,5))*AnnualFactor</f>
        <v>0</v>
      </c>
      <c r="L185" s="381">
        <f>IF(INDEX(HwyTransitModelGroup,A178,1)=Hwy,0,INDEX(ModelData20B,A178,5))*AnnualFactor</f>
        <v>0</v>
      </c>
      <c r="M185" s="382">
        <f>IFERROR(IF(INDEX(HwyTransitModelGroup,A178,1)=Hwy,C185*E185/G185,K185/G185),0)</f>
        <v>472620.25</v>
      </c>
      <c r="N185" s="779">
        <f>IFERROR(IF(INDEX(HwyTransitModelGroup,A178,1)=Hwy,D185*F185/H185,L185/H185),0)</f>
        <v>406993.25</v>
      </c>
      <c r="O185" s="947">
        <f>$H185-INDEX(ModeShare20,A178)*SUMIF('Consumer Surplus'!$C$157:$C$160,INDEX(HwyTransitModelGroup,A178,1),'Consumer Surplus'!$K$157:$K$160)</f>
        <v>1</v>
      </c>
      <c r="P185" s="703">
        <f>IF(INDEX(HwyTransitModelGroup,A178,1)=Hwy,G185*M185*(I185*ValTimeTruck+(1-I185)*ValTimeAuto)-O185*N185*(J185*ValTimeTruck+(1-J185)*ValTimeAuto),G185*IF(INDEX(NoTransit20,A178)=TRUE,INDEX(DivIndTrips,A178,4)/IF(INDEX(DivIndTrips,A178,3)=0,1,INDEX(DivIndTrips,A178,3)),M185)*ValTimeAuto-O185*N185*ValTimeAuto)*(1+TTUprater)^($B185-YearCurrent)</f>
        <v>1373441.8560000006</v>
      </c>
      <c r="Q185" s="780">
        <f>SUM(P185)</f>
        <v>1373441.8560000006</v>
      </c>
      <c r="R185" s="370">
        <f>Q185/(1+DiscRate)^(B185-YearCurrent)</f>
        <v>535809.16178864811</v>
      </c>
      <c r="S185" s="371"/>
      <c r="T185" s="990">
        <f>IF(INDEX(HwyTransitModelGroup,A178,1)=Hwy,G185*M185-O185*N185,G185*IF(INDEX(NoTransit1,A178)=TRUE,INDEX(DivIndTrips,A178,2)/IF(INDEX(DivIndTrips,A178,1)=0,1,INDEX(DivIndTrips,A178,1)),M185)-O185*N185)</f>
        <v>65627</v>
      </c>
    </row>
    <row r="186" spans="1:20" x14ac:dyDescent="0.2">
      <c r="B186" s="385"/>
      <c r="C186" s="386"/>
      <c r="D186" s="386"/>
      <c r="E186" s="387"/>
      <c r="F186" s="387"/>
      <c r="G186" s="387"/>
      <c r="H186" s="387"/>
      <c r="I186" s="388"/>
      <c r="J186" s="388"/>
      <c r="K186" s="773"/>
      <c r="L186" s="773"/>
      <c r="M186" s="774"/>
      <c r="N186" s="774"/>
      <c r="O186" s="774"/>
      <c r="P186" s="374"/>
      <c r="Q186" s="388"/>
      <c r="R186" s="389"/>
      <c r="S186" s="390"/>
      <c r="T186" s="391"/>
    </row>
    <row r="187" spans="1:20" x14ac:dyDescent="0.2">
      <c r="B187" s="375">
        <f>YearOpen</f>
        <v>2026</v>
      </c>
      <c r="C187" s="393">
        <f>MAX(TREND(C184:C185,B184:B185,B187),0)</f>
        <v>255500</v>
      </c>
      <c r="D187" s="394">
        <f>MAX(TREND(D184:D185,B184:B185,B187),0)</f>
        <v>227760</v>
      </c>
      <c r="E187" s="395">
        <f>MAX(TREND(E184:E185,B184:B185,B187),0)</f>
        <v>1.45</v>
      </c>
      <c r="F187" s="396">
        <f>MAX(TREND(F184:F185,B184:B185,B187),0)</f>
        <v>1.45</v>
      </c>
      <c r="G187" s="393">
        <f>MAX(TREND(G184:G185,$B184:$B185,$B187),0)</f>
        <v>1</v>
      </c>
      <c r="H187" s="394">
        <f>MAX(TREND(H184:H185,$B184:$B185,$B187),0)</f>
        <v>1</v>
      </c>
      <c r="I187" s="397">
        <f>MIN(MAX(TREND(I184:I185,B184:B185,B187),0),1)</f>
        <v>0.24</v>
      </c>
      <c r="J187" s="771">
        <f>MIN(MAX(TREND(J184:J185,B184:B185,B187),0),1)</f>
        <v>0.24</v>
      </c>
      <c r="K187" s="393">
        <f>MAX(TREND(K184:K185,B184:B185,B187),0)</f>
        <v>0</v>
      </c>
      <c r="L187" s="394">
        <f>MAX(TREND(L184:L185,B184:B185,B187),0)</f>
        <v>0</v>
      </c>
      <c r="M187" s="395">
        <f>IFERROR(IF(INDEX(HwyTransitModelGroup,A178,1)=Hwy,C187*E187/G187,K187/G187),0)</f>
        <v>370475</v>
      </c>
      <c r="N187" s="396">
        <f>IFERROR(IF(INDEX(HwyTransitModelGroup,A178,1)=Hwy,D187*F187/H187,L187/H187),0)</f>
        <v>330252</v>
      </c>
      <c r="O187" s="394">
        <f>TREND(O184:O185,$B184:$B185,$B187)</f>
        <v>1</v>
      </c>
      <c r="P187" s="997">
        <f>IF(INDEX(HwyTransitModelGroup,A178,1)=Hwy,G187*M187*(I187*ValTimeTruck+(1-I187)*ValTimeAuto)-O187*N187*(J187*ValTimeTruck+(1-J187)*ValTimeAuto),G187*IF(INDEX(NoTransit20,A178)=TRUE,INDEX(DivIndTrips,A178,4)/IF(INDEX(DivIndTrips,A178,3)=0,1,INDEX(DivIndTrips,A178,3)),M187)*ValTimeAuto-O187*N187*ValTimeAuto)*(1+TTUprater)^($B187-YearCurrent)</f>
        <v>841786.94400000013</v>
      </c>
      <c r="Q187" s="780">
        <f t="shared" ref="Q187:Q206" si="28">SUM(P187)</f>
        <v>841786.94400000013</v>
      </c>
      <c r="R187" s="370">
        <f t="shared" ref="R187:R206" si="29">Q187/(1+DiscRate)^(B187-YearCurrent)</f>
        <v>719563.00768530509</v>
      </c>
      <c r="S187" s="371"/>
      <c r="T187" s="1023">
        <f>TREND(T184:T185,$B184:$B185,$B187)</f>
        <v>40223</v>
      </c>
    </row>
    <row r="188" spans="1:20" x14ac:dyDescent="0.2">
      <c r="B188" s="375">
        <f>B187+1</f>
        <v>2027</v>
      </c>
      <c r="C188" s="401">
        <f>MAX(TREND(C184:C185,B184:B185,B188),0)</f>
        <v>259022.25</v>
      </c>
      <c r="D188" s="402">
        <f>MAX(TREND(D184:D185,B184:B185,B188),0)</f>
        <v>230406.25</v>
      </c>
      <c r="E188" s="403">
        <f>MAX(TREND(E184:E185,B184:B185,B188),0)</f>
        <v>1.45</v>
      </c>
      <c r="F188" s="404">
        <f>MAX(TREND(F184:F185,B184:B185,B188),0)</f>
        <v>1.45</v>
      </c>
      <c r="G188" s="401">
        <f>MAX(TREND(G184:G185,$B184:$B185,$B188),0)</f>
        <v>1</v>
      </c>
      <c r="H188" s="402">
        <f>MAX(TREND(H184:H185,$B184:$B185,$B188),0)</f>
        <v>1</v>
      </c>
      <c r="I188" s="405">
        <f>MIN(MAX(TREND(I184:I185,B184:B185,B188),0),1)</f>
        <v>0.24</v>
      </c>
      <c r="J188" s="772">
        <f>MIN(MAX(TREND(J184:J185,B184:B185,B188),0),1)</f>
        <v>0.24</v>
      </c>
      <c r="K188" s="401">
        <f>MAX(TREND(K184:K185,B184:B185,B188),0)</f>
        <v>0</v>
      </c>
      <c r="L188" s="402">
        <f>MAX(TREND(L184:L185,B184:B185,B188),0)</f>
        <v>0</v>
      </c>
      <c r="M188" s="403">
        <f>IFERROR(IF(INDEX(HwyTransitModelGroup,A178,1)=Hwy,C188*E188/G188,K188/G188),0)</f>
        <v>375582.26250000001</v>
      </c>
      <c r="N188" s="404">
        <f>IFERROR(IF(INDEX(HwyTransitModelGroup,A178,1)=Hwy,D188*F188/H188,L188/H188),0)</f>
        <v>334089.0625</v>
      </c>
      <c r="O188" s="402">
        <f>TREND(O184:O185,$B184:$B185,$B188)</f>
        <v>1</v>
      </c>
      <c r="P188" s="998">
        <f>IF(INDEX(HwyTransitModelGroup,A178,1)=Hwy,G188*M188*(I188*ValTimeTruck+(1-I188)*ValTimeAuto)-O188*N188*(J188*ValTimeTruck+(1-J188)*ValTimeAuto),G188*IF(INDEX(NoTransit20,A178)=TRUE,INDEX(DivIndTrips,A178,4)/IF(INDEX(DivIndTrips,A178,3)=0,1,INDEX(DivIndTrips,A178,3)),M188)*ValTimeAuto-O188*N188*ValTimeAuto)*(1+TTUprater)^($B188-YearCurrent)</f>
        <v>868369.68960000016</v>
      </c>
      <c r="Q188" s="780">
        <f t="shared" si="28"/>
        <v>868369.68960000016</v>
      </c>
      <c r="R188" s="370">
        <f t="shared" si="29"/>
        <v>713736.58657044428</v>
      </c>
      <c r="S188" s="371"/>
      <c r="T188" s="378">
        <f>TREND(T184:T185,$B184:$B185,$B188)</f>
        <v>41493.199999999721</v>
      </c>
    </row>
    <row r="189" spans="1:20" x14ac:dyDescent="0.2">
      <c r="B189" s="375">
        <f t="shared" ref="B189:B206" si="30">B188+1</f>
        <v>2028</v>
      </c>
      <c r="C189" s="401">
        <f>MAX(TREND(C184:C185,B184:B185,B189),0)</f>
        <v>262544.5</v>
      </c>
      <c r="D189" s="402">
        <f>MAX(TREND(D184:D185,B184:B185,B189),0)</f>
        <v>233052.5</v>
      </c>
      <c r="E189" s="403">
        <f>MAX(TREND(E184:E185,B184:B185,B189),0)</f>
        <v>1.45</v>
      </c>
      <c r="F189" s="404">
        <f>MAX(TREND(F184:F185,B184:B185,B189),0)</f>
        <v>1.45</v>
      </c>
      <c r="G189" s="401">
        <f>MAX(TREND(G184:G185,$B184:$B185,$B189),0)</f>
        <v>1</v>
      </c>
      <c r="H189" s="402">
        <f>MAX(TREND(H184:H185,$B184:$B185,$B189),0)</f>
        <v>1</v>
      </c>
      <c r="I189" s="405">
        <f>MIN(MAX(TREND(I184:I185,B184:B185,B189),0),1)</f>
        <v>0.24</v>
      </c>
      <c r="J189" s="772">
        <f>MIN(MAX(TREND(J184:J185,B184:B185,B189),0),1)</f>
        <v>0.24</v>
      </c>
      <c r="K189" s="401">
        <f>MAX(TREND(K184:K185,B184:B185,B189),0)</f>
        <v>0</v>
      </c>
      <c r="L189" s="402">
        <f>MAX(TREND(L184:L185,B184:B185,B189),0)</f>
        <v>0</v>
      </c>
      <c r="M189" s="403">
        <f>IFERROR(IF(INDEX(HwyTransitModelGroup,A178,1)=Hwy,C189*E189/G189,K189/G189),0)</f>
        <v>380689.52499999997</v>
      </c>
      <c r="N189" s="404">
        <f>IFERROR(IF(INDEX(HwyTransitModelGroup,A178,1)=Hwy,D189*F189/H189,L189/H189),0)</f>
        <v>337926.125</v>
      </c>
      <c r="O189" s="402">
        <f>TREND(O184:O185,$B184:$B185,$B189)</f>
        <v>1</v>
      </c>
      <c r="P189" s="998">
        <f>IF(INDEX(HwyTransitModelGroup,A178,1)=Hwy,G189*M189*(I189*ValTimeTruck+(1-I189)*ValTimeAuto)-O189*N189*(J189*ValTimeTruck+(1-J189)*ValTimeAuto),G189*IF(INDEX(NoTransit20,A178)=TRUE,INDEX(DivIndTrips,A178,4)/IF(INDEX(DivIndTrips,A178,3)=0,1,INDEX(DivIndTrips,A178,3)),M189)*ValTimeAuto-O189*N189*ValTimeAuto)*(1+TTUprater)^($B189-YearCurrent)</f>
        <v>894952.43520000018</v>
      </c>
      <c r="Q189" s="780">
        <f t="shared" si="28"/>
        <v>894952.43520000018</v>
      </c>
      <c r="R189" s="370">
        <f t="shared" si="29"/>
        <v>707293.90937612706</v>
      </c>
      <c r="S189" s="371"/>
      <c r="T189" s="378">
        <f>TREND(T184:T185,$B184:$B185,$B189)</f>
        <v>42763.399999999907</v>
      </c>
    </row>
    <row r="190" spans="1:20" x14ac:dyDescent="0.2">
      <c r="B190" s="375">
        <f t="shared" si="30"/>
        <v>2029</v>
      </c>
      <c r="C190" s="401">
        <f>MAX(TREND(C184:C185,B184:B185,B190),0)</f>
        <v>266066.75</v>
      </c>
      <c r="D190" s="402">
        <f>MAX(TREND(D184:D185,B184:B185,B190),0)</f>
        <v>235698.75</v>
      </c>
      <c r="E190" s="403">
        <f>MAX(TREND(E184:E185,B184:B185,B190),0)</f>
        <v>1.45</v>
      </c>
      <c r="F190" s="404">
        <f>MAX(TREND(F184:F185,B184:B185,B190),0)</f>
        <v>1.45</v>
      </c>
      <c r="G190" s="401">
        <f>MAX(TREND(G184:G185,$B184:$B185,$B190),0)</f>
        <v>1</v>
      </c>
      <c r="H190" s="402">
        <f>MAX(TREND(H184:H185,$B184:$B185,$B190),0)</f>
        <v>1</v>
      </c>
      <c r="I190" s="405">
        <f>MIN(MAX(TREND(I184:I185,B184:B185,B190),0),1)</f>
        <v>0.24</v>
      </c>
      <c r="J190" s="772">
        <f>MIN(MAX(TREND(J184:J185,B184:B185,B190),0),1)</f>
        <v>0.24</v>
      </c>
      <c r="K190" s="401">
        <f>MAX(TREND(K184:K185,B184:B185,B190),0)</f>
        <v>0</v>
      </c>
      <c r="L190" s="402">
        <f>MAX(TREND(L184:L185,B184:B185,B190),0)</f>
        <v>0</v>
      </c>
      <c r="M190" s="403">
        <f>IFERROR(IF(INDEX(HwyTransitModelGroup,A178,1)=Hwy,C190*E190/G190,K190/G190),0)</f>
        <v>385796.78749999998</v>
      </c>
      <c r="N190" s="404">
        <f>IFERROR(IF(INDEX(HwyTransitModelGroup,A178,1)=Hwy,D190*F190/H190,L190/H190),0)</f>
        <v>341763.1875</v>
      </c>
      <c r="O190" s="402">
        <f>TREND(O184:O185,$B184:$B185,$B190)</f>
        <v>1</v>
      </c>
      <c r="P190" s="998">
        <f>IF(INDEX(HwyTransitModelGroup,A178,1)=Hwy,G190*M190*(I190*ValTimeTruck+(1-I190)*ValTimeAuto)-O190*N190*(J190*ValTimeTruck+(1-J190)*ValTimeAuto),G190*IF(INDEX(NoTransit20,A178)=TRUE,INDEX(DivIndTrips,A178,4)/IF(INDEX(DivIndTrips,A178,3)=0,1,INDEX(DivIndTrips,A178,3)),M190)*ValTimeAuto-O190*N190*ValTimeAuto)*(1+TTUprater)^($B190-YearCurrent)</f>
        <v>921535.18079999927</v>
      </c>
      <c r="Q190" s="780">
        <f t="shared" si="28"/>
        <v>921535.18079999927</v>
      </c>
      <c r="R190" s="370">
        <f t="shared" si="29"/>
        <v>700290.99938230345</v>
      </c>
      <c r="S190" s="371"/>
      <c r="T190" s="378">
        <f>TREND(T184:T185,$B184:$B185,$B190)</f>
        <v>44033.600000000093</v>
      </c>
    </row>
    <row r="191" spans="1:20" x14ac:dyDescent="0.2">
      <c r="B191" s="375">
        <f t="shared" si="30"/>
        <v>2030</v>
      </c>
      <c r="C191" s="401">
        <f>MAX(TREND(C184:C185,B184:B185,B191),0)</f>
        <v>269589</v>
      </c>
      <c r="D191" s="402">
        <f>MAX(TREND(D184:D185,B184:B185,B191),0)</f>
        <v>238345</v>
      </c>
      <c r="E191" s="403">
        <f>MAX(TREND(E184:E185,B184:B185,B191),0)</f>
        <v>1.45</v>
      </c>
      <c r="F191" s="404">
        <f>MAX(TREND(F184:F185,B184:B185,B191),0)</f>
        <v>1.45</v>
      </c>
      <c r="G191" s="401">
        <f>MAX(TREND(G184:G185,$B184:$B185,$B191),0)</f>
        <v>1</v>
      </c>
      <c r="H191" s="402">
        <f>MAX(TREND(H184:H185,$B184:$B185,$B191),0)</f>
        <v>1</v>
      </c>
      <c r="I191" s="405">
        <f>MIN(MAX(TREND(I184:I185,B184:B185,B191),0),1)</f>
        <v>0.24</v>
      </c>
      <c r="J191" s="772">
        <f>MIN(MAX(TREND(J184:J185,B184:B185,B191),0),1)</f>
        <v>0.24</v>
      </c>
      <c r="K191" s="401">
        <f>MAX(TREND(K184:K185,B184:B185,B191),0)</f>
        <v>0</v>
      </c>
      <c r="L191" s="402">
        <f>MAX(TREND(L184:L185,B184:B185,B191),0)</f>
        <v>0</v>
      </c>
      <c r="M191" s="403">
        <f>IFERROR(IF(INDEX(HwyTransitModelGroup,A178,1)=Hwy,C191*E191/G191,K191/G191),0)</f>
        <v>390904.05</v>
      </c>
      <c r="N191" s="404">
        <f>IFERROR(IF(INDEX(HwyTransitModelGroup,A178,1)=Hwy,D191*F191/H191,L191/H191),0)</f>
        <v>345600.25</v>
      </c>
      <c r="O191" s="402">
        <f>TREND(O184:O185,$B184:$B185,$B191)</f>
        <v>1</v>
      </c>
      <c r="P191" s="998">
        <f>IF(INDEX(HwyTransitModelGroup,A178,1)=Hwy,G191*M191*(I191*ValTimeTruck+(1-I191)*ValTimeAuto)-O191*N191*(J191*ValTimeTruck+(1-J191)*ValTimeAuto),G191*IF(INDEX(NoTransit20,A178)=TRUE,INDEX(DivIndTrips,A178,4)/IF(INDEX(DivIndTrips,A178,3)=0,1,INDEX(DivIndTrips,A178,3)),M191)*ValTimeAuto-O191*N191*ValTimeAuto)*(1+TTUprater)^($B191-YearCurrent)</f>
        <v>948117.92640000023</v>
      </c>
      <c r="Q191" s="780">
        <f t="shared" si="28"/>
        <v>948117.92640000023</v>
      </c>
      <c r="R191" s="370">
        <f t="shared" si="29"/>
        <v>692780.48200727196</v>
      </c>
      <c r="S191" s="371"/>
      <c r="T191" s="378">
        <f>TREND(T184:T185,$B184:$B185,$B191)</f>
        <v>45303.799999999814</v>
      </c>
    </row>
    <row r="192" spans="1:20" x14ac:dyDescent="0.2">
      <c r="B192" s="375">
        <f t="shared" si="30"/>
        <v>2031</v>
      </c>
      <c r="C192" s="401">
        <f>MAX(TREND(C184:C185,B184:B185,B192),0)</f>
        <v>273111.25</v>
      </c>
      <c r="D192" s="402">
        <f>MAX(TREND(D184:D185,B184:B185,B192),0)</f>
        <v>240991.25</v>
      </c>
      <c r="E192" s="403">
        <f>MAX(TREND(E184:E185,B184:B185,B192),0)</f>
        <v>1.45</v>
      </c>
      <c r="F192" s="404">
        <f>MAX(TREND(F184:F185,B184:B185,B192),0)</f>
        <v>1.45</v>
      </c>
      <c r="G192" s="401">
        <f>MAX(TREND(G184:G185,$B184:$B185,$B192),0)</f>
        <v>1</v>
      </c>
      <c r="H192" s="402">
        <f>MAX(TREND(H184:H185,$B184:$B185,$B192),0)</f>
        <v>1</v>
      </c>
      <c r="I192" s="405">
        <f>MIN(MAX(TREND(I184:I185,B184:B185,B192),0),1)</f>
        <v>0.24</v>
      </c>
      <c r="J192" s="772">
        <f>MIN(MAX(TREND(J184:J185,B184:B185,B192),0),1)</f>
        <v>0.24</v>
      </c>
      <c r="K192" s="401">
        <f>MAX(TREND(K184:K185,B184:B185,B192),0)</f>
        <v>0</v>
      </c>
      <c r="L192" s="402">
        <f>MAX(TREND(L184:L185,B184:B185,B192),0)</f>
        <v>0</v>
      </c>
      <c r="M192" s="403">
        <f>IFERROR(IF(INDEX(HwyTransitModelGroup,A178,1)=Hwy,C192*E192/G192,K192/G192),0)</f>
        <v>396011.3125</v>
      </c>
      <c r="N192" s="404">
        <f>IFERROR(IF(INDEX(HwyTransitModelGroup,A178,1)=Hwy,D192*F192/H192,L192/H192),0)</f>
        <v>349437.3125</v>
      </c>
      <c r="O192" s="402">
        <f>TREND(O184:O185,$B184:$B185,$B192)</f>
        <v>1</v>
      </c>
      <c r="P192" s="998">
        <f>IF(INDEX(HwyTransitModelGroup,A178,1)=Hwy,G192*M192*(I192*ValTimeTruck+(1-I192)*ValTimeAuto)-O192*N192*(J192*ValTimeTruck+(1-J192)*ValTimeAuto),G192*IF(INDEX(NoTransit20,A178)=TRUE,INDEX(DivIndTrips,A178,4)/IF(INDEX(DivIndTrips,A178,3)=0,1,INDEX(DivIndTrips,A178,3)),M192)*ValTimeAuto-O192*N192*ValTimeAuto)*(1+TTUprater)^($B192-YearCurrent)</f>
        <v>974700.67200000025</v>
      </c>
      <c r="Q192" s="780">
        <f t="shared" si="28"/>
        <v>974700.67200000025</v>
      </c>
      <c r="R192" s="370">
        <f t="shared" si="29"/>
        <v>684811.76330697257</v>
      </c>
      <c r="S192" s="371"/>
      <c r="T192" s="378">
        <f>TREND(T184:T185,$B184:$B185,$B192)</f>
        <v>46574</v>
      </c>
    </row>
    <row r="193" spans="2:20" x14ac:dyDescent="0.2">
      <c r="B193" s="375">
        <f t="shared" si="30"/>
        <v>2032</v>
      </c>
      <c r="C193" s="401">
        <f>MAX(TREND(C184:C185,B184:B185,B193),0)</f>
        <v>276633.5</v>
      </c>
      <c r="D193" s="402">
        <f>MAX(TREND(D184:D185,B184:B185,B193),0)</f>
        <v>243637.5</v>
      </c>
      <c r="E193" s="403">
        <f>MAX(TREND(E184:E185,B184:B185,B193),0)</f>
        <v>1.45</v>
      </c>
      <c r="F193" s="404">
        <f>MAX(TREND(F184:F185,B184:B185,B193),0)</f>
        <v>1.45</v>
      </c>
      <c r="G193" s="401">
        <f>MAX(TREND(G184:G185,$B184:$B185,$B193),0)</f>
        <v>1</v>
      </c>
      <c r="H193" s="402">
        <f>MAX(TREND(H184:H185,$B184:$B185,$B193),0)</f>
        <v>1</v>
      </c>
      <c r="I193" s="405">
        <f>MIN(MAX(TREND(I184:I185,B184:B185,B193),0),1)</f>
        <v>0.24</v>
      </c>
      <c r="J193" s="772">
        <f>MIN(MAX(TREND(J184:J185,B184:B185,B193),0),1)</f>
        <v>0.24</v>
      </c>
      <c r="K193" s="401">
        <f>MAX(TREND(K184:K185,B184:B185,B193),0)</f>
        <v>0</v>
      </c>
      <c r="L193" s="402">
        <f>MAX(TREND(L184:L185,B184:B185,B193),0)</f>
        <v>0</v>
      </c>
      <c r="M193" s="403">
        <f>IFERROR(IF(INDEX(HwyTransitModelGroup,A178,1)=Hwy,C193*E193/G193,K193/G193),0)</f>
        <v>401118.57500000001</v>
      </c>
      <c r="N193" s="404">
        <f>IFERROR(IF(INDEX(HwyTransitModelGroup,A178,1)=Hwy,D193*F193/H193,L193/H193),0)</f>
        <v>353274.375</v>
      </c>
      <c r="O193" s="402">
        <f>TREND(O184:O185,$B184:$B185,$B193)</f>
        <v>1</v>
      </c>
      <c r="P193" s="998">
        <f>IF(INDEX(HwyTransitModelGroup,A178,1)=Hwy,G193*M193*(I193*ValTimeTruck+(1-I193)*ValTimeAuto)-O193*N193*(J193*ValTimeTruck+(1-J193)*ValTimeAuto),G193*IF(INDEX(NoTransit20,A178)=TRUE,INDEX(DivIndTrips,A178,4)/IF(INDEX(DivIndTrips,A178,3)=0,1,INDEX(DivIndTrips,A178,3)),M193)*ValTimeAuto-O193*N193*ValTimeAuto)*(1+TTUprater)^($B193-YearCurrent)</f>
        <v>1001283.4175999993</v>
      </c>
      <c r="Q193" s="780">
        <f t="shared" si="28"/>
        <v>1001283.4175999993</v>
      </c>
      <c r="R193" s="370">
        <f t="shared" si="29"/>
        <v>676431.19976999855</v>
      </c>
      <c r="S193" s="371"/>
      <c r="T193" s="378">
        <f>TREND(T184:T185,$B184:$B185,$B193)</f>
        <v>47844.199999999721</v>
      </c>
    </row>
    <row r="194" spans="2:20" x14ac:dyDescent="0.2">
      <c r="B194" s="375">
        <f t="shared" si="30"/>
        <v>2033</v>
      </c>
      <c r="C194" s="401">
        <f>MAX(TREND(C184:C185,B184:B185,B194),0)</f>
        <v>280155.75</v>
      </c>
      <c r="D194" s="402">
        <f>MAX(TREND(D184:D185,B184:B185,B194),0)</f>
        <v>246283.75</v>
      </c>
      <c r="E194" s="403">
        <f>MAX(TREND(E184:E185,B184:B185,B194),0)</f>
        <v>1.45</v>
      </c>
      <c r="F194" s="404">
        <f>MAX(TREND(F184:F185,B184:B185,B194),0)</f>
        <v>1.45</v>
      </c>
      <c r="G194" s="401">
        <f>MAX(TREND(G184:G185,$B184:$B185,$B194),0)</f>
        <v>1</v>
      </c>
      <c r="H194" s="402">
        <f>MAX(TREND(H184:H185,$B184:$B185,$B194),0)</f>
        <v>1</v>
      </c>
      <c r="I194" s="405">
        <f>MIN(MAX(TREND(I184:I185,B184:B185,B194),0),1)</f>
        <v>0.24</v>
      </c>
      <c r="J194" s="772">
        <f>MIN(MAX(TREND(J184:J185,B184:B185,B194),0),1)</f>
        <v>0.24</v>
      </c>
      <c r="K194" s="401">
        <f>MAX(TREND(K184:K185,B184:B185,B194),0)</f>
        <v>0</v>
      </c>
      <c r="L194" s="402">
        <f>MAX(TREND(L184:L185,B184:B185,B194),0)</f>
        <v>0</v>
      </c>
      <c r="M194" s="403">
        <f>IFERROR(IF(INDEX(HwyTransitModelGroup,A178,1)=Hwy,C194*E194/G194,K194/G194),0)</f>
        <v>406225.83749999997</v>
      </c>
      <c r="N194" s="404">
        <f>IFERROR(IF(INDEX(HwyTransitModelGroup,A178,1)=Hwy,D194*F194/H194,L194/H194),0)</f>
        <v>357111.4375</v>
      </c>
      <c r="O194" s="402">
        <f>TREND(O184:O185,$B184:$B185,$B194)</f>
        <v>1</v>
      </c>
      <c r="P194" s="998">
        <f>IF(INDEX(HwyTransitModelGroup,A178,1)=Hwy,G194*M194*(I194*ValTimeTruck+(1-I194)*ValTimeAuto)-O194*N194*(J194*ValTimeTruck+(1-J194)*ValTimeAuto),G194*IF(INDEX(NoTransit20,A178)=TRUE,INDEX(DivIndTrips,A178,4)/IF(INDEX(DivIndTrips,A178,3)=0,1,INDEX(DivIndTrips,A178,3)),M194)*ValTimeAuto-O194*N194*ValTimeAuto)*(1+TTUprater)^($B194-YearCurrent)</f>
        <v>1027866.1631999994</v>
      </c>
      <c r="Q194" s="780">
        <f t="shared" si="28"/>
        <v>1027866.1631999994</v>
      </c>
      <c r="R194" s="370">
        <f t="shared" si="29"/>
        <v>667682.25981381757</v>
      </c>
      <c r="S194" s="371"/>
      <c r="T194" s="378">
        <f>TREND(T184:T185,$B184:$B185,$B194)</f>
        <v>49114.399999999907</v>
      </c>
    </row>
    <row r="195" spans="2:20" x14ac:dyDescent="0.2">
      <c r="B195" s="375">
        <f t="shared" si="30"/>
        <v>2034</v>
      </c>
      <c r="C195" s="401">
        <f>MAX(TREND(C184:C185,B184:B185,B195),0)</f>
        <v>283678</v>
      </c>
      <c r="D195" s="402">
        <f>MAX(TREND(D184:D185,B184:B185,B195),0)</f>
        <v>248930</v>
      </c>
      <c r="E195" s="403">
        <f>MAX(TREND(E184:E185,B184:B185,B195),0)</f>
        <v>1.45</v>
      </c>
      <c r="F195" s="404">
        <f>MAX(TREND(F184:F185,B184:B185,B195),0)</f>
        <v>1.45</v>
      </c>
      <c r="G195" s="401">
        <f>MAX(TREND(G184:G185,$B184:$B185,$B195),0)</f>
        <v>1</v>
      </c>
      <c r="H195" s="402">
        <f>MAX(TREND(H184:H185,$B184:$B185,$B195),0)</f>
        <v>1</v>
      </c>
      <c r="I195" s="405">
        <f>MIN(MAX(TREND(I184:I185,B184:B185,B195),0),1)</f>
        <v>0.24</v>
      </c>
      <c r="J195" s="772">
        <f>MIN(MAX(TREND(J184:J185,B184:B185,B195),0),1)</f>
        <v>0.24</v>
      </c>
      <c r="K195" s="401">
        <f>MAX(TREND(K184:K185,B184:B185,B195),0)</f>
        <v>0</v>
      </c>
      <c r="L195" s="402">
        <f>MAX(TREND(L184:L185,B184:B185,B195),0)</f>
        <v>0</v>
      </c>
      <c r="M195" s="403">
        <f>IFERROR(IF(INDEX(HwyTransitModelGroup,A178,1)=Hwy,C195*E195/G195,K195/G195),0)</f>
        <v>411333.1</v>
      </c>
      <c r="N195" s="404">
        <f>IFERROR(IF(INDEX(HwyTransitModelGroup,A178,1)=Hwy,D195*F195/H195,L195/H195),0)</f>
        <v>360948.5</v>
      </c>
      <c r="O195" s="402">
        <f>TREND(O184:O185,$B184:$B185,$B195)</f>
        <v>1</v>
      </c>
      <c r="P195" s="998">
        <f>IF(INDEX(HwyTransitModelGroup,A178,1)=Hwy,G195*M195*(I195*ValTimeTruck+(1-I195)*ValTimeAuto)-O195*N195*(J195*ValTimeTruck+(1-J195)*ValTimeAuto),G195*IF(INDEX(NoTransit20,A178)=TRUE,INDEX(DivIndTrips,A178,4)/IF(INDEX(DivIndTrips,A178,3)=0,1,INDEX(DivIndTrips,A178,3)),M195)*ValTimeAuto-O195*N195*ValTimeAuto)*(1+TTUprater)^($B195-YearCurrent)</f>
        <v>1054448.9087999994</v>
      </c>
      <c r="Q195" s="780">
        <f t="shared" si="28"/>
        <v>1054448.9087999994</v>
      </c>
      <c r="R195" s="370">
        <f t="shared" si="29"/>
        <v>658605.67736939876</v>
      </c>
      <c r="S195" s="371"/>
      <c r="T195" s="378">
        <f>TREND(T184:T185,$B184:$B185,$B195)</f>
        <v>50384.600000000093</v>
      </c>
    </row>
    <row r="196" spans="2:20" x14ac:dyDescent="0.2">
      <c r="B196" s="375">
        <f t="shared" si="30"/>
        <v>2035</v>
      </c>
      <c r="C196" s="401">
        <f>MAX(TREND(C184:C185,B184:B185,B196),0)</f>
        <v>287200.25</v>
      </c>
      <c r="D196" s="402">
        <f>MAX(TREND(D184:D185,B184:B185,B196),0)</f>
        <v>251576.25</v>
      </c>
      <c r="E196" s="403">
        <f>MAX(TREND(E184:E185,B184:B185,B196),0)</f>
        <v>1.45</v>
      </c>
      <c r="F196" s="404">
        <f>MAX(TREND(F184:F185,B184:B185,B196),0)</f>
        <v>1.45</v>
      </c>
      <c r="G196" s="401">
        <f>MAX(TREND(G184:G185,$B184:$B185,$B196),0)</f>
        <v>1</v>
      </c>
      <c r="H196" s="402">
        <f>MAX(TREND(H184:H185,$B184:$B185,$B196),0)</f>
        <v>1</v>
      </c>
      <c r="I196" s="405">
        <f>MIN(MAX(TREND(I184:I185,B184:B185,B196),0),1)</f>
        <v>0.24</v>
      </c>
      <c r="J196" s="772">
        <f>MIN(MAX(TREND(J184:J185,B184:B185,B196),0),1)</f>
        <v>0.24</v>
      </c>
      <c r="K196" s="401">
        <f>MAX(TREND(K184:K185,B184:B185,B196),0)</f>
        <v>0</v>
      </c>
      <c r="L196" s="402">
        <f>MAX(TREND(L184:L185,B184:B185,B196),0)</f>
        <v>0</v>
      </c>
      <c r="M196" s="403">
        <f>IFERROR(IF(INDEX(HwyTransitModelGroup,A178,1)=Hwy,C196*E196/G196,K196/G196),0)</f>
        <v>416440.36249999999</v>
      </c>
      <c r="N196" s="404">
        <f>IFERROR(IF(INDEX(HwyTransitModelGroup,A178,1)=Hwy,D196*F196/H196,L196/H196),0)</f>
        <v>364785.5625</v>
      </c>
      <c r="O196" s="402">
        <f>TREND(O184:O185,$B184:$B185,$B196)</f>
        <v>1</v>
      </c>
      <c r="P196" s="998">
        <f>IF(INDEX(HwyTransitModelGroup,A178,1)=Hwy,G196*M196*(I196*ValTimeTruck+(1-I196)*ValTimeAuto)-O196*N196*(J196*ValTimeTruck+(1-J196)*ValTimeAuto),G196*IF(INDEX(NoTransit20,A178)=TRUE,INDEX(DivIndTrips,A178,4)/IF(INDEX(DivIndTrips,A178,3)=0,1,INDEX(DivIndTrips,A178,3)),M196)*ValTimeAuto-O196*N196*ValTimeAuto)*(1+TTUprater)^($B196-YearCurrent)</f>
        <v>1081031.6543999994</v>
      </c>
      <c r="Q196" s="780">
        <f t="shared" si="28"/>
        <v>1081031.6543999994</v>
      </c>
      <c r="R196" s="370">
        <f t="shared" si="29"/>
        <v>649239.59792393877</v>
      </c>
      <c r="S196" s="371"/>
      <c r="T196" s="378">
        <f>TREND(T184:T185,$B184:$B185,$B196)</f>
        <v>51654.799999999814</v>
      </c>
    </row>
    <row r="197" spans="2:20" x14ac:dyDescent="0.2">
      <c r="B197" s="375">
        <f t="shared" si="30"/>
        <v>2036</v>
      </c>
      <c r="C197" s="401">
        <f>MAX(TREND(C184:C185,B184:B185,B197),0)</f>
        <v>290722.5</v>
      </c>
      <c r="D197" s="402">
        <f>MAX(TREND(D184:D185,B184:B185,B197),0)</f>
        <v>254222.5</v>
      </c>
      <c r="E197" s="403">
        <f>MAX(TREND(E184:E185,B184:B185,B197),0)</f>
        <v>1.45</v>
      </c>
      <c r="F197" s="404">
        <f>MAX(TREND(F184:F185,B184:B185,B197),0)</f>
        <v>1.45</v>
      </c>
      <c r="G197" s="401">
        <f>MAX(TREND(G184:G185,$B184:$B185,$B197),0)</f>
        <v>1</v>
      </c>
      <c r="H197" s="402">
        <f>MAX(TREND(H184:H185,$B184:$B185,$B197),0)</f>
        <v>1</v>
      </c>
      <c r="I197" s="405">
        <f>MIN(MAX(TREND(I184:I185,B184:B185,B197),0),1)</f>
        <v>0.24</v>
      </c>
      <c r="J197" s="772">
        <f>MIN(MAX(TREND(J184:J185,B184:B185,B197),0),1)</f>
        <v>0.24</v>
      </c>
      <c r="K197" s="401">
        <f>MAX(TREND(K184:K185,B184:B185,B197),0)</f>
        <v>0</v>
      </c>
      <c r="L197" s="402">
        <f>MAX(TREND(L184:L185,B184:B185,B197),0)</f>
        <v>0</v>
      </c>
      <c r="M197" s="403">
        <f>IFERROR(IF(INDEX(HwyTransitModelGroup,A178,1)=Hwy,C197*E197/G197,K197/G197),0)</f>
        <v>421547.625</v>
      </c>
      <c r="N197" s="404">
        <f>IFERROR(IF(INDEX(HwyTransitModelGroup,A178,1)=Hwy,D197*F197/H197,L197/H197),0)</f>
        <v>368622.625</v>
      </c>
      <c r="O197" s="402">
        <f>TREND(O184:O185,$B184:$B185,$B197)</f>
        <v>1</v>
      </c>
      <c r="P197" s="998">
        <f>IF(INDEX(HwyTransitModelGroup,A178,1)=Hwy,G197*M197*(I197*ValTimeTruck+(1-I197)*ValTimeAuto)-O197*N197*(J197*ValTimeTruck+(1-J197)*ValTimeAuto),G197*IF(INDEX(NoTransit20,A178)=TRUE,INDEX(DivIndTrips,A178,4)/IF(INDEX(DivIndTrips,A178,3)=0,1,INDEX(DivIndTrips,A178,3)),M197)*ValTimeAuto-O197*N197*ValTimeAuto)*(1+TTUprater)^($B197-YearCurrent)</f>
        <v>1107614.4000000004</v>
      </c>
      <c r="Q197" s="780">
        <f t="shared" si="28"/>
        <v>1107614.4000000004</v>
      </c>
      <c r="R197" s="370">
        <f t="shared" si="29"/>
        <v>639619.71737462492</v>
      </c>
      <c r="S197" s="371"/>
      <c r="T197" s="378">
        <f>TREND(T184:T185,$B184:$B185,$B197)</f>
        <v>52925</v>
      </c>
    </row>
    <row r="198" spans="2:20" x14ac:dyDescent="0.2">
      <c r="B198" s="375">
        <f t="shared" si="30"/>
        <v>2037</v>
      </c>
      <c r="C198" s="401">
        <f>MAX(TREND(C184:C185,B184:B185,B198),0)</f>
        <v>294244.75</v>
      </c>
      <c r="D198" s="402">
        <f>MAX(TREND(D184:D185,B184:B185,B198),0)</f>
        <v>256868.75</v>
      </c>
      <c r="E198" s="403">
        <f>MAX(TREND(E184:E185,B184:B185,B198),0)</f>
        <v>1.45</v>
      </c>
      <c r="F198" s="404">
        <f>MAX(TREND(F184:F185,B184:B185,B198),0)</f>
        <v>1.45</v>
      </c>
      <c r="G198" s="401">
        <f>MAX(TREND(G184:G185,$B184:$B185,$B198),0)</f>
        <v>1</v>
      </c>
      <c r="H198" s="402">
        <f>MAX(TREND(H184:H185,$B184:$B185,$B198),0)</f>
        <v>1</v>
      </c>
      <c r="I198" s="405">
        <f>MIN(MAX(TREND(I184:I185,B184:B185,B198),0),1)</f>
        <v>0.24</v>
      </c>
      <c r="J198" s="772">
        <f>MIN(MAX(TREND(J184:J185,B184:B185,B198),0),1)</f>
        <v>0.24</v>
      </c>
      <c r="K198" s="401">
        <f>MAX(TREND(K184:K185,B184:B185,B198),0)</f>
        <v>0</v>
      </c>
      <c r="L198" s="402">
        <f>MAX(TREND(L184:L185,B184:B185,B198),0)</f>
        <v>0</v>
      </c>
      <c r="M198" s="403">
        <f>IFERROR(IF(INDEX(HwyTransitModelGroup,A178,1)=Hwy,C198*E198/G198,K198/G198),0)</f>
        <v>426654.88750000001</v>
      </c>
      <c r="N198" s="404">
        <f>IFERROR(IF(INDEX(HwyTransitModelGroup,A178,1)=Hwy,D198*F198/H198,L198/H198),0)</f>
        <v>372459.6875</v>
      </c>
      <c r="O198" s="402">
        <f>TREND(O184:O185,$B184:$B185,$B198)</f>
        <v>1</v>
      </c>
      <c r="P198" s="998">
        <f>IF(INDEX(HwyTransitModelGroup,A178,1)=Hwy,G198*M198*(I198*ValTimeTruck+(1-I198)*ValTimeAuto)-O198*N198*(J198*ValTimeTruck+(1-J198)*ValTimeAuto),G198*IF(INDEX(NoTransit20,A178)=TRUE,INDEX(DivIndTrips,A178,4)/IF(INDEX(DivIndTrips,A178,3)=0,1,INDEX(DivIndTrips,A178,3)),M198)*ValTimeAuto-O198*N198*ValTimeAuto)*(1+TTUprater)^($B198-YearCurrent)</f>
        <v>1134197.1456000004</v>
      </c>
      <c r="Q198" s="780">
        <f t="shared" si="28"/>
        <v>1134197.1456000004</v>
      </c>
      <c r="R198" s="370">
        <f t="shared" si="29"/>
        <v>629779.41403039999</v>
      </c>
      <c r="S198" s="371"/>
      <c r="T198" s="378">
        <f>TREND(T184:T185,$B184:$B185,$B198)</f>
        <v>54195.199999999721</v>
      </c>
    </row>
    <row r="199" spans="2:20" x14ac:dyDescent="0.2">
      <c r="B199" s="375">
        <f t="shared" si="30"/>
        <v>2038</v>
      </c>
      <c r="C199" s="401">
        <f>MAX(TREND(C184:C185,B184:B185,B199),0)</f>
        <v>297767</v>
      </c>
      <c r="D199" s="402">
        <f>MAX(TREND(D184:D185,B184:B185,B199),0)</f>
        <v>259515</v>
      </c>
      <c r="E199" s="403">
        <f>MAX(TREND(E184:E185,B184:B185,B199),0)</f>
        <v>1.45</v>
      </c>
      <c r="F199" s="404">
        <f>MAX(TREND(F184:F185,B184:B185,B199),0)</f>
        <v>1.45</v>
      </c>
      <c r="G199" s="401">
        <f>MAX(TREND(G184:G185,$B184:$B185,$B199),0)</f>
        <v>1</v>
      </c>
      <c r="H199" s="402">
        <f>MAX(TREND(H184:H185,$B184:$B185,$B199),0)</f>
        <v>1</v>
      </c>
      <c r="I199" s="405">
        <f>MIN(MAX(TREND(I184:I185,B184:B185,B199),0),1)</f>
        <v>0.24</v>
      </c>
      <c r="J199" s="772">
        <f>MIN(MAX(TREND(J184:J185,B184:B185,B199),0),1)</f>
        <v>0.24</v>
      </c>
      <c r="K199" s="401">
        <f>MAX(TREND(K184:K185,B184:B185,B199),0)</f>
        <v>0</v>
      </c>
      <c r="L199" s="402">
        <f>MAX(TREND(L184:L185,B184:B185,B199),0)</f>
        <v>0</v>
      </c>
      <c r="M199" s="403">
        <f>IFERROR(IF(INDEX(HwyTransitModelGroup,A178,1)=Hwy,C199*E199/G199,K199/G199),0)</f>
        <v>431762.14999999997</v>
      </c>
      <c r="N199" s="404">
        <f>IFERROR(IF(INDEX(HwyTransitModelGroup,A178,1)=Hwy,D199*F199/H199,L199/H199),0)</f>
        <v>376296.75</v>
      </c>
      <c r="O199" s="402">
        <f>TREND(O184:O185,$B184:$B185,$B199)</f>
        <v>1</v>
      </c>
      <c r="P199" s="998">
        <f>IF(INDEX(HwyTransitModelGroup,A178,1)=Hwy,G199*M199*(I199*ValTimeTruck+(1-I199)*ValTimeAuto)-O199*N199*(J199*ValTimeTruck+(1-J199)*ValTimeAuto),G199*IF(INDEX(NoTransit20,A178)=TRUE,INDEX(DivIndTrips,A178,4)/IF(INDEX(DivIndTrips,A178,3)=0,1,INDEX(DivIndTrips,A178,3)),M199)*ValTimeAuto-O199*N199*ValTimeAuto)*(1+TTUprater)^($B199-YearCurrent)</f>
        <v>1160779.8912000004</v>
      </c>
      <c r="Q199" s="780">
        <f t="shared" si="28"/>
        <v>1160779.8912000004</v>
      </c>
      <c r="R199" s="370">
        <f t="shared" si="29"/>
        <v>619749.87408340129</v>
      </c>
      <c r="S199" s="371"/>
      <c r="T199" s="378">
        <f>TREND(T184:T185,$B184:$B185,$B199)</f>
        <v>55465.399999999907</v>
      </c>
    </row>
    <row r="200" spans="2:20" x14ac:dyDescent="0.2">
      <c r="B200" s="375">
        <f t="shared" si="30"/>
        <v>2039</v>
      </c>
      <c r="C200" s="401">
        <f>MAX(TREND(C184:C185,B184:B185,B200),0)</f>
        <v>301289.25</v>
      </c>
      <c r="D200" s="402">
        <f>MAX(TREND(D184:D185,B184:B185,B200),0)</f>
        <v>262161.25</v>
      </c>
      <c r="E200" s="403">
        <f>MAX(TREND(E184:E185,B184:B185,B200),0)</f>
        <v>1.45</v>
      </c>
      <c r="F200" s="404">
        <f>MAX(TREND(F184:F185,B184:B185,B200),0)</f>
        <v>1.45</v>
      </c>
      <c r="G200" s="401">
        <f>MAX(TREND(G184:G185,$B184:$B185,$B200),0)</f>
        <v>1</v>
      </c>
      <c r="H200" s="402">
        <f>MAX(TREND(H184:H185,$B184:$B185,$B200),0)</f>
        <v>1</v>
      </c>
      <c r="I200" s="405">
        <f>MIN(MAX(TREND(I184:I185,B184:B185,B200),0),1)</f>
        <v>0.24</v>
      </c>
      <c r="J200" s="772">
        <f>MIN(MAX(TREND(J184:J185,B184:B185,B200),0),1)</f>
        <v>0.24</v>
      </c>
      <c r="K200" s="401">
        <f>MAX(TREND(K184:K185,B184:B185,B200),0)</f>
        <v>0</v>
      </c>
      <c r="L200" s="402">
        <f>MAX(TREND(L184:L185,B184:B185,B200),0)</f>
        <v>0</v>
      </c>
      <c r="M200" s="403">
        <f>IFERROR(IF(INDEX(HwyTransitModelGroup,A178,1)=Hwy,C200*E200/G200,K200/G200),0)</f>
        <v>436869.41249999998</v>
      </c>
      <c r="N200" s="404">
        <f>IFERROR(IF(INDEX(HwyTransitModelGroup,A178,1)=Hwy,D200*F200/H200,L200/H200),0)</f>
        <v>380133.8125</v>
      </c>
      <c r="O200" s="402">
        <f>TREND(O184:O185,$B184:$B185,$B200)</f>
        <v>1</v>
      </c>
      <c r="P200" s="998">
        <f>IF(INDEX(HwyTransitModelGroup,A178,1)=Hwy,G200*M200*(I200*ValTimeTruck+(1-I200)*ValTimeAuto)-O200*N200*(J200*ValTimeTruck+(1-J200)*ValTimeAuto),G200*IF(INDEX(NoTransit20,A178)=TRUE,INDEX(DivIndTrips,A178,4)/IF(INDEX(DivIndTrips,A178,3)=0,1,INDEX(DivIndTrips,A178,3)),M200)*ValTimeAuto-O200*N200*ValTimeAuto)*(1+TTUprater)^($B200-YearCurrent)</f>
        <v>1187362.6368000004</v>
      </c>
      <c r="Q200" s="780">
        <f t="shared" si="28"/>
        <v>1187362.6368000004</v>
      </c>
      <c r="R200" s="370">
        <f t="shared" si="29"/>
        <v>609560.2108571328</v>
      </c>
      <c r="S200" s="371"/>
      <c r="T200" s="378">
        <f>TREND(T184:T185,$B184:$B185,$B200)</f>
        <v>56735.600000000093</v>
      </c>
    </row>
    <row r="201" spans="2:20" x14ac:dyDescent="0.2">
      <c r="B201" s="375">
        <f t="shared" si="30"/>
        <v>2040</v>
      </c>
      <c r="C201" s="401">
        <f>MAX(TREND(C184:C185,B184:B185,B201),0)</f>
        <v>304811.5</v>
      </c>
      <c r="D201" s="402">
        <f>MAX(TREND(D184:D185,B184:B185,B201),0)</f>
        <v>264807.5</v>
      </c>
      <c r="E201" s="403">
        <f>MAX(TREND(E184:E185,B184:B185,B201),0)</f>
        <v>1.45</v>
      </c>
      <c r="F201" s="404">
        <f>MAX(TREND(F184:F185,B184:B185,B201),0)</f>
        <v>1.45</v>
      </c>
      <c r="G201" s="401">
        <f>MAX(TREND(G184:G185,$B184:$B185,$B201),0)</f>
        <v>1</v>
      </c>
      <c r="H201" s="402">
        <f>MAX(TREND(H184:H185,$B184:$B185,$B201),0)</f>
        <v>1</v>
      </c>
      <c r="I201" s="405">
        <f>MIN(MAX(TREND(I184:I185,B184:B185,B201),0),1)</f>
        <v>0.24</v>
      </c>
      <c r="J201" s="772">
        <f>MIN(MAX(TREND(J184:J185,B184:B185,B201),0),1)</f>
        <v>0.24</v>
      </c>
      <c r="K201" s="401">
        <f>MAX(TREND(K184:K185,B184:B185,B201),0)</f>
        <v>0</v>
      </c>
      <c r="L201" s="402">
        <f>MAX(TREND(L184:L185,B184:B185,B201),0)</f>
        <v>0</v>
      </c>
      <c r="M201" s="403">
        <f>IFERROR(IF(INDEX(HwyTransitModelGroup,A178,1)=Hwy,C201*E201/G201,K201/G201),0)</f>
        <v>441976.67499999999</v>
      </c>
      <c r="N201" s="404">
        <f>IFERROR(IF(INDEX(HwyTransitModelGroup,A178,1)=Hwy,D201*F201/H201,L201/H201),0)</f>
        <v>383970.875</v>
      </c>
      <c r="O201" s="402">
        <f>TREND(O184:O185,$B184:$B185,$B201)</f>
        <v>1</v>
      </c>
      <c r="P201" s="998">
        <f>IF(INDEX(HwyTransitModelGroup,A178,1)=Hwy,G201*M201*(I201*ValTimeTruck+(1-I201)*ValTimeAuto)-O201*N201*(J201*ValTimeTruck+(1-J201)*ValTimeAuto),G201*IF(INDEX(NoTransit20,A178)=TRUE,INDEX(DivIndTrips,A178,4)/IF(INDEX(DivIndTrips,A178,3)=0,1,INDEX(DivIndTrips,A178,3)),M201)*ValTimeAuto-O201*N201*ValTimeAuto)*(1+TTUprater)^($B201-YearCurrent)</f>
        <v>1213945.3823999995</v>
      </c>
      <c r="Q201" s="780">
        <f t="shared" si="28"/>
        <v>1213945.3823999995</v>
      </c>
      <c r="R201" s="370">
        <f t="shared" si="29"/>
        <v>599237.57812447706</v>
      </c>
      <c r="S201" s="371"/>
      <c r="T201" s="378">
        <f>TREND(T184:T185,$B184:$B185,$B201)</f>
        <v>58005.799999999814</v>
      </c>
    </row>
    <row r="202" spans="2:20" x14ac:dyDescent="0.2">
      <c r="B202" s="375">
        <f t="shared" si="30"/>
        <v>2041</v>
      </c>
      <c r="C202" s="401">
        <f>MAX(TREND(C184:C185,B184:B185,B202),0)</f>
        <v>308333.75</v>
      </c>
      <c r="D202" s="402">
        <f>MAX(TREND(D184:D185,B184:B185,B202),0)</f>
        <v>267453.75</v>
      </c>
      <c r="E202" s="403">
        <f>MAX(TREND(E184:E185,B184:B185,B202),0)</f>
        <v>1.45</v>
      </c>
      <c r="F202" s="404">
        <f>MAX(TREND(F184:F185,B184:B185,B202),0)</f>
        <v>1.45</v>
      </c>
      <c r="G202" s="401">
        <f>MAX(TREND(G184:G185,$B184:$B185,$B202),0)</f>
        <v>1</v>
      </c>
      <c r="H202" s="402">
        <f>MAX(TREND(H184:H185,$B184:$B185,$B202),0)</f>
        <v>1</v>
      </c>
      <c r="I202" s="405">
        <f>MIN(MAX(TREND(I184:I185,B184:B185,B202),0),1)</f>
        <v>0.24</v>
      </c>
      <c r="J202" s="772">
        <f>MIN(MAX(TREND(J184:J185,B184:B185,B202),0),1)</f>
        <v>0.24</v>
      </c>
      <c r="K202" s="401">
        <f>MAX(TREND(K184:K185,B184:B185,B202),0)</f>
        <v>0</v>
      </c>
      <c r="L202" s="402">
        <f>MAX(TREND(L184:L185,B184:B185,B202),0)</f>
        <v>0</v>
      </c>
      <c r="M202" s="403">
        <f>IFERROR(IF(INDEX(HwyTransitModelGroup,A178,1)=Hwy,C202*E202/G202,K202/G202),0)</f>
        <v>447083.9375</v>
      </c>
      <c r="N202" s="404">
        <f>IFERROR(IF(INDEX(HwyTransitModelGroup,A178,1)=Hwy,D202*F202/H202,L202/H202),0)</f>
        <v>387807.9375</v>
      </c>
      <c r="O202" s="402">
        <f>TREND(O184:O185,$B184:$B185,$B202)</f>
        <v>1</v>
      </c>
      <c r="P202" s="998">
        <f>IF(INDEX(HwyTransitModelGroup,A178,1)=Hwy,G202*M202*(I202*ValTimeTruck+(1-I202)*ValTimeAuto)-O202*N202*(J202*ValTimeTruck+(1-J202)*ValTimeAuto),G202*IF(INDEX(NoTransit20,A178)=TRUE,INDEX(DivIndTrips,A178,4)/IF(INDEX(DivIndTrips,A178,3)=0,1,INDEX(DivIndTrips,A178,3)),M202)*ValTimeAuto-O202*N202*ValTimeAuto)*(1+TTUprater)^($B202-YearCurrent)</f>
        <v>1240528.1279999996</v>
      </c>
      <c r="Q202" s="780">
        <f t="shared" si="28"/>
        <v>1240528.1279999996</v>
      </c>
      <c r="R202" s="370">
        <f t="shared" si="29"/>
        <v>588807.2777753144</v>
      </c>
      <c r="S202" s="371"/>
      <c r="T202" s="378">
        <f>TREND(T184:T185,$B184:$B185,$B202)</f>
        <v>59276</v>
      </c>
    </row>
    <row r="203" spans="2:20" x14ac:dyDescent="0.2">
      <c r="B203" s="375">
        <f t="shared" si="30"/>
        <v>2042</v>
      </c>
      <c r="C203" s="401">
        <f>MAX(TREND(C184:C185,B184:B185,B203),0)</f>
        <v>311856</v>
      </c>
      <c r="D203" s="402">
        <f>MAX(TREND(D184:D185,B184:B185,B203),0)</f>
        <v>270100</v>
      </c>
      <c r="E203" s="403">
        <f>MAX(TREND(E184:E185,B184:B185,B203),0)</f>
        <v>1.45</v>
      </c>
      <c r="F203" s="404">
        <f>MAX(TREND(F184:F185,B184:B185,B203),0)</f>
        <v>1.45</v>
      </c>
      <c r="G203" s="401">
        <f>MAX(TREND(G184:G185,$B184:$B185,$B203),0)</f>
        <v>1</v>
      </c>
      <c r="H203" s="402">
        <f>MAX(TREND(H184:H185,$B184:$B185,$B203),0)</f>
        <v>1</v>
      </c>
      <c r="I203" s="405">
        <f>MIN(MAX(TREND(I184:I185,B184:B185,B203),0),1)</f>
        <v>0.24</v>
      </c>
      <c r="J203" s="772">
        <f>MIN(MAX(TREND(J184:J185,B184:B185,B203),0),1)</f>
        <v>0.24</v>
      </c>
      <c r="K203" s="401">
        <f>MAX(TREND(K184:K185,B184:B185,B203),0)</f>
        <v>0</v>
      </c>
      <c r="L203" s="402">
        <f>MAX(TREND(L184:L185,B184:B185,B203),0)</f>
        <v>0</v>
      </c>
      <c r="M203" s="403">
        <f>IFERROR(IF(INDEX(HwyTransitModelGroup,A178,1)=Hwy,C203*E203/G203,K203/G203),0)</f>
        <v>452191.2</v>
      </c>
      <c r="N203" s="404">
        <f>IFERROR(IF(INDEX(HwyTransitModelGroup,A178,1)=Hwy,D203*F203/H203,L203/H203),0)</f>
        <v>391645</v>
      </c>
      <c r="O203" s="402">
        <f>TREND(O184:O185,$B184:$B185,$B203)</f>
        <v>1</v>
      </c>
      <c r="P203" s="998">
        <f>IF(INDEX(HwyTransitModelGroup,A178,1)=Hwy,G203*M203*(I203*ValTimeTruck+(1-I203)*ValTimeAuto)-O203*N203*(J203*ValTimeTruck+(1-J203)*ValTimeAuto),G203*IF(INDEX(NoTransit20,A178)=TRUE,INDEX(DivIndTrips,A178,4)/IF(INDEX(DivIndTrips,A178,3)=0,1,INDEX(DivIndTrips,A178,3)),M203)*ValTimeAuto-O203*N203*ValTimeAuto)*(1+TTUprater)^($B203-YearCurrent)</f>
        <v>1267110.8736000014</v>
      </c>
      <c r="Q203" s="780">
        <f t="shared" si="28"/>
        <v>1267110.8736000014</v>
      </c>
      <c r="R203" s="370">
        <f t="shared" si="29"/>
        <v>578292.86210075603</v>
      </c>
      <c r="S203" s="371"/>
      <c r="T203" s="378">
        <f>TREND(T184:T185,$B184:$B185,$B203)</f>
        <v>60546.199999999721</v>
      </c>
    </row>
    <row r="204" spans="2:20" x14ac:dyDescent="0.2">
      <c r="B204" s="375">
        <f t="shared" si="30"/>
        <v>2043</v>
      </c>
      <c r="C204" s="401">
        <f>MAX(TREND(C184:C185,B184:B185,B204),0)</f>
        <v>315378.25</v>
      </c>
      <c r="D204" s="402">
        <f>MAX(TREND(D184:D185,B184:B185,B204),0)</f>
        <v>272746.25</v>
      </c>
      <c r="E204" s="403">
        <f>MAX(TREND(E184:E185,B184:B185,B204),0)</f>
        <v>1.45</v>
      </c>
      <c r="F204" s="404">
        <f>MAX(TREND(F184:F185,B184:B185,B204),0)</f>
        <v>1.45</v>
      </c>
      <c r="G204" s="401">
        <f>MAX(TREND(G184:G185,$B184:$B185,$B204),0)</f>
        <v>1</v>
      </c>
      <c r="H204" s="402">
        <f>MAX(TREND(H184:H185,$B184:$B185,$B204),0)</f>
        <v>1</v>
      </c>
      <c r="I204" s="405">
        <f>MIN(MAX(TREND(I184:I185,B184:B185,B204),0),1)</f>
        <v>0.24</v>
      </c>
      <c r="J204" s="772">
        <f>MIN(MAX(TREND(J184:J185,B184:B185,B204),0),1)</f>
        <v>0.24</v>
      </c>
      <c r="K204" s="401">
        <f>MAX(TREND(K184:K185,B184:B185,B204),0)</f>
        <v>0</v>
      </c>
      <c r="L204" s="402">
        <f>MAX(TREND(L184:L185,B184:B185,B204),0)</f>
        <v>0</v>
      </c>
      <c r="M204" s="403">
        <f>IFERROR(IF(INDEX(HwyTransitModelGroup,A178,1)=Hwy,C204*E204/G204,K204/G204),0)</f>
        <v>457298.46249999997</v>
      </c>
      <c r="N204" s="404">
        <f>IFERROR(IF(INDEX(HwyTransitModelGroup,A178,1)=Hwy,D204*F204/H204,L204/H204),0)</f>
        <v>395482.0625</v>
      </c>
      <c r="O204" s="402">
        <f>TREND(O184:O185,$B184:$B185,$B204)</f>
        <v>1</v>
      </c>
      <c r="P204" s="998">
        <f>IF(INDEX(HwyTransitModelGroup,A178,1)=Hwy,G204*M204*(I204*ValTimeTruck+(1-I204)*ValTimeAuto)-O204*N204*(J204*ValTimeTruck+(1-J204)*ValTimeAuto),G204*IF(INDEX(NoTransit20,A178)=TRUE,INDEX(DivIndTrips,A178,4)/IF(INDEX(DivIndTrips,A178,3)=0,1,INDEX(DivIndTrips,A178,3)),M204)*ValTimeAuto-O204*N204*ValTimeAuto)*(1+TTUprater)^($B204-YearCurrent)</f>
        <v>1293693.6191999987</v>
      </c>
      <c r="Q204" s="780">
        <f t="shared" si="28"/>
        <v>1293693.6191999987</v>
      </c>
      <c r="R204" s="370">
        <f t="shared" si="29"/>
        <v>567716.23094883119</v>
      </c>
      <c r="S204" s="371"/>
      <c r="T204" s="378">
        <f>TREND(T184:T185,$B184:$B185,$B204)</f>
        <v>61816.399999999907</v>
      </c>
    </row>
    <row r="205" spans="2:20" x14ac:dyDescent="0.2">
      <c r="B205" s="375">
        <f t="shared" si="30"/>
        <v>2044</v>
      </c>
      <c r="C205" s="401">
        <f>MAX(TREND(C184:C185,B184:B185,B205),0)</f>
        <v>318900.5</v>
      </c>
      <c r="D205" s="402">
        <f>MAX(TREND(D184:D185,B184:B185,B205),0)</f>
        <v>275392.5</v>
      </c>
      <c r="E205" s="403">
        <f>MAX(TREND(E184:E185,B184:B185,B205),0)</f>
        <v>1.45</v>
      </c>
      <c r="F205" s="404">
        <f>MAX(TREND(F184:F185,B184:B185,B205),0)</f>
        <v>1.45</v>
      </c>
      <c r="G205" s="401">
        <f>MAX(TREND(G184:G185,$B184:$B185,$B205),0)</f>
        <v>1</v>
      </c>
      <c r="H205" s="402">
        <f>MAX(TREND(H184:H185,$B184:$B185,$B205),0)</f>
        <v>1</v>
      </c>
      <c r="I205" s="405">
        <f>MIN(MAX(TREND(I184:I185,B184:B185,B205),0),1)</f>
        <v>0.24</v>
      </c>
      <c r="J205" s="772">
        <f>MIN(MAX(TREND(J184:J185,B184:B185,B205),0),1)</f>
        <v>0.24</v>
      </c>
      <c r="K205" s="401">
        <f>MAX(TREND(K184:K185,B184:B185,B205),0)</f>
        <v>0</v>
      </c>
      <c r="L205" s="402">
        <f>MAX(TREND(L184:L185,B184:B185,B205),0)</f>
        <v>0</v>
      </c>
      <c r="M205" s="403">
        <f>IFERROR(IF(INDEX(HwyTransitModelGroup,A178,1)=Hwy,C205*E205/G205,K205/G205),0)</f>
        <v>462405.72499999998</v>
      </c>
      <c r="N205" s="404">
        <f>IFERROR(IF(INDEX(HwyTransitModelGroup,A178,1)=Hwy,D205*F205/H205,L205/H205),0)</f>
        <v>399319.125</v>
      </c>
      <c r="O205" s="402">
        <f>TREND(O184:O185,$B184:$B185,$B205)</f>
        <v>1</v>
      </c>
      <c r="P205" s="998">
        <f>IF(INDEX(HwyTransitModelGroup,A178,1)=Hwy,G205*M205*(I205*ValTimeTruck+(1-I205)*ValTimeAuto)-O205*N205*(J205*ValTimeTruck+(1-J205)*ValTimeAuto),G205*IF(INDEX(NoTransit20,A178)=TRUE,INDEX(DivIndTrips,A178,4)/IF(INDEX(DivIndTrips,A178,3)=0,1,INDEX(DivIndTrips,A178,3)),M205)*ValTimeAuto-O205*N205*ValTimeAuto)*(1+TTUprater)^($B205-YearCurrent)</f>
        <v>1320276.3647999987</v>
      </c>
      <c r="Q205" s="780">
        <f t="shared" si="28"/>
        <v>1320276.3647999987</v>
      </c>
      <c r="R205" s="370">
        <f t="shared" si="29"/>
        <v>557097.72399483575</v>
      </c>
      <c r="S205" s="371"/>
      <c r="T205" s="378">
        <f>TREND(T184:T185,$B184:$B185,$B205)</f>
        <v>63086.600000000093</v>
      </c>
    </row>
    <row r="206" spans="2:20" x14ac:dyDescent="0.2">
      <c r="B206" s="375">
        <f t="shared" si="30"/>
        <v>2045</v>
      </c>
      <c r="C206" s="401">
        <f>MAX(TREND(C184:C185,B184:B185,B206),0)</f>
        <v>322422.75</v>
      </c>
      <c r="D206" s="402">
        <f>MAX(TREND(D184:D185,B184:B185,B206),0)</f>
        <v>278038.75</v>
      </c>
      <c r="E206" s="403">
        <f>MAX(TREND(E184:E185,B184:B185,B206),0)</f>
        <v>1.45</v>
      </c>
      <c r="F206" s="404">
        <f>MAX(TREND(F184:F185,B184:B185,B206),0)</f>
        <v>1.45</v>
      </c>
      <c r="G206" s="401">
        <f>MAX(TREND(G184:G185,$B184:$B185,$B206),0)</f>
        <v>1</v>
      </c>
      <c r="H206" s="402">
        <f>MAX(TREND(H184:H185,$B184:$B185,$B206),0)</f>
        <v>1</v>
      </c>
      <c r="I206" s="405">
        <f>MIN(MAX(TREND(I184:I185,B184:B185,B206),0),1)</f>
        <v>0.24</v>
      </c>
      <c r="J206" s="772">
        <f>MIN(MAX(TREND(J184:J185,B184:B185,B206),0),1)</f>
        <v>0.24</v>
      </c>
      <c r="K206" s="401">
        <f>MAX(TREND(K184:K185,B184:B185,B206),0)</f>
        <v>0</v>
      </c>
      <c r="L206" s="402">
        <f>MAX(TREND(L184:L185,B184:B185,B206),0)</f>
        <v>0</v>
      </c>
      <c r="M206" s="403">
        <f>IFERROR(IF(INDEX(HwyTransitModelGroup,A178,1)=Hwy,C206*E206/G206,K206/G206),0)</f>
        <v>467512.98749999999</v>
      </c>
      <c r="N206" s="404">
        <f>IFERROR(IF(INDEX(HwyTransitModelGroup,A178,1)=Hwy,D206*F206/H206,L206/H206),0)</f>
        <v>403156.1875</v>
      </c>
      <c r="O206" s="402">
        <f>TREND(O184:O185,$B184:$B185,$B206)</f>
        <v>1</v>
      </c>
      <c r="P206" s="998">
        <f>IF(INDEX(HwyTransitModelGroup,A178,1)=Hwy,G206*M206*(I206*ValTimeTruck+(1-I206)*ValTimeAuto)-O206*N206*(J206*ValTimeTruck+(1-J206)*ValTimeAuto),G206*IF(INDEX(NoTransit20,A178)=TRUE,INDEX(DivIndTrips,A178,4)/IF(INDEX(DivIndTrips,A178,3)=0,1,INDEX(DivIndTrips,A178,3)),M206)*ValTimeAuto-O206*N206*ValTimeAuto)*(1+TTUprater)^($B206-YearCurrent)</f>
        <v>1346859.1104000006</v>
      </c>
      <c r="Q206" s="780">
        <f t="shared" si="28"/>
        <v>1346859.1104000006</v>
      </c>
      <c r="R206" s="370">
        <f t="shared" si="29"/>
        <v>546456.20835838385</v>
      </c>
      <c r="S206" s="371"/>
      <c r="T206" s="378">
        <f>TREND(T184:T185,$B184:$B185,$B206)</f>
        <v>64356.799999999814</v>
      </c>
    </row>
    <row r="207" spans="2:20" x14ac:dyDescent="0.2">
      <c r="B207" s="385"/>
      <c r="C207" s="386"/>
      <c r="D207" s="386"/>
      <c r="E207" s="388"/>
      <c r="F207" s="388"/>
      <c r="G207" s="388"/>
      <c r="H207" s="388"/>
      <c r="I207" s="388"/>
      <c r="J207" s="388"/>
      <c r="K207" s="774"/>
      <c r="L207" s="774"/>
      <c r="M207" s="388"/>
      <c r="N207" s="388"/>
      <c r="O207" s="388"/>
      <c r="P207" s="388"/>
      <c r="Q207" s="388"/>
      <c r="R207" s="389"/>
      <c r="S207" s="390"/>
      <c r="T207" s="388"/>
    </row>
    <row r="208" spans="2:20" x14ac:dyDescent="0.2">
      <c r="B208" s="407" t="s">
        <v>56</v>
      </c>
      <c r="C208" s="413"/>
      <c r="D208" s="414"/>
      <c r="E208" s="414"/>
      <c r="F208" s="414"/>
      <c r="G208" s="414"/>
      <c r="H208" s="414"/>
      <c r="I208" s="414"/>
      <c r="J208" s="414"/>
      <c r="K208" s="414"/>
      <c r="L208" s="414"/>
      <c r="M208" s="414"/>
      <c r="N208" s="414"/>
      <c r="O208" s="414"/>
      <c r="P208" s="414"/>
      <c r="Q208" s="414"/>
      <c r="R208" s="409">
        <f>SUM(R187:R206)</f>
        <v>12806752.580853736</v>
      </c>
      <c r="S208" s="416"/>
      <c r="T208" s="411">
        <f>SUM(T187:T206)</f>
        <v>1045797.9999999981</v>
      </c>
    </row>
    <row r="209" spans="2:19" x14ac:dyDescent="0.2">
      <c r="B209" s="2"/>
      <c r="C209" s="418"/>
      <c r="D209" s="2"/>
      <c r="E209" s="2"/>
      <c r="F209" s="2"/>
      <c r="G209" s="2"/>
      <c r="H209" s="2"/>
      <c r="I209" s="2"/>
      <c r="J209" s="2"/>
      <c r="K209" s="2"/>
      <c r="L209" s="2"/>
      <c r="M209" s="2"/>
      <c r="N209" s="2"/>
      <c r="O209" s="2"/>
      <c r="P209" s="2"/>
      <c r="Q209" s="2"/>
      <c r="R209" s="2"/>
      <c r="S209" s="2"/>
    </row>
  </sheetData>
  <mergeCells count="18">
    <mergeCell ref="Z21:Z23"/>
    <mergeCell ref="AA21:AA23"/>
    <mergeCell ref="AB21:AB23"/>
    <mergeCell ref="X55:X57"/>
    <mergeCell ref="Y55:Y57"/>
    <mergeCell ref="Z55:Z57"/>
    <mergeCell ref="AA55:AA57"/>
    <mergeCell ref="AB55:AB57"/>
    <mergeCell ref="A116:A119"/>
    <mergeCell ref="A148:A151"/>
    <mergeCell ref="A180:A183"/>
    <mergeCell ref="X21:X23"/>
    <mergeCell ref="Y21:Y23"/>
    <mergeCell ref="W21:W23"/>
    <mergeCell ref="W55:W57"/>
    <mergeCell ref="A20:A23"/>
    <mergeCell ref="A52:A55"/>
    <mergeCell ref="A84:A87"/>
  </mergeCells>
  <printOptions horizontalCentered="1"/>
  <pageMargins left="0.75" right="0.75" top="0.75" bottom="0.75" header="0.5" footer="0.5"/>
  <pageSetup scale="62" fitToWidth="2" orientation="landscape" r:id="rId1"/>
  <headerFooter alignWithMargins="0">
    <oddFooter>&amp;L&amp;8Transportation Economics
Caltrans DOTP&amp;C&amp;8Cal-B/C &amp;A&amp;R&amp;8Page &amp;P
&amp;D</oddFooter>
  </headerFooter>
  <rowBreaks count="1" manualBreakCount="1">
    <brk id="48" min="21" max="28"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dimension ref="A1:AM287"/>
  <sheetViews>
    <sheetView showGridLines="0" topLeftCell="S1" zoomScale="70" zoomScaleNormal="70" workbookViewId="0"/>
  </sheetViews>
  <sheetFormatPr defaultRowHeight="15" x14ac:dyDescent="0.25"/>
  <cols>
    <col min="2" max="2" width="13.42578125" bestFit="1" customWidth="1"/>
    <col min="3" max="12" width="14.5703125" customWidth="1"/>
    <col min="13" max="16" width="16.5703125" customWidth="1"/>
    <col min="17" max="17" width="33.5703125" customWidth="1"/>
    <col min="18" max="18" width="36" bestFit="1" customWidth="1"/>
    <col min="19" max="22" width="14.5703125" customWidth="1"/>
    <col min="23" max="24" width="17.5703125" customWidth="1"/>
    <col min="25" max="25" width="5.42578125" customWidth="1"/>
    <col min="26" max="29" width="16.42578125" customWidth="1"/>
    <col min="30" max="30" width="9.5703125" customWidth="1"/>
    <col min="31" max="31" width="13.42578125" customWidth="1"/>
    <col min="32" max="35" width="10.140625" customWidth="1"/>
    <col min="36" max="37" width="13.42578125" bestFit="1" customWidth="1"/>
    <col min="38" max="38" width="2.42578125" customWidth="1"/>
    <col min="39" max="39" width="11.85546875" customWidth="1"/>
  </cols>
  <sheetData>
    <row r="1" spans="1:39" ht="20.25" x14ac:dyDescent="0.3">
      <c r="A1" s="1"/>
      <c r="B1" s="282" t="s">
        <v>214</v>
      </c>
      <c r="C1" s="184"/>
      <c r="D1" s="283"/>
      <c r="E1" s="283"/>
      <c r="F1" s="283"/>
      <c r="G1" s="283"/>
      <c r="H1" s="283"/>
      <c r="I1" s="283"/>
      <c r="J1" s="283"/>
      <c r="K1" s="1"/>
      <c r="L1" s="3"/>
      <c r="M1" s="3"/>
      <c r="N1" s="3"/>
      <c r="O1" s="3"/>
      <c r="P1" s="3"/>
      <c r="Q1" s="1"/>
      <c r="R1" s="1"/>
      <c r="S1" s="1"/>
      <c r="T1" s="1"/>
      <c r="U1" s="1"/>
      <c r="V1" s="1"/>
      <c r="W1" s="1"/>
      <c r="X1" s="1"/>
      <c r="Y1" s="1"/>
      <c r="AD1" s="283"/>
      <c r="AE1" s="283"/>
      <c r="AF1" s="283"/>
      <c r="AG1" s="283"/>
      <c r="AH1" s="283"/>
      <c r="AI1" s="1"/>
      <c r="AJ1" s="1"/>
      <c r="AK1" s="1"/>
      <c r="AL1" s="1"/>
    </row>
    <row r="2" spans="1:39" x14ac:dyDescent="0.25">
      <c r="A2" s="1"/>
      <c r="B2" s="184"/>
      <c r="C2" s="184"/>
      <c r="D2" s="283"/>
      <c r="E2" s="283"/>
      <c r="F2" s="283"/>
      <c r="G2" s="283"/>
      <c r="H2" s="283"/>
      <c r="I2" s="283"/>
      <c r="J2" s="283"/>
      <c r="K2" s="1"/>
      <c r="L2" s="3"/>
      <c r="M2" s="3"/>
      <c r="N2" s="3"/>
      <c r="O2" s="3"/>
      <c r="P2" s="3"/>
      <c r="Q2" s="1"/>
      <c r="R2" s="1"/>
      <c r="S2" s="1"/>
      <c r="T2" s="1"/>
      <c r="U2" s="1"/>
      <c r="V2" s="1"/>
      <c r="W2" s="1"/>
      <c r="X2" s="1"/>
      <c r="Y2" s="1"/>
      <c r="AD2" s="283"/>
      <c r="AE2" s="283"/>
      <c r="AF2" s="283"/>
      <c r="AG2" s="283"/>
      <c r="AH2" s="283"/>
      <c r="AI2" s="1"/>
      <c r="AJ2" s="1"/>
      <c r="AK2" s="1"/>
      <c r="AL2" s="1"/>
    </row>
    <row r="3" spans="1:39" ht="18.75" x14ac:dyDescent="0.25">
      <c r="A3" s="1"/>
      <c r="B3" s="284" t="s">
        <v>215</v>
      </c>
      <c r="C3" s="1"/>
      <c r="D3" s="2"/>
      <c r="E3" s="2"/>
      <c r="F3" s="2"/>
      <c r="G3" s="2"/>
      <c r="H3" s="2"/>
      <c r="I3" s="2"/>
      <c r="J3" s="2"/>
      <c r="K3" s="13"/>
      <c r="L3" s="13"/>
      <c r="M3" s="13"/>
      <c r="N3" s="2"/>
      <c r="O3" s="2"/>
      <c r="P3" s="2"/>
      <c r="Q3" s="1"/>
      <c r="R3" s="1"/>
      <c r="S3" s="1"/>
      <c r="T3" s="1"/>
      <c r="U3" s="1"/>
      <c r="V3" s="1"/>
      <c r="W3" s="1"/>
      <c r="X3" s="1"/>
      <c r="Y3" s="1"/>
      <c r="AD3" s="283"/>
      <c r="AE3" s="283"/>
      <c r="AF3" s="283"/>
      <c r="AG3" s="283"/>
      <c r="AH3" s="283"/>
      <c r="AI3" s="1"/>
      <c r="AJ3" s="1"/>
      <c r="AK3" s="1"/>
      <c r="AL3" s="1"/>
    </row>
    <row r="4" spans="1:39" ht="18.75" x14ac:dyDescent="0.25">
      <c r="A4" s="1"/>
      <c r="B4" s="284"/>
      <c r="C4" s="1"/>
      <c r="D4" s="2"/>
      <c r="E4" s="2"/>
      <c r="F4" s="2"/>
      <c r="G4" s="2"/>
      <c r="H4" s="2"/>
      <c r="I4" s="2"/>
      <c r="J4" s="2"/>
      <c r="K4" s="13"/>
      <c r="L4" s="13"/>
      <c r="M4" s="13"/>
      <c r="N4" s="2"/>
      <c r="O4" s="2"/>
      <c r="P4" s="2"/>
      <c r="Q4" s="1"/>
      <c r="R4" s="1"/>
      <c r="S4" s="1"/>
      <c r="T4" s="1"/>
      <c r="U4" s="1"/>
      <c r="V4" s="1"/>
      <c r="W4" s="1"/>
      <c r="X4" s="1"/>
      <c r="Y4" s="1"/>
      <c r="AD4" s="283"/>
      <c r="AE4" s="283"/>
      <c r="AF4" s="283"/>
      <c r="AG4" s="283"/>
      <c r="AH4" s="283"/>
      <c r="AI4" s="1"/>
      <c r="AJ4" s="1"/>
      <c r="AK4" s="1"/>
      <c r="AL4" s="1"/>
    </row>
    <row r="5" spans="1:39" ht="18.75" x14ac:dyDescent="0.25">
      <c r="A5" s="1"/>
      <c r="B5" s="285" t="s">
        <v>166</v>
      </c>
      <c r="C5" s="43"/>
      <c r="D5" s="59"/>
      <c r="E5" s="59"/>
      <c r="F5" s="59"/>
      <c r="G5" s="59"/>
      <c r="H5" s="286"/>
      <c r="I5" s="286"/>
      <c r="J5" s="59"/>
      <c r="K5" s="59"/>
      <c r="L5" s="59"/>
      <c r="M5" s="60"/>
      <c r="N5" s="1"/>
      <c r="O5" s="1"/>
      <c r="S5" s="1039" t="s">
        <v>167</v>
      </c>
      <c r="T5" s="32"/>
      <c r="U5" s="33"/>
      <c r="V5" s="34"/>
      <c r="AA5" s="283"/>
      <c r="AB5" s="283"/>
      <c r="AC5" s="283"/>
      <c r="AD5" s="283"/>
      <c r="AE5" s="283"/>
      <c r="AF5" s="1"/>
      <c r="AG5" s="1"/>
      <c r="AH5" s="1"/>
      <c r="AI5" s="1"/>
    </row>
    <row r="6" spans="1:39" x14ac:dyDescent="0.25">
      <c r="A6" s="1"/>
      <c r="B6" s="287"/>
      <c r="C6" s="51"/>
      <c r="D6" s="270"/>
      <c r="E6" s="270"/>
      <c r="F6" s="270"/>
      <c r="G6" s="270"/>
      <c r="H6" s="288"/>
      <c r="I6" s="288"/>
      <c r="J6" s="270"/>
      <c r="K6" s="270"/>
      <c r="L6" s="270"/>
      <c r="M6" s="293"/>
      <c r="N6" s="1"/>
      <c r="O6" s="1"/>
      <c r="S6" s="40"/>
      <c r="T6" s="800" t="s">
        <v>216</v>
      </c>
      <c r="U6" s="294"/>
      <c r="V6" s="295"/>
      <c r="AA6" s="283"/>
      <c r="AB6" s="283"/>
      <c r="AC6" s="283"/>
      <c r="AD6" s="283"/>
      <c r="AE6" s="283"/>
      <c r="AF6" s="1"/>
      <c r="AG6" s="1"/>
      <c r="AH6" s="1"/>
      <c r="AI6" s="1"/>
    </row>
    <row r="7" spans="1:39" x14ac:dyDescent="0.25">
      <c r="A7" s="1"/>
      <c r="B7" s="296" t="s">
        <v>178</v>
      </c>
      <c r="C7" s="291"/>
      <c r="D7" s="297"/>
      <c r="E7" s="1041"/>
      <c r="F7" s="532" t="s">
        <v>179</v>
      </c>
      <c r="G7" s="532"/>
      <c r="H7" s="964" t="s">
        <v>217</v>
      </c>
      <c r="I7" s="297"/>
      <c r="J7" s="297"/>
      <c r="K7" s="297"/>
      <c r="L7" s="292"/>
      <c r="M7" s="293"/>
      <c r="N7" s="1"/>
      <c r="O7" s="1"/>
      <c r="P7" s="1"/>
      <c r="Q7" s="1"/>
      <c r="R7" s="1"/>
      <c r="S7" s="1"/>
      <c r="T7" s="1"/>
      <c r="U7" s="1"/>
      <c r="V7" s="1"/>
      <c r="AA7" s="283"/>
      <c r="AB7" s="283"/>
      <c r="AC7" s="283"/>
      <c r="AD7" s="283"/>
      <c r="AE7" s="283"/>
      <c r="AF7" s="1"/>
      <c r="AG7" s="1"/>
      <c r="AH7" s="1"/>
      <c r="AI7" s="1"/>
    </row>
    <row r="8" spans="1:39" x14ac:dyDescent="0.25">
      <c r="A8" s="1"/>
      <c r="B8" s="303" t="s">
        <v>181</v>
      </c>
      <c r="C8" s="51"/>
      <c r="D8" s="420" t="s">
        <v>182</v>
      </c>
      <c r="E8" s="420" t="s">
        <v>173</v>
      </c>
      <c r="F8" s="270"/>
      <c r="G8" s="270"/>
      <c r="H8" s="299" t="s">
        <v>173</v>
      </c>
      <c r="I8" s="299" t="s">
        <v>218</v>
      </c>
      <c r="J8" s="299" t="s">
        <v>219</v>
      </c>
      <c r="K8" s="299"/>
      <c r="L8" s="299"/>
      <c r="M8" s="293"/>
      <c r="N8" s="1"/>
      <c r="O8" s="1"/>
      <c r="P8" s="1"/>
      <c r="Q8" s="1"/>
      <c r="R8" s="1"/>
      <c r="S8" s="1"/>
      <c r="T8" s="1"/>
      <c r="U8" s="1"/>
      <c r="V8" s="1"/>
      <c r="AA8" s="283"/>
      <c r="AB8" s="283"/>
      <c r="AC8" s="283"/>
      <c r="AD8" s="283"/>
      <c r="AE8" s="283"/>
      <c r="AF8" s="1"/>
      <c r="AG8" s="1"/>
      <c r="AH8" s="1"/>
      <c r="AI8" s="1"/>
    </row>
    <row r="9" spans="1:39" x14ac:dyDescent="0.25">
      <c r="A9" s="1"/>
      <c r="B9" s="237"/>
      <c r="C9" s="270"/>
      <c r="D9" s="270"/>
      <c r="E9" s="270"/>
      <c r="F9" s="270"/>
      <c r="G9" s="270"/>
      <c r="H9" s="51"/>
      <c r="I9" s="51"/>
      <c r="J9" s="51"/>
      <c r="K9" s="51"/>
      <c r="L9" s="270"/>
      <c r="M9" s="293"/>
      <c r="N9" s="1"/>
      <c r="O9" s="1"/>
      <c r="P9" s="1"/>
      <c r="Q9" s="1"/>
      <c r="R9" s="1"/>
      <c r="S9" s="1"/>
      <c r="T9" s="1"/>
      <c r="U9" s="1"/>
      <c r="V9" s="1"/>
      <c r="AA9" s="283"/>
      <c r="AB9" s="283"/>
      <c r="AC9" s="283"/>
      <c r="AD9" s="283"/>
      <c r="AE9" s="283"/>
      <c r="AF9" s="1"/>
      <c r="AG9" s="1"/>
      <c r="AH9" s="1"/>
      <c r="AI9" s="1"/>
    </row>
    <row r="10" spans="1:39" x14ac:dyDescent="0.25">
      <c r="A10" s="1"/>
      <c r="B10" s="296" t="s">
        <v>168</v>
      </c>
      <c r="C10" s="291"/>
      <c r="D10" s="297"/>
      <c r="E10" s="1041"/>
      <c r="F10" s="841" t="s">
        <v>169</v>
      </c>
      <c r="G10" s="841"/>
      <c r="H10" s="964" t="s">
        <v>220</v>
      </c>
      <c r="I10" s="297"/>
      <c r="J10" s="297"/>
      <c r="K10" s="297"/>
      <c r="L10" s="292"/>
      <c r="M10" s="293"/>
      <c r="N10" s="1"/>
      <c r="O10" s="1"/>
      <c r="P10" s="1"/>
      <c r="Q10" s="1"/>
      <c r="R10" s="1"/>
      <c r="S10" s="1"/>
      <c r="T10" s="1"/>
      <c r="U10" s="1"/>
      <c r="V10" s="1"/>
      <c r="AA10" s="283"/>
      <c r="AB10" s="283"/>
      <c r="AC10" s="283"/>
      <c r="AD10" s="283"/>
      <c r="AE10" s="283"/>
      <c r="AF10" s="1"/>
      <c r="AG10" s="1"/>
      <c r="AH10" s="1"/>
      <c r="AI10" s="1"/>
    </row>
    <row r="11" spans="1:39" x14ac:dyDescent="0.25">
      <c r="A11" s="1"/>
      <c r="B11" s="307" t="s">
        <v>172</v>
      </c>
      <c r="C11" s="279"/>
      <c r="D11" s="308" t="s">
        <v>173</v>
      </c>
      <c r="E11" s="308"/>
      <c r="F11" s="309"/>
      <c r="G11" s="309"/>
      <c r="H11" s="1042" t="s">
        <v>221</v>
      </c>
      <c r="I11" s="971" t="s">
        <v>222</v>
      </c>
      <c r="J11" s="1043" t="s">
        <v>223</v>
      </c>
      <c r="K11" s="1040" t="s">
        <v>224</v>
      </c>
      <c r="L11" s="1040"/>
      <c r="M11" s="210"/>
      <c r="N11" s="1"/>
      <c r="O11" s="1"/>
      <c r="P11" s="1"/>
      <c r="Q11" s="1"/>
      <c r="R11" s="1"/>
      <c r="S11" s="1"/>
      <c r="T11" s="1"/>
      <c r="U11" s="1"/>
      <c r="V11" s="1"/>
      <c r="AA11" s="283"/>
      <c r="AB11" s="283"/>
      <c r="AC11" s="283"/>
      <c r="AD11" s="283"/>
      <c r="AE11" s="283"/>
      <c r="AF11" s="1"/>
      <c r="AG11" s="1"/>
      <c r="AH11" s="1"/>
      <c r="AI11" s="1"/>
    </row>
    <row r="12" spans="1:39" x14ac:dyDescent="0.25">
      <c r="A12" s="310"/>
      <c r="B12" s="2"/>
      <c r="C12" s="310"/>
      <c r="D12" s="311"/>
      <c r="E12" s="311"/>
      <c r="F12" s="311"/>
      <c r="G12" s="310"/>
      <c r="H12" s="1"/>
      <c r="I12" s="2"/>
      <c r="J12" s="310"/>
      <c r="K12" s="310"/>
      <c r="L12" s="310"/>
      <c r="M12" s="310"/>
      <c r="N12" s="310"/>
      <c r="O12" s="310"/>
      <c r="P12" s="310"/>
      <c r="Q12" s="310"/>
      <c r="R12" s="310"/>
      <c r="S12" s="1"/>
      <c r="T12" s="2"/>
      <c r="U12" s="2"/>
      <c r="V12" s="2"/>
      <c r="W12" s="2"/>
      <c r="X12" s="310"/>
      <c r="Y12" s="1"/>
      <c r="AD12" s="1"/>
      <c r="AE12" s="1"/>
      <c r="AF12" s="1"/>
      <c r="AG12" s="1"/>
      <c r="AH12" s="1"/>
      <c r="AI12" s="1"/>
      <c r="AJ12" s="1"/>
      <c r="AK12" s="1"/>
      <c r="AL12" s="1"/>
    </row>
    <row r="13" spans="1:39" x14ac:dyDescent="0.25">
      <c r="A13" s="310"/>
      <c r="B13" s="2"/>
      <c r="C13" s="310"/>
      <c r="D13" s="311"/>
      <c r="E13" s="311"/>
      <c r="F13" s="311"/>
      <c r="G13" s="310"/>
      <c r="H13" s="310"/>
      <c r="I13" s="2"/>
      <c r="J13" s="310"/>
      <c r="K13" s="310"/>
      <c r="L13" s="310"/>
      <c r="M13" s="310"/>
      <c r="N13" s="310"/>
      <c r="O13" s="310"/>
      <c r="P13" s="310"/>
      <c r="Q13" s="310"/>
      <c r="R13" s="310"/>
      <c r="S13" s="1"/>
      <c r="T13" s="1"/>
      <c r="U13" s="1"/>
      <c r="V13" s="1"/>
      <c r="W13" s="1"/>
      <c r="X13" s="1"/>
      <c r="Y13" s="1"/>
      <c r="AD13" s="2"/>
      <c r="AE13" s="310"/>
      <c r="AF13" s="310"/>
      <c r="AG13" s="310"/>
      <c r="AH13" s="310"/>
      <c r="AI13" s="1"/>
      <c r="AJ13" s="311"/>
      <c r="AK13" s="311"/>
      <c r="AL13" s="311"/>
    </row>
    <row r="14" spans="1:39" x14ac:dyDescent="0.25">
      <c r="A14" s="310"/>
      <c r="B14" s="2"/>
      <c r="C14" s="310"/>
      <c r="D14" s="311"/>
      <c r="E14" s="311"/>
      <c r="F14" s="311"/>
      <c r="G14" s="310"/>
      <c r="H14" s="310"/>
      <c r="I14" s="2"/>
      <c r="J14" s="310"/>
      <c r="K14" s="310"/>
      <c r="L14" s="310"/>
      <c r="M14" s="310"/>
      <c r="N14" s="310"/>
      <c r="O14" s="310"/>
      <c r="P14" s="310"/>
      <c r="Q14" s="310"/>
      <c r="R14" s="310"/>
      <c r="S14" s="559"/>
      <c r="T14" s="1"/>
      <c r="U14" s="1"/>
      <c r="V14" s="1"/>
      <c r="W14" s="1"/>
      <c r="X14" s="1"/>
      <c r="Y14" s="1"/>
      <c r="Z14" s="1"/>
      <c r="AA14" s="1"/>
      <c r="AB14" s="1"/>
      <c r="AC14" s="1"/>
      <c r="AD14" s="1"/>
    </row>
    <row r="15" spans="1:39" ht="20.25" x14ac:dyDescent="0.3">
      <c r="A15" s="310"/>
      <c r="B15" s="159" t="s">
        <v>186</v>
      </c>
      <c r="C15" s="891" t="s">
        <v>225</v>
      </c>
      <c r="D15" s="313"/>
      <c r="E15" s="313"/>
      <c r="F15" s="313"/>
      <c r="G15" s="314"/>
      <c r="H15" s="314"/>
      <c r="I15" s="313"/>
      <c r="J15" s="314"/>
      <c r="K15" s="314"/>
      <c r="L15" s="314"/>
      <c r="M15" s="314"/>
      <c r="N15" s="314"/>
      <c r="O15" s="314"/>
      <c r="P15" s="314"/>
      <c r="Q15" s="314"/>
      <c r="R15" s="314"/>
      <c r="S15" s="559"/>
      <c r="T15" s="807"/>
      <c r="U15" s="315"/>
      <c r="AE15" s="159" t="s">
        <v>188</v>
      </c>
      <c r="AF15" s="312" t="s">
        <v>227</v>
      </c>
      <c r="AG15" s="707"/>
      <c r="AH15" s="707"/>
      <c r="AI15" s="707"/>
      <c r="AJ15" s="162"/>
      <c r="AK15" s="1018"/>
      <c r="AL15" s="1018"/>
      <c r="AM15" s="313"/>
    </row>
    <row r="16" spans="1:39" ht="18" x14ac:dyDescent="0.25">
      <c r="A16" s="310"/>
      <c r="B16" s="2"/>
      <c r="C16" s="895" t="s">
        <v>226</v>
      </c>
      <c r="D16" s="893"/>
      <c r="E16" s="893"/>
      <c r="F16" s="893"/>
      <c r="G16" s="894"/>
      <c r="H16" s="894"/>
      <c r="I16" s="893"/>
      <c r="J16" s="894"/>
      <c r="K16" s="894"/>
      <c r="L16" s="894"/>
      <c r="M16" s="894"/>
      <c r="N16" s="894"/>
      <c r="O16" s="894"/>
      <c r="P16" s="894"/>
      <c r="Q16" s="894"/>
      <c r="R16" s="894"/>
      <c r="S16" s="775"/>
      <c r="T16" s="1"/>
      <c r="U16" s="1"/>
      <c r="AE16" s="312"/>
      <c r="AF16" s="707"/>
      <c r="AG16" s="707"/>
      <c r="AH16" s="707"/>
      <c r="AI16" s="707"/>
      <c r="AJ16" s="162"/>
      <c r="AK16" s="1018"/>
      <c r="AL16" s="1018"/>
      <c r="AM16" s="1018"/>
    </row>
    <row r="17" spans="1:39" x14ac:dyDescent="0.25">
      <c r="B17" s="317"/>
      <c r="C17" s="763"/>
      <c r="D17" s="763"/>
      <c r="E17" s="38"/>
      <c r="F17" s="877"/>
      <c r="I17" s="38"/>
      <c r="J17" s="877"/>
      <c r="K17" s="320"/>
      <c r="L17" s="320"/>
      <c r="M17" s="2"/>
      <c r="N17" s="2"/>
      <c r="O17" s="318"/>
      <c r="P17" s="2"/>
      <c r="Q17" s="38"/>
      <c r="R17" s="36"/>
      <c r="S17" s="2"/>
      <c r="T17" s="1"/>
      <c r="U17" s="1"/>
      <c r="AE17" s="1"/>
      <c r="AF17" s="1"/>
      <c r="AG17" s="1"/>
      <c r="AH17" s="1"/>
      <c r="AI17" s="1"/>
      <c r="AJ17" s="1"/>
      <c r="AK17" s="1"/>
      <c r="AL17" s="1"/>
      <c r="AM17" s="1"/>
    </row>
    <row r="18" spans="1:39" x14ac:dyDescent="0.25">
      <c r="A18" s="1">
        <v>1</v>
      </c>
      <c r="B18" s="878" t="str">
        <f>PARAMETERS!$J$9</f>
        <v>Bus</v>
      </c>
      <c r="C18" s="763"/>
      <c r="D18" s="2"/>
      <c r="E18" s="2"/>
      <c r="F18" s="2"/>
      <c r="I18" s="320"/>
      <c r="J18" s="320"/>
      <c r="K18" s="320"/>
      <c r="L18" s="320"/>
      <c r="M18" s="320"/>
      <c r="N18" s="320"/>
      <c r="O18" s="320"/>
      <c r="P18" s="320"/>
      <c r="Q18" s="320"/>
      <c r="R18" s="320"/>
      <c r="S18" s="2"/>
      <c r="T18" s="2"/>
      <c r="U18" s="2"/>
      <c r="AE18" s="1"/>
      <c r="AF18" s="1"/>
      <c r="AG18" s="1"/>
      <c r="AH18" s="1"/>
      <c r="AI18" s="1"/>
      <c r="AJ18" s="1"/>
      <c r="AK18" s="1"/>
      <c r="AL18" s="1"/>
      <c r="AM18" s="1"/>
    </row>
    <row r="19" spans="1:39" x14ac:dyDescent="0.25">
      <c r="A19" s="1"/>
      <c r="B19" s="2"/>
      <c r="C19" s="38"/>
      <c r="D19" s="877"/>
      <c r="S19" s="2"/>
      <c r="T19" s="149"/>
      <c r="U19" s="149"/>
      <c r="AE19" s="1"/>
      <c r="AF19" s="1"/>
      <c r="AG19" s="1"/>
      <c r="AH19" s="1"/>
      <c r="AI19" s="1"/>
      <c r="AJ19" s="1"/>
      <c r="AK19" s="1"/>
      <c r="AL19" s="1"/>
      <c r="AM19" s="1"/>
    </row>
    <row r="20" spans="1:39" ht="15.6" customHeight="1" x14ac:dyDescent="0.25">
      <c r="A20" s="1"/>
      <c r="B20" s="922"/>
      <c r="C20" s="923" t="s">
        <v>190</v>
      </c>
      <c r="D20" s="924"/>
      <c r="E20" s="923" t="s">
        <v>191</v>
      </c>
      <c r="F20" s="924"/>
      <c r="G20" s="923" t="str">
        <f>IF(B18=Hwy,"TOTAL VEHICLE TRIPS","TOTAL PERSON TRIPS")</f>
        <v>TOTAL PERSON TRIPS</v>
      </c>
      <c r="H20" s="924"/>
      <c r="I20" s="923" t="s">
        <v>192</v>
      </c>
      <c r="J20" s="924"/>
      <c r="K20" s="923" t="s">
        <v>193</v>
      </c>
      <c r="L20" s="924"/>
      <c r="M20" s="923" t="s">
        <v>194</v>
      </c>
      <c r="N20" s="924"/>
      <c r="O20" s="325" t="s">
        <v>228</v>
      </c>
      <c r="P20" s="326"/>
      <c r="Q20" s="948" t="str">
        <f>IF(B18=Hwy,"TOTAL VEHICLE TRIPS","TOTAL PERSON TRIPS")</f>
        <v>TOTAL PERSON TRIPS</v>
      </c>
      <c r="R20" s="925" t="s">
        <v>229</v>
      </c>
      <c r="S20" s="329"/>
      <c r="T20" s="330"/>
      <c r="U20" s="2"/>
      <c r="AE20" s="322"/>
      <c r="AF20" s="52">
        <v>1</v>
      </c>
      <c r="AG20" s="52">
        <v>2</v>
      </c>
      <c r="AH20" s="52">
        <v>3</v>
      </c>
      <c r="AI20" s="52">
        <v>4</v>
      </c>
      <c r="AJ20" s="1"/>
      <c r="AK20" s="333" t="s">
        <v>39</v>
      </c>
      <c r="AL20" s="334"/>
      <c r="AM20" s="333"/>
    </row>
    <row r="21" spans="1:39" ht="14.45" customHeight="1" x14ac:dyDescent="0.25">
      <c r="A21" s="1"/>
      <c r="B21" s="926"/>
      <c r="C21" s="927" t="s">
        <v>197</v>
      </c>
      <c r="D21" s="928"/>
      <c r="E21" s="929" t="s">
        <v>198</v>
      </c>
      <c r="F21" s="928"/>
      <c r="G21" s="929" t="s">
        <v>199</v>
      </c>
      <c r="H21" s="928"/>
      <c r="I21" s="930" t="s">
        <v>200</v>
      </c>
      <c r="J21" s="931"/>
      <c r="K21" s="932" t="s">
        <v>201</v>
      </c>
      <c r="L21" s="928"/>
      <c r="M21" s="933" t="s">
        <v>202</v>
      </c>
      <c r="N21" s="931"/>
      <c r="O21" s="338" t="s">
        <v>230</v>
      </c>
      <c r="P21" s="339"/>
      <c r="Q21" s="927" t="s">
        <v>199</v>
      </c>
      <c r="R21" s="934" t="s">
        <v>203</v>
      </c>
      <c r="S21" s="342"/>
      <c r="T21" s="343"/>
      <c r="U21" s="2"/>
      <c r="AE21" s="335"/>
      <c r="AF21" s="1777" t="str">
        <f ca="1">OFFSET($B1,MATCH(AF$20,$A:$A)-1,0)</f>
        <v>Bus</v>
      </c>
      <c r="AG21" s="1777" t="str">
        <f ca="1">OFFSET($B1,MATCH(AG$20,$A:$A)-1,0)</f>
        <v>Pass Train</v>
      </c>
      <c r="AH21" s="1777" t="str">
        <f ca="1">OFFSET($B1,MATCH(AH$20,$A:$A)-1,0)</f>
        <v>Light Rail</v>
      </c>
      <c r="AI21" s="1777" t="str">
        <f ca="1">OFFSET($B1,MATCH(AI$20,$A:$A)-1,0)</f>
        <v>Highway</v>
      </c>
      <c r="AJ21" s="1"/>
      <c r="AK21" s="347" t="s">
        <v>204</v>
      </c>
      <c r="AL21" s="334"/>
      <c r="AM21" s="347"/>
    </row>
    <row r="22" spans="1:39" x14ac:dyDescent="0.25">
      <c r="A22" s="1"/>
      <c r="B22" s="935" t="s">
        <v>34</v>
      </c>
      <c r="C22" s="936"/>
      <c r="D22" s="937"/>
      <c r="E22" s="936"/>
      <c r="F22" s="937"/>
      <c r="G22" s="936"/>
      <c r="H22" s="937"/>
      <c r="I22" s="936"/>
      <c r="J22" s="937"/>
      <c r="K22" s="936"/>
      <c r="L22" s="937"/>
      <c r="M22" s="936"/>
      <c r="N22" s="937"/>
      <c r="O22" s="723"/>
      <c r="P22" s="349"/>
      <c r="Q22" s="938" t="s">
        <v>206</v>
      </c>
      <c r="R22" s="939" t="s">
        <v>231</v>
      </c>
      <c r="S22" s="351" t="s">
        <v>208</v>
      </c>
      <c r="T22" s="347" t="s">
        <v>39</v>
      </c>
      <c r="U22" s="352"/>
      <c r="AE22" s="77" t="s">
        <v>34</v>
      </c>
      <c r="AF22" s="1777"/>
      <c r="AG22" s="1777"/>
      <c r="AH22" s="1777"/>
      <c r="AI22" s="1777"/>
      <c r="AJ22" s="1"/>
      <c r="AK22" s="347" t="s">
        <v>232</v>
      </c>
      <c r="AL22" s="334"/>
      <c r="AM22" s="347" t="s">
        <v>208</v>
      </c>
    </row>
    <row r="23" spans="1:39" x14ac:dyDescent="0.25">
      <c r="A23" s="1"/>
      <c r="B23" s="940"/>
      <c r="C23" s="941" t="s">
        <v>74</v>
      </c>
      <c r="D23" s="942" t="s">
        <v>125</v>
      </c>
      <c r="E23" s="941" t="s">
        <v>74</v>
      </c>
      <c r="F23" s="942" t="s">
        <v>125</v>
      </c>
      <c r="G23" s="941" t="s">
        <v>74</v>
      </c>
      <c r="H23" s="942" t="s">
        <v>125</v>
      </c>
      <c r="I23" s="941" t="s">
        <v>74</v>
      </c>
      <c r="J23" s="942" t="s">
        <v>125</v>
      </c>
      <c r="K23" s="941" t="s">
        <v>74</v>
      </c>
      <c r="L23" s="942" t="s">
        <v>125</v>
      </c>
      <c r="M23" s="936" t="s">
        <v>74</v>
      </c>
      <c r="N23" s="937" t="s">
        <v>125</v>
      </c>
      <c r="O23" s="724" t="s">
        <v>74</v>
      </c>
      <c r="P23" s="357" t="s">
        <v>125</v>
      </c>
      <c r="Q23" s="944" t="s">
        <v>125</v>
      </c>
      <c r="R23" s="943" t="s">
        <v>233</v>
      </c>
      <c r="S23" s="359" t="s">
        <v>48</v>
      </c>
      <c r="T23" s="360" t="s">
        <v>49</v>
      </c>
      <c r="U23" s="352"/>
      <c r="AE23" s="355"/>
      <c r="AF23" s="1784"/>
      <c r="AG23" s="1784"/>
      <c r="AH23" s="1784"/>
      <c r="AI23" s="1784"/>
      <c r="AJ23" s="1"/>
      <c r="AK23" s="360" t="s">
        <v>234</v>
      </c>
      <c r="AL23" s="334"/>
      <c r="AM23" s="360" t="s">
        <v>48</v>
      </c>
    </row>
    <row r="24" spans="1:39" x14ac:dyDescent="0.25">
      <c r="A24" s="1"/>
      <c r="B24" s="363">
        <f>YearFirst</f>
        <v>2026</v>
      </c>
      <c r="C24" s="364">
        <f>SUMIF(INDEX(HwyTransitModelGroup,,1),B18,INDEX(ModelData1NB,,3))*AnnualFactor</f>
        <v>0</v>
      </c>
      <c r="D24" s="365">
        <f>SUMIF(INDEX(HwyTransitModelGroup,,1),B18,INDEX(ModelData1B,,3))*AnnualFactor</f>
        <v>0</v>
      </c>
      <c r="E24" s="980"/>
      <c r="F24" s="981"/>
      <c r="G24" s="364">
        <f>SUMIF(INDEX(HwyTransitModelGroup,,1),B18,INDEX(ModelData1NB,,1))*AnnualFactor</f>
        <v>0</v>
      </c>
      <c r="H24" s="365">
        <f>SUMIF(INDEX(HwyTransitModelGroup,,1),B18,INDEX(ModelData1B,,1))*AnnualFactor</f>
        <v>0</v>
      </c>
      <c r="I24" s="980"/>
      <c r="J24" s="981"/>
      <c r="K24" s="364">
        <f>SUMIF(INDEX(HwyTransitModelGroup,,1),B18,INDEX(ModelData1NB,,5))*AnnualFactor</f>
        <v>0</v>
      </c>
      <c r="L24" s="365">
        <f>SUMIF(INDEX(HwyTransitModelGroup,,1),B18,INDEX(ModelData1B,,5))*AnnualFactor</f>
        <v>0</v>
      </c>
      <c r="M24" s="366">
        <f>IFERROR(IF(B18=Hwy,C24*E24/G24,K24/G24),0)</f>
        <v>0</v>
      </c>
      <c r="N24" s="778">
        <f>IFERROR(IF(B18=Hwy,D24*F24/H24,L24/H24),0)</f>
        <v>0</v>
      </c>
      <c r="O24" s="949">
        <f>IF(E24=0,0,SUMPRODUCT(--(INDEX(HwyTransitModelGroup,,1)=B18),INDEX(ModelData1NB,,6),INDEX(ModelData1NB,,1))/IF(SUMPRODUCT(--(INDEX(HwyTransitModelGroup,,1)=B18),INDEX(ModelData1NB,,1))=0,1,SUMPRODUCT(--(INDEX(HwyTransitModelGroup,,1)=B18),INDEX(ModelData1NB,,1))))</f>
        <v>0</v>
      </c>
      <c r="P24" s="823">
        <f>IF(F24=0,0,SUMPRODUCT(--(INDEX(HwyTransitModelGroup,,1)=B18),INDEX(ModelData1B,,6),INDEX(ModelData1B,,1))/IF(SUMPRODUCT(--(INDEX(HwyTransitModelGroup,,1)=B18),INDEX(ModelData1B,,1))=0,1,SUMPRODUCT(--(INDEX(HwyTransitModelGroup,,1)=B18),INDEX(ModelData1B,,1))))</f>
        <v>0</v>
      </c>
      <c r="Q24" s="945">
        <f>IFERROR($H24-SUMIF('Consumer Surplus'!$C$157:$C$160,B18,'Consumer Surplus'!$G$157:$G$160),0)</f>
        <v>0</v>
      </c>
      <c r="R24" s="951">
        <f>IF(Induced="N",0,(IF(B18=Hwy,M24*(I24*ValTimeTruck+(1-I24)*ValTimeAuto)-N24*(J24*ValTimeTruck+(1-J24)*ValTimeAuto),(IF(INDEX($P$157:$X$160,MATCH(B18,$O$157:$O$160,0),7)&gt;0,INDEX($P$157:$X$160,MATCH(B18,$O$157:$O$160,0),7)/IF(INDEX($P$157:$X$160,MATCH(B18,$O$157:$O$160,0),6)=0,1,INDEX($P$157:$X$160,MATCH(B18,$O$157:$O$160,0),6)),M24)-N24)*ValTimeAuto)+O24-P24)*(H24-Q24)*0.5*(1+TTUprater)^($B24-YearCurrent))</f>
        <v>0</v>
      </c>
      <c r="S24" s="780">
        <f>SUM(R24:R24)</f>
        <v>0</v>
      </c>
      <c r="T24" s="370">
        <f>S24/(1+DiscRate)^(B24-YearCurrent)</f>
        <v>0</v>
      </c>
      <c r="U24" s="371"/>
      <c r="AE24" s="375">
        <f>YearOpen</f>
        <v>2026</v>
      </c>
      <c r="AF24" s="376">
        <f t="shared" ref="AF24:AI43" ca="1" si="0">OFFSET($T9,MATCH(AF$20,$A:$A),0)</f>
        <v>0</v>
      </c>
      <c r="AG24" s="376">
        <f t="shared" ca="1" si="0"/>
        <v>0</v>
      </c>
      <c r="AH24" s="376">
        <f t="shared" ca="1" si="0"/>
        <v>0</v>
      </c>
      <c r="AI24" s="376">
        <f t="shared" ca="1" si="0"/>
        <v>0</v>
      </c>
      <c r="AJ24" s="1"/>
      <c r="AK24" s="370">
        <f t="shared" ref="AK24:AK43" ca="1" si="1">IF(Induced&lt;&gt;"N",SUM(AF24:AI24),0)</f>
        <v>0</v>
      </c>
      <c r="AL24" s="377"/>
      <c r="AM24" s="370">
        <f t="shared" ref="AM24:AM43" ca="1" si="2">$AK24*(1+DiscRate)^($AE24-YearCurrent)</f>
        <v>0</v>
      </c>
    </row>
    <row r="25" spans="1:39" x14ac:dyDescent="0.25">
      <c r="A25" s="1"/>
      <c r="B25" s="379">
        <f>YearLast</f>
        <v>2046</v>
      </c>
      <c r="C25" s="380">
        <f>SUMIF(INDEX(HwyTransitModelGroup,,1),B18,INDEX(ModelData20NB,,3))*AnnualFactor</f>
        <v>0</v>
      </c>
      <c r="D25" s="381">
        <f>SUMIF(INDEX(HwyTransitModelGroup,,1),B18,INDEX(ModelData20B,,3))*AnnualFactor</f>
        <v>0</v>
      </c>
      <c r="E25" s="982"/>
      <c r="F25" s="983"/>
      <c r="G25" s="380">
        <f>SUMIF(INDEX(HwyTransitModelGroup,,1),B18,INDEX(ModelData20NB,,1))*AnnualFactor</f>
        <v>0</v>
      </c>
      <c r="H25" s="381">
        <f>SUMIF(INDEX(HwyTransitModelGroup,,1),B18,INDEX(ModelData20B,,1))*AnnualFactor</f>
        <v>0</v>
      </c>
      <c r="I25" s="982"/>
      <c r="J25" s="983"/>
      <c r="K25" s="380">
        <f>SUMIF(INDEX(HwyTransitModelGroup,,1),B18,INDEX(ModelData20NB,,5))*AnnualFactor</f>
        <v>0</v>
      </c>
      <c r="L25" s="381">
        <f>SUMIF(INDEX(HwyTransitModelGroup,,1),B18,INDEX(ModelData20B,,5))*AnnualFactor</f>
        <v>0</v>
      </c>
      <c r="M25" s="382">
        <f>IFERROR(IF(B18=Hwy,C25*E25/G25,K25/G25),0)</f>
        <v>0</v>
      </c>
      <c r="N25" s="779">
        <f>IFERROR(IF(B18=Hwy,D25*F25/H25,L25/H25),0)</f>
        <v>0</v>
      </c>
      <c r="O25" s="824">
        <f>IF(E25=0,0,SUMPRODUCT(--(INDEX(HwyTransitModelGroup,,1)=B18),INDEX(ModelData20NB,,6),INDEX(ModelData20NB,,1))/IF(SUMPRODUCT(--(INDEX(HwyTransitModelGroup,,1)=B18),INDEX(ModelData20NB,,1))=0,1,SUMPRODUCT(--(INDEX(HwyTransitModelGroup,,1)=B18),INDEX(ModelData20NB,,1))))</f>
        <v>0</v>
      </c>
      <c r="P25" s="825">
        <f>IF(F25=0,0,SUMPRODUCT(--(INDEX(HwyTransitModelGroup,,1)=B18),INDEX(ModelData20B,,6),INDEX(ModelData20B,,1))/IF(SUMPRODUCT(--(INDEX(HwyTransitModelGroup,,1)=B18),INDEX(ModelData20B,,1))=0,1,SUMPRODUCT(--(INDEX(HwyTransitModelGroup,,1)=B18),INDEX(ModelData20B,,1))))</f>
        <v>0</v>
      </c>
      <c r="Q25" s="952">
        <f>IFERROR($H25-SUMIF('Consumer Surplus'!$C$157:$C$160,B18,'Consumer Surplus'!$K$157:$K$160),0)</f>
        <v>0</v>
      </c>
      <c r="R25" s="953">
        <f>IF(Induced="N",0,(IF(B18=Hwy,M25*(I25*ValTimeTruck+(1-I25)*ValTimeAuto)-N25*(J25*ValTimeTruck+(1-J25)*ValTimeAuto),(IF(INDEX($P$157:$X$160,MATCH(B18,$O$157:$O$160,0),9)&gt;0,INDEX($P$157:$X$160,MATCH(B18,$O$157:$O$160,0),9)/IF(INDEX($P$157:$X$160,MATCH(B18,$O$157:$O$160,0),9)=0,1,INDEX($P$157:$X$160,MATCH(B18,$O$157:$O$160,0),8)),M25)-N25)*ValTimeAuto)+O25-P25)*(H25-Q25)*0.5*(1+TTUprater)^($B25-YearCurrent))</f>
        <v>0</v>
      </c>
      <c r="S25" s="780">
        <f>SUM(R25:R25)</f>
        <v>0</v>
      </c>
      <c r="T25" s="370">
        <f>S25/(1+DiscRate)^(B25-YearCurrent)</f>
        <v>0</v>
      </c>
      <c r="U25" s="371"/>
      <c r="AE25" s="375">
        <f t="shared" ref="AE25:AE43" si="3">AE24+1</f>
        <v>2027</v>
      </c>
      <c r="AF25" s="376">
        <f t="shared" ca="1" si="0"/>
        <v>0</v>
      </c>
      <c r="AG25" s="376">
        <f t="shared" ca="1" si="0"/>
        <v>0</v>
      </c>
      <c r="AH25" s="376">
        <f t="shared" ca="1" si="0"/>
        <v>0</v>
      </c>
      <c r="AI25" s="376">
        <f t="shared" ca="1" si="0"/>
        <v>0</v>
      </c>
      <c r="AJ25" s="1"/>
      <c r="AK25" s="370">
        <f t="shared" ca="1" si="1"/>
        <v>0</v>
      </c>
      <c r="AL25" s="377"/>
      <c r="AM25" s="370">
        <f t="shared" ca="1" si="2"/>
        <v>0</v>
      </c>
    </row>
    <row r="26" spans="1:39" x14ac:dyDescent="0.25">
      <c r="A26" s="1"/>
      <c r="B26" s="385"/>
      <c r="C26" s="386"/>
      <c r="D26" s="386"/>
      <c r="E26" s="387"/>
      <c r="F26" s="387"/>
      <c r="G26" s="387"/>
      <c r="H26" s="387"/>
      <c r="I26" s="387"/>
      <c r="J26" s="387"/>
      <c r="K26" s="773"/>
      <c r="L26" s="773"/>
      <c r="M26" s="774"/>
      <c r="N26" s="774"/>
      <c r="O26" s="774"/>
      <c r="P26" s="774"/>
      <c r="Q26" s="774"/>
      <c r="R26" s="374"/>
      <c r="S26" s="388"/>
      <c r="T26" s="389"/>
      <c r="U26" s="390"/>
      <c r="AE26" s="375">
        <f t="shared" si="3"/>
        <v>2028</v>
      </c>
      <c r="AF26" s="376">
        <f t="shared" ca="1" si="0"/>
        <v>0</v>
      </c>
      <c r="AG26" s="376">
        <f t="shared" ca="1" si="0"/>
        <v>0</v>
      </c>
      <c r="AH26" s="376">
        <f t="shared" ca="1" si="0"/>
        <v>0</v>
      </c>
      <c r="AI26" s="376">
        <f t="shared" ca="1" si="0"/>
        <v>0</v>
      </c>
      <c r="AJ26" s="1"/>
      <c r="AK26" s="370">
        <f t="shared" ca="1" si="1"/>
        <v>0</v>
      </c>
      <c r="AL26" s="377"/>
      <c r="AM26" s="370">
        <f t="shared" ca="1" si="2"/>
        <v>0</v>
      </c>
    </row>
    <row r="27" spans="1:39" x14ac:dyDescent="0.25">
      <c r="A27" s="1"/>
      <c r="B27" s="375">
        <f>YearOpen</f>
        <v>2026</v>
      </c>
      <c r="C27" s="393">
        <f>MAX(TREND(C24:C25,B24:B25,B27),0)</f>
        <v>0</v>
      </c>
      <c r="D27" s="394">
        <f>MAX(TREND(D24:D25,B24:B25,B27),0)</f>
        <v>0</v>
      </c>
      <c r="E27" s="984"/>
      <c r="F27" s="985"/>
      <c r="G27" s="393">
        <f>MAX(TREND(G24:G25,$B24:$B25,$B27),0)</f>
        <v>0</v>
      </c>
      <c r="H27" s="394">
        <f>MAX(TREND(H24:H25,$B24:$B25,$B27),0)</f>
        <v>0</v>
      </c>
      <c r="I27" s="984"/>
      <c r="J27" s="985"/>
      <c r="K27" s="393">
        <f>MAX(TREND(K24:K25,B24:B25,B27),0)</f>
        <v>0</v>
      </c>
      <c r="L27" s="394">
        <f>MAX(TREND(L24:L25,B24:B25,B27),0)</f>
        <v>0</v>
      </c>
      <c r="M27" s="395">
        <f>IFERROR(IF(B18=Hwy,C27*E27/G27,K27/G27),0)</f>
        <v>0</v>
      </c>
      <c r="N27" s="396">
        <f>IFERROR(IF(B18=Hwy,D27*F27/H27,L27/H27),0)</f>
        <v>0</v>
      </c>
      <c r="O27" s="395">
        <f>MAX(TREND(O24:O25,$B24:$B25,$B27),0)</f>
        <v>0</v>
      </c>
      <c r="P27" s="396">
        <f>MAX(TREND(P24:P25,$B24:$B25,$B27),0)</f>
        <v>0</v>
      </c>
      <c r="Q27" s="394">
        <f>TREND(Q24:Q25,$B24:$B25,$B27)</f>
        <v>0</v>
      </c>
      <c r="R27" s="801">
        <f>IF(Induced="N",0,(IF(B18=Hwy,M27*(I27*ValTimeTruck+(1-I27)*ValTimeAuto)-N27*(J27*ValTimeTruck+(1-J27)*ValTimeAuto),(IF(INDEX($P$157:$X$160,MATCH(B18,$O$157:$O$160,0),7)&gt;0,INDEX($P$157:$X$160,MATCH(B18,$O$157:$O$160,0),7)/IF(INDEX($P$157:$X$160,MATCH(B18,$O$157:$O$160,0),6)=0,1,INDEX($P$157:$X$160,MATCH(B18,$O$157:$O$160,0),6)),M27)-N27)*ValTimeAuto)+O27-P27)*(H27-Q27)*0.5*(1+TTUprater)^($B27-YearCurrent))</f>
        <v>0</v>
      </c>
      <c r="S27" s="780">
        <f t="shared" ref="S27:S46" si="4">SUM(R27:R27)</f>
        <v>0</v>
      </c>
      <c r="T27" s="370">
        <f t="shared" ref="T27:T46" si="5">S27/(1+DiscRate)^(B27-YearCurrent)</f>
        <v>0</v>
      </c>
      <c r="U27" s="371"/>
      <c r="AE27" s="375">
        <f t="shared" si="3"/>
        <v>2029</v>
      </c>
      <c r="AF27" s="376">
        <f t="shared" ca="1" si="0"/>
        <v>0</v>
      </c>
      <c r="AG27" s="376">
        <f t="shared" ca="1" si="0"/>
        <v>0</v>
      </c>
      <c r="AH27" s="376">
        <f t="shared" ca="1" si="0"/>
        <v>0</v>
      </c>
      <c r="AI27" s="376">
        <f t="shared" ca="1" si="0"/>
        <v>0</v>
      </c>
      <c r="AJ27" s="1"/>
      <c r="AK27" s="370">
        <f t="shared" ca="1" si="1"/>
        <v>0</v>
      </c>
      <c r="AL27" s="377"/>
      <c r="AM27" s="370">
        <f t="shared" ca="1" si="2"/>
        <v>0</v>
      </c>
    </row>
    <row r="28" spans="1:39" x14ac:dyDescent="0.25">
      <c r="A28" s="1"/>
      <c r="B28" s="375">
        <f>B27+1</f>
        <v>2027</v>
      </c>
      <c r="C28" s="401">
        <f>MAX(TREND(C24:C25,B24:B25,B28),0)</f>
        <v>0</v>
      </c>
      <c r="D28" s="402">
        <f>MAX(TREND(D24:D25,B24:B25,B28),0)</f>
        <v>0</v>
      </c>
      <c r="E28" s="986"/>
      <c r="F28" s="987"/>
      <c r="G28" s="401">
        <f>MAX(TREND(G24:G25,$B24:$B25,$B28),0)</f>
        <v>0</v>
      </c>
      <c r="H28" s="402">
        <f>MAX(TREND(H24:H25,$B24:$B25,$B28),0)</f>
        <v>0</v>
      </c>
      <c r="I28" s="986"/>
      <c r="J28" s="987"/>
      <c r="K28" s="401">
        <f>MAX(TREND(K24:K25,B24:B25,B28),0)</f>
        <v>0</v>
      </c>
      <c r="L28" s="402">
        <f>MAX(TREND(L24:L25,B24:B25,B28),0)</f>
        <v>0</v>
      </c>
      <c r="M28" s="403">
        <f>IFERROR(IF(B18=Hwy,C28*E28/G28,K28/G28),0)</f>
        <v>0</v>
      </c>
      <c r="N28" s="404">
        <f>IFERROR(IF(B18=Hwy,D28*F28/H28,L28/H28),0)</f>
        <v>0</v>
      </c>
      <c r="O28" s="403">
        <f>MAX(TREND(O24:O25,$B24:$B25,$B28),0)</f>
        <v>0</v>
      </c>
      <c r="P28" s="404">
        <f>MAX(TREND(P24:P25,$B24:$B25,$B28),0)</f>
        <v>0</v>
      </c>
      <c r="Q28" s="402">
        <f>TREND(Q24:Q25,$B24:$B25,$B28)</f>
        <v>0</v>
      </c>
      <c r="R28" s="802">
        <f>IF(Induced="N",0,(IF(B18=Hwy,M28*(I28*ValTimeTruck+(1-I28)*ValTimeAuto)-N28*(J28*ValTimeTruck+(1-J28)*ValTimeAuto),(IF(INDEX($P$157:$X$160,MATCH(B18,$O$157:$O$160,0),7)&gt;0,INDEX($P$157:$X$160,MATCH(B18,$O$157:$O$160,0),7)/IF(INDEX($P$157:$X$160,MATCH(B18,$O$157:$O$160,0),6)=0,1,INDEX($P$157:$X$160,MATCH(B18,$O$157:$O$160,0),6)),M28)-N28)*ValTimeAuto)+O28-P28)*(H28-Q28)*0.5*(1+TTUprater)^($B28-YearCurrent))</f>
        <v>0</v>
      </c>
      <c r="S28" s="780">
        <f t="shared" si="4"/>
        <v>0</v>
      </c>
      <c r="T28" s="370">
        <f t="shared" si="5"/>
        <v>0</v>
      </c>
      <c r="U28" s="371"/>
      <c r="AE28" s="375">
        <f t="shared" si="3"/>
        <v>2030</v>
      </c>
      <c r="AF28" s="376">
        <f t="shared" ca="1" si="0"/>
        <v>0</v>
      </c>
      <c r="AG28" s="376">
        <f t="shared" ca="1" si="0"/>
        <v>0</v>
      </c>
      <c r="AH28" s="376">
        <f t="shared" ca="1" si="0"/>
        <v>0</v>
      </c>
      <c r="AI28" s="376">
        <f t="shared" ca="1" si="0"/>
        <v>0</v>
      </c>
      <c r="AJ28" s="1"/>
      <c r="AK28" s="370">
        <f t="shared" ca="1" si="1"/>
        <v>0</v>
      </c>
      <c r="AL28" s="377"/>
      <c r="AM28" s="370">
        <f t="shared" ca="1" si="2"/>
        <v>0</v>
      </c>
    </row>
    <row r="29" spans="1:39" x14ac:dyDescent="0.25">
      <c r="A29" s="1"/>
      <c r="B29" s="375">
        <f t="shared" ref="B29:B46" si="6">B28+1</f>
        <v>2028</v>
      </c>
      <c r="C29" s="401">
        <f>MAX(TREND(C24:C25,B24:B25,B29),0)</f>
        <v>0</v>
      </c>
      <c r="D29" s="402">
        <f>MAX(TREND(D24:D25,B24:B25,B29),0)</f>
        <v>0</v>
      </c>
      <c r="E29" s="986"/>
      <c r="F29" s="987"/>
      <c r="G29" s="401">
        <f>MAX(TREND(G24:G25,$B24:$B25,$B29),0)</f>
        <v>0</v>
      </c>
      <c r="H29" s="402">
        <f>MAX(TREND(H24:H25,$B24:$B25,$B29),0)</f>
        <v>0</v>
      </c>
      <c r="I29" s="986"/>
      <c r="J29" s="987"/>
      <c r="K29" s="401">
        <f>MAX(TREND(K24:K25,B24:B25,B29),0)</f>
        <v>0</v>
      </c>
      <c r="L29" s="402">
        <f>MAX(TREND(L24:L25,B24:B25,B29),0)</f>
        <v>0</v>
      </c>
      <c r="M29" s="403">
        <f>IFERROR(IF(B18=Hwy,C29*E29/G29,K29/G29),0)</f>
        <v>0</v>
      </c>
      <c r="N29" s="404">
        <f>IFERROR(IF(B18=Hwy,D29*F29/H29,L29/H29),0)</f>
        <v>0</v>
      </c>
      <c r="O29" s="403">
        <f>MAX(TREND(O24:O25,$B24:$B25,$B29),0)</f>
        <v>0</v>
      </c>
      <c r="P29" s="404">
        <f>MAX(TREND(P24:P25,$B24:$B25,$B29),0)</f>
        <v>0</v>
      </c>
      <c r="Q29" s="402">
        <f>TREND(Q24:Q25,$B24:$B25,$B29)</f>
        <v>0</v>
      </c>
      <c r="R29" s="802">
        <f>IF(Induced="N",0,(IF(B18=Hwy,M29*(I29*ValTimeTruck+(1-I29)*ValTimeAuto)-N29*(J29*ValTimeTruck+(1-J29)*ValTimeAuto),(IF(INDEX($P$157:$X$160,MATCH(B18,$O$157:$O$160,0),7)&gt;0,INDEX($P$157:$X$160,MATCH(B18,$O$157:$O$160,0),7)/IF(INDEX($P$157:$X$160,MATCH(B18,$O$157:$O$160,0),6)=0,1,INDEX($P$157:$X$160,MATCH(B18,$O$157:$O$160,0),6)),M29)-N29)*ValTimeAuto)+O29-P29)*(H29-Q29)*0.5*(1+TTUprater)^($B29-YearCurrent))</f>
        <v>0</v>
      </c>
      <c r="S29" s="780">
        <f t="shared" si="4"/>
        <v>0</v>
      </c>
      <c r="T29" s="370">
        <f t="shared" si="5"/>
        <v>0</v>
      </c>
      <c r="U29" s="371"/>
      <c r="AE29" s="375">
        <f t="shared" si="3"/>
        <v>2031</v>
      </c>
      <c r="AF29" s="376">
        <f t="shared" ca="1" si="0"/>
        <v>0</v>
      </c>
      <c r="AG29" s="376">
        <f t="shared" ca="1" si="0"/>
        <v>0</v>
      </c>
      <c r="AH29" s="376">
        <f t="shared" ca="1" si="0"/>
        <v>0</v>
      </c>
      <c r="AI29" s="376">
        <f t="shared" ca="1" si="0"/>
        <v>0</v>
      </c>
      <c r="AJ29" s="1"/>
      <c r="AK29" s="370">
        <f t="shared" ca="1" si="1"/>
        <v>0</v>
      </c>
      <c r="AL29" s="377"/>
      <c r="AM29" s="370">
        <f t="shared" ca="1" si="2"/>
        <v>0</v>
      </c>
    </row>
    <row r="30" spans="1:39" x14ac:dyDescent="0.25">
      <c r="A30" s="1"/>
      <c r="B30" s="375">
        <f t="shared" si="6"/>
        <v>2029</v>
      </c>
      <c r="C30" s="401">
        <f>MAX(TREND(C24:C25,B24:B25,B30),0)</f>
        <v>0</v>
      </c>
      <c r="D30" s="402">
        <f>MAX(TREND(D24:D25,B24:B25,B30),0)</f>
        <v>0</v>
      </c>
      <c r="E30" s="986"/>
      <c r="F30" s="987"/>
      <c r="G30" s="401">
        <f>MAX(TREND(G24:G25,$B24:$B25,$B30),0)</f>
        <v>0</v>
      </c>
      <c r="H30" s="402">
        <f>MAX(TREND(H24:H25,$B24:$B25,$B30),0)</f>
        <v>0</v>
      </c>
      <c r="I30" s="986"/>
      <c r="J30" s="987"/>
      <c r="K30" s="401">
        <f>MAX(TREND(K24:K25,B24:B25,B30),0)</f>
        <v>0</v>
      </c>
      <c r="L30" s="402">
        <f>MAX(TREND(L24:L25,B24:B25,B30),0)</f>
        <v>0</v>
      </c>
      <c r="M30" s="403">
        <f>IFERROR(IF(B18=Hwy,C30*E30/G30,K30/G30),0)</f>
        <v>0</v>
      </c>
      <c r="N30" s="404">
        <f>IFERROR(IF(B18=Hwy,D30*F30/H30,L30/H30),0)</f>
        <v>0</v>
      </c>
      <c r="O30" s="403">
        <f>MAX(TREND(O24:O25,$B24:$B25,$B30),0)</f>
        <v>0</v>
      </c>
      <c r="P30" s="404">
        <f>MAX(TREND(P24:P25,$B24:$B25,$B30),0)</f>
        <v>0</v>
      </c>
      <c r="Q30" s="402">
        <f>TREND(Q24:Q25,$B24:$B25,$B30)</f>
        <v>0</v>
      </c>
      <c r="R30" s="802">
        <f>IF(Induced="N",0,(IF(B18=Hwy,M30*(I30*ValTimeTruck+(1-I30)*ValTimeAuto)-N30*(J30*ValTimeTruck+(1-J30)*ValTimeAuto),(IF(INDEX($P$157:$X$160,MATCH(B18,$O$157:$O$160,0),7)&gt;0,INDEX($P$157:$X$160,MATCH(B18,$O$157:$O$160,0),7)/IF(INDEX($P$157:$X$160,MATCH(B18,$O$157:$O$160,0),6)=0,1,INDEX($P$157:$X$160,MATCH(B18,$O$157:$O$160,0),6)),M30)-N30)*ValTimeAuto)+O30-P30)*(H30-Q30)*0.5*(1+TTUprater)^($B30-YearCurrent))</f>
        <v>0</v>
      </c>
      <c r="S30" s="780">
        <f t="shared" si="4"/>
        <v>0</v>
      </c>
      <c r="T30" s="370">
        <f t="shared" si="5"/>
        <v>0</v>
      </c>
      <c r="U30" s="371"/>
      <c r="AE30" s="375">
        <f t="shared" si="3"/>
        <v>2032</v>
      </c>
      <c r="AF30" s="376">
        <f t="shared" ca="1" si="0"/>
        <v>0</v>
      </c>
      <c r="AG30" s="376">
        <f t="shared" ca="1" si="0"/>
        <v>0</v>
      </c>
      <c r="AH30" s="376">
        <f t="shared" ca="1" si="0"/>
        <v>0</v>
      </c>
      <c r="AI30" s="376">
        <f t="shared" ca="1" si="0"/>
        <v>0</v>
      </c>
      <c r="AJ30" s="1"/>
      <c r="AK30" s="370">
        <f t="shared" ca="1" si="1"/>
        <v>0</v>
      </c>
      <c r="AL30" s="377"/>
      <c r="AM30" s="370">
        <f t="shared" ca="1" si="2"/>
        <v>0</v>
      </c>
    </row>
    <row r="31" spans="1:39" x14ac:dyDescent="0.25">
      <c r="A31" s="1"/>
      <c r="B31" s="375">
        <f t="shared" si="6"/>
        <v>2030</v>
      </c>
      <c r="C31" s="401">
        <f>MAX(TREND(C24:C25,B24:B25,B31),0)</f>
        <v>0</v>
      </c>
      <c r="D31" s="402">
        <f>MAX(TREND(D24:D25,B24:B25,B31),0)</f>
        <v>0</v>
      </c>
      <c r="E31" s="986"/>
      <c r="F31" s="987"/>
      <c r="G31" s="401">
        <f>MAX(TREND(G24:G25,$B24:$B25,$B31),0)</f>
        <v>0</v>
      </c>
      <c r="H31" s="402">
        <f>MAX(TREND(H24:H25,$B24:$B25,$B31),0)</f>
        <v>0</v>
      </c>
      <c r="I31" s="986"/>
      <c r="J31" s="987"/>
      <c r="K31" s="401">
        <f>MAX(TREND(K24:K25,B24:B25,B31),0)</f>
        <v>0</v>
      </c>
      <c r="L31" s="402">
        <f>MAX(TREND(L24:L25,B24:B25,B31),0)</f>
        <v>0</v>
      </c>
      <c r="M31" s="403">
        <f>IFERROR(IF(B18=Hwy,C31*E31/G31,K31/G31),0)</f>
        <v>0</v>
      </c>
      <c r="N31" s="404">
        <f>IFERROR(IF(B18=Hwy,D31*F31/H31,L31/H31),0)</f>
        <v>0</v>
      </c>
      <c r="O31" s="403">
        <f>MAX(TREND(O24:O25,$B24:$B25,$B31),0)</f>
        <v>0</v>
      </c>
      <c r="P31" s="404">
        <f>MAX(TREND(P24:P25,$B24:$B25,$B31),0)</f>
        <v>0</v>
      </c>
      <c r="Q31" s="402">
        <f>TREND(Q24:Q25,$B24:$B25,$B31)</f>
        <v>0</v>
      </c>
      <c r="R31" s="802">
        <f>IF(Induced="N",0,(IF(B18=Hwy,M31*(I31*ValTimeTruck+(1-I31)*ValTimeAuto)-N31*(J31*ValTimeTruck+(1-J31)*ValTimeAuto),(IF(INDEX($P$157:$X$160,MATCH(B18,$O$157:$O$160,0),7)&gt;0,INDEX($P$157:$X$160,MATCH(B18,$O$157:$O$160,0),7)/IF(INDEX($P$157:$X$160,MATCH(B18,$O$157:$O$160,0),6)=0,1,INDEX($P$157:$X$160,MATCH(B18,$O$157:$O$160,0),6)),M31)-N31)*ValTimeAuto)+O31-P31)*(H31-Q31)*0.5*(1+TTUprater)^($B31-YearCurrent))</f>
        <v>0</v>
      </c>
      <c r="S31" s="780">
        <f t="shared" si="4"/>
        <v>0</v>
      </c>
      <c r="T31" s="370">
        <f t="shared" si="5"/>
        <v>0</v>
      </c>
      <c r="U31" s="371"/>
      <c r="AE31" s="375">
        <f t="shared" si="3"/>
        <v>2033</v>
      </c>
      <c r="AF31" s="376">
        <f t="shared" ca="1" si="0"/>
        <v>0</v>
      </c>
      <c r="AG31" s="376">
        <f t="shared" ca="1" si="0"/>
        <v>0</v>
      </c>
      <c r="AH31" s="376">
        <f t="shared" ca="1" si="0"/>
        <v>0</v>
      </c>
      <c r="AI31" s="376">
        <f t="shared" ca="1" si="0"/>
        <v>0</v>
      </c>
      <c r="AJ31" s="1"/>
      <c r="AK31" s="370">
        <f t="shared" ca="1" si="1"/>
        <v>0</v>
      </c>
      <c r="AL31" s="377"/>
      <c r="AM31" s="370">
        <f t="shared" ca="1" si="2"/>
        <v>0</v>
      </c>
    </row>
    <row r="32" spans="1:39" x14ac:dyDescent="0.25">
      <c r="A32" s="1"/>
      <c r="B32" s="375">
        <f t="shared" si="6"/>
        <v>2031</v>
      </c>
      <c r="C32" s="401">
        <f>MAX(TREND(C24:C25,B24:B25,B32),0)</f>
        <v>0</v>
      </c>
      <c r="D32" s="402">
        <f>MAX(TREND(D24:D25,B24:B25,B32),0)</f>
        <v>0</v>
      </c>
      <c r="E32" s="986"/>
      <c r="F32" s="987"/>
      <c r="G32" s="401">
        <f>MAX(TREND(G24:G25,$B24:$B25,$B32),0)</f>
        <v>0</v>
      </c>
      <c r="H32" s="402">
        <f>MAX(TREND(H24:H25,$B24:$B25,$B32),0)</f>
        <v>0</v>
      </c>
      <c r="I32" s="986"/>
      <c r="J32" s="987"/>
      <c r="K32" s="401">
        <f>MAX(TREND(K24:K25,B24:B25,B32),0)</f>
        <v>0</v>
      </c>
      <c r="L32" s="402">
        <f>MAX(TREND(L24:L25,B24:B25,B32),0)</f>
        <v>0</v>
      </c>
      <c r="M32" s="403">
        <f>IFERROR(IF(B18=Hwy,C32*E32/G32,K32/G32),0)</f>
        <v>0</v>
      </c>
      <c r="N32" s="404">
        <f>IFERROR(IF(B18=Hwy,D32*F32/H32,L32/H32),0)</f>
        <v>0</v>
      </c>
      <c r="O32" s="403">
        <f>MAX(TREND(O24:O25,$B24:$B25,$B32),0)</f>
        <v>0</v>
      </c>
      <c r="P32" s="404">
        <f>MAX(TREND(P24:P25,$B24:$B25,$B32),0)</f>
        <v>0</v>
      </c>
      <c r="Q32" s="402">
        <f>TREND(Q24:Q25,$B24:$B25,$B32)</f>
        <v>0</v>
      </c>
      <c r="R32" s="802">
        <f>IF(Induced="N",0,(IF(B18=Hwy,M32*(I32*ValTimeTruck+(1-I32)*ValTimeAuto)-N32*(J32*ValTimeTruck+(1-J32)*ValTimeAuto),(IF(INDEX($P$157:$X$160,MATCH(B18,$O$157:$O$160,0),7)&gt;0,INDEX($P$157:$X$160,MATCH(B18,$O$157:$O$160,0),7)/IF(INDEX($P$157:$X$160,MATCH(B18,$O$157:$O$160,0),6)=0,1,INDEX($P$157:$X$160,MATCH(B18,$O$157:$O$160,0),6)),M32)-N32)*ValTimeAuto)+O32-P32)*(H32-Q32)*0.5*(1+TTUprater)^($B32-YearCurrent))</f>
        <v>0</v>
      </c>
      <c r="S32" s="780">
        <f t="shared" si="4"/>
        <v>0</v>
      </c>
      <c r="T32" s="370">
        <f t="shared" si="5"/>
        <v>0</v>
      </c>
      <c r="U32" s="371"/>
      <c r="AE32" s="375">
        <f t="shared" si="3"/>
        <v>2034</v>
      </c>
      <c r="AF32" s="376">
        <f t="shared" ca="1" si="0"/>
        <v>0</v>
      </c>
      <c r="AG32" s="376">
        <f t="shared" ca="1" si="0"/>
        <v>0</v>
      </c>
      <c r="AH32" s="376">
        <f t="shared" ca="1" si="0"/>
        <v>0</v>
      </c>
      <c r="AI32" s="376">
        <f t="shared" ca="1" si="0"/>
        <v>0</v>
      </c>
      <c r="AJ32" s="1"/>
      <c r="AK32" s="370">
        <f t="shared" ca="1" si="1"/>
        <v>0</v>
      </c>
      <c r="AL32" s="377"/>
      <c r="AM32" s="370">
        <f t="shared" ca="1" si="2"/>
        <v>0</v>
      </c>
    </row>
    <row r="33" spans="1:39" x14ac:dyDescent="0.25">
      <c r="A33" s="1"/>
      <c r="B33" s="375">
        <f t="shared" si="6"/>
        <v>2032</v>
      </c>
      <c r="C33" s="401">
        <f>MAX(TREND(C24:C25,B24:B25,B33),0)</f>
        <v>0</v>
      </c>
      <c r="D33" s="402">
        <f>MAX(TREND(D24:D25,B24:B25,B33),0)</f>
        <v>0</v>
      </c>
      <c r="E33" s="986"/>
      <c r="F33" s="987"/>
      <c r="G33" s="401">
        <f>MAX(TREND(G24:G25,$B24:$B25,$B33),0)</f>
        <v>0</v>
      </c>
      <c r="H33" s="402">
        <f>MAX(TREND(H24:H25,$B24:$B25,$B33),0)</f>
        <v>0</v>
      </c>
      <c r="I33" s="986"/>
      <c r="J33" s="987"/>
      <c r="K33" s="401">
        <f>MAX(TREND(K24:K25,B24:B25,B33),0)</f>
        <v>0</v>
      </c>
      <c r="L33" s="402">
        <f>MAX(TREND(L24:L25,B24:B25,B33),0)</f>
        <v>0</v>
      </c>
      <c r="M33" s="403">
        <f>IFERROR(IF(B18=Hwy,C33*E33/G33,K33/G33),0)</f>
        <v>0</v>
      </c>
      <c r="N33" s="404">
        <f>IFERROR(IF(B18=Hwy,D33*F33/H33,L33/H33),0)</f>
        <v>0</v>
      </c>
      <c r="O33" s="403">
        <f>MAX(TREND(O24:O25,$B24:$B25,$B33),0)</f>
        <v>0</v>
      </c>
      <c r="P33" s="404">
        <f>MAX(TREND(P24:P25,$B24:$B25,$B33),0)</f>
        <v>0</v>
      </c>
      <c r="Q33" s="402">
        <f>TREND(Q24:Q25,$B24:$B25,$B33)</f>
        <v>0</v>
      </c>
      <c r="R33" s="802">
        <f>IF(Induced="N",0,(IF(B18=Hwy,M33*(I33*ValTimeTruck+(1-I33)*ValTimeAuto)-N33*(J33*ValTimeTruck+(1-J33)*ValTimeAuto),(IF(INDEX($P$157:$X$160,MATCH(B18,$O$157:$O$160,0),7)&gt;0,INDEX($P$157:$X$160,MATCH(B18,$O$157:$O$160,0),7)/IF(INDEX($P$157:$X$160,MATCH(B18,$O$157:$O$160,0),6)=0,1,INDEX($P$157:$X$160,MATCH(B18,$O$157:$O$160,0),6)),M33)-N33)*ValTimeAuto)+O33-P33)*(H33-Q33)*0.5*(1+TTUprater)^($B33-YearCurrent))</f>
        <v>0</v>
      </c>
      <c r="S33" s="780">
        <f t="shared" si="4"/>
        <v>0</v>
      </c>
      <c r="T33" s="370">
        <f t="shared" si="5"/>
        <v>0</v>
      </c>
      <c r="U33" s="371"/>
      <c r="AE33" s="375">
        <f t="shared" si="3"/>
        <v>2035</v>
      </c>
      <c r="AF33" s="376">
        <f t="shared" ca="1" si="0"/>
        <v>0</v>
      </c>
      <c r="AG33" s="376">
        <f t="shared" ca="1" si="0"/>
        <v>0</v>
      </c>
      <c r="AH33" s="376">
        <f t="shared" ca="1" si="0"/>
        <v>0</v>
      </c>
      <c r="AI33" s="376">
        <f t="shared" ca="1" si="0"/>
        <v>0</v>
      </c>
      <c r="AJ33" s="1"/>
      <c r="AK33" s="370">
        <f t="shared" ca="1" si="1"/>
        <v>0</v>
      </c>
      <c r="AL33" s="377"/>
      <c r="AM33" s="370">
        <f t="shared" ca="1" si="2"/>
        <v>0</v>
      </c>
    </row>
    <row r="34" spans="1:39" x14ac:dyDescent="0.25">
      <c r="A34" s="1"/>
      <c r="B34" s="375">
        <f t="shared" si="6"/>
        <v>2033</v>
      </c>
      <c r="C34" s="401">
        <f>MAX(TREND(C24:C25,B24:B25,B34),0)</f>
        <v>0</v>
      </c>
      <c r="D34" s="402">
        <f>MAX(TREND(D24:D25,B24:B25,B34),0)</f>
        <v>0</v>
      </c>
      <c r="E34" s="986"/>
      <c r="F34" s="987"/>
      <c r="G34" s="401">
        <f>MAX(TREND(G24:G25,$B24:$B25,$B34),0)</f>
        <v>0</v>
      </c>
      <c r="H34" s="402">
        <f>MAX(TREND(H24:H25,$B24:$B25,$B34),0)</f>
        <v>0</v>
      </c>
      <c r="I34" s="986"/>
      <c r="J34" s="987"/>
      <c r="K34" s="401">
        <f>MAX(TREND(K24:K25,B24:B25,B34),0)</f>
        <v>0</v>
      </c>
      <c r="L34" s="402">
        <f>MAX(TREND(L24:L25,B24:B25,B34),0)</f>
        <v>0</v>
      </c>
      <c r="M34" s="403">
        <f>IFERROR(IF(B18=Hwy,C34*E34/G34,K34/G34),0)</f>
        <v>0</v>
      </c>
      <c r="N34" s="404">
        <f>IFERROR(IF(B18=Hwy,D34*F34/H34,L34/H34),0)</f>
        <v>0</v>
      </c>
      <c r="O34" s="403">
        <f>MAX(TREND(O24:O25,$B24:$B25,$B34),0)</f>
        <v>0</v>
      </c>
      <c r="P34" s="404">
        <f>MAX(TREND(P24:P25,$B24:$B25,$B34),0)</f>
        <v>0</v>
      </c>
      <c r="Q34" s="402">
        <f>TREND(Q24:Q25,$B24:$B25,$B34)</f>
        <v>0</v>
      </c>
      <c r="R34" s="802">
        <f>IF(Induced="N",0,(IF(B18=Hwy,M34*(I34*ValTimeTruck+(1-I34)*ValTimeAuto)-N34*(J34*ValTimeTruck+(1-J34)*ValTimeAuto),(IF(INDEX($P$157:$X$160,MATCH(B18,$O$157:$O$160,0),7)&gt;0,INDEX($P$157:$X$160,MATCH(B18,$O$157:$O$160,0),7)/IF(INDEX($P$157:$X$160,MATCH(B18,$O$157:$O$160,0),6)=0,1,INDEX($P$157:$X$160,MATCH(B18,$O$157:$O$160,0),6)),M34)-N34)*ValTimeAuto)+O34-P34)*(H34-Q34)*0.5*(1+TTUprater)^($B34-YearCurrent))</f>
        <v>0</v>
      </c>
      <c r="S34" s="780">
        <f t="shared" si="4"/>
        <v>0</v>
      </c>
      <c r="T34" s="370">
        <f t="shared" si="5"/>
        <v>0</v>
      </c>
      <c r="U34" s="371"/>
      <c r="AE34" s="375">
        <f t="shared" si="3"/>
        <v>2036</v>
      </c>
      <c r="AF34" s="376">
        <f t="shared" ca="1" si="0"/>
        <v>0</v>
      </c>
      <c r="AG34" s="376">
        <f t="shared" ca="1" si="0"/>
        <v>0</v>
      </c>
      <c r="AH34" s="376">
        <f t="shared" ca="1" si="0"/>
        <v>0</v>
      </c>
      <c r="AI34" s="376">
        <f t="shared" ca="1" si="0"/>
        <v>0</v>
      </c>
      <c r="AJ34" s="1"/>
      <c r="AK34" s="370">
        <f t="shared" ca="1" si="1"/>
        <v>0</v>
      </c>
      <c r="AL34" s="377"/>
      <c r="AM34" s="370">
        <f t="shared" ca="1" si="2"/>
        <v>0</v>
      </c>
    </row>
    <row r="35" spans="1:39" x14ac:dyDescent="0.25">
      <c r="A35" s="1"/>
      <c r="B35" s="375">
        <f t="shared" si="6"/>
        <v>2034</v>
      </c>
      <c r="C35" s="401">
        <f>MAX(TREND(C24:C25,B24:B25,B35),0)</f>
        <v>0</v>
      </c>
      <c r="D35" s="402">
        <f>MAX(TREND(D24:D25,B24:B25,B35),0)</f>
        <v>0</v>
      </c>
      <c r="E35" s="986"/>
      <c r="F35" s="987"/>
      <c r="G35" s="401">
        <f>MAX(TREND(G24:G25,$B24:$B25,$B35),0)</f>
        <v>0</v>
      </c>
      <c r="H35" s="402">
        <f>MAX(TREND(H24:H25,$B24:$B25,$B35),0)</f>
        <v>0</v>
      </c>
      <c r="I35" s="986"/>
      <c r="J35" s="987"/>
      <c r="K35" s="401">
        <f>MAX(TREND(K24:K25,B24:B25,B35),0)</f>
        <v>0</v>
      </c>
      <c r="L35" s="402">
        <f>MAX(TREND(L24:L25,B24:B25,B35),0)</f>
        <v>0</v>
      </c>
      <c r="M35" s="403">
        <f>IFERROR(IF(B18=Hwy,C35*E35/G35,K35/G35),0)</f>
        <v>0</v>
      </c>
      <c r="N35" s="404">
        <f>IFERROR(IF(B18=Hwy,D35*F35/H35,L35/H35),0)</f>
        <v>0</v>
      </c>
      <c r="O35" s="403">
        <f>MAX(TREND(O24:O25,$B24:$B25,$B35),0)</f>
        <v>0</v>
      </c>
      <c r="P35" s="404">
        <f>MAX(TREND(P24:P25,$B24:$B25,$B35),0)</f>
        <v>0</v>
      </c>
      <c r="Q35" s="402">
        <f>TREND(Q24:Q25,$B24:$B25,$B35)</f>
        <v>0</v>
      </c>
      <c r="R35" s="802">
        <f>IF(Induced="N",0,(IF(B18=Hwy,M35*(I35*ValTimeTruck+(1-I35)*ValTimeAuto)-N35*(J35*ValTimeTruck+(1-J35)*ValTimeAuto),(IF(INDEX($P$157:$X$160,MATCH(B18,$O$157:$O$160,0),7)&gt;0,INDEX($P$157:$X$160,MATCH(B18,$O$157:$O$160,0),7)/IF(INDEX($P$157:$X$160,MATCH(B18,$O$157:$O$160,0),6)=0,1,INDEX($P$157:$X$160,MATCH(B18,$O$157:$O$160,0),6)),M35)-N35)*ValTimeAuto)+O35-P35)*(H35-Q35)*0.5*(1+TTUprater)^($B35-YearCurrent))</f>
        <v>0</v>
      </c>
      <c r="S35" s="780">
        <f t="shared" si="4"/>
        <v>0</v>
      </c>
      <c r="T35" s="370">
        <f t="shared" si="5"/>
        <v>0</v>
      </c>
      <c r="U35" s="371"/>
      <c r="AE35" s="375">
        <f t="shared" si="3"/>
        <v>2037</v>
      </c>
      <c r="AF35" s="376">
        <f t="shared" ca="1" si="0"/>
        <v>0</v>
      </c>
      <c r="AG35" s="376">
        <f t="shared" ca="1" si="0"/>
        <v>0</v>
      </c>
      <c r="AH35" s="376">
        <f t="shared" ca="1" si="0"/>
        <v>0</v>
      </c>
      <c r="AI35" s="376">
        <f t="shared" ca="1" si="0"/>
        <v>0</v>
      </c>
      <c r="AJ35" s="1"/>
      <c r="AK35" s="370">
        <f t="shared" ca="1" si="1"/>
        <v>0</v>
      </c>
      <c r="AL35" s="377"/>
      <c r="AM35" s="370">
        <f t="shared" ca="1" si="2"/>
        <v>0</v>
      </c>
    </row>
    <row r="36" spans="1:39" x14ac:dyDescent="0.25">
      <c r="A36" s="1"/>
      <c r="B36" s="375">
        <f t="shared" si="6"/>
        <v>2035</v>
      </c>
      <c r="C36" s="401">
        <f>MAX(TREND(C24:C25,B24:B25,B36),0)</f>
        <v>0</v>
      </c>
      <c r="D36" s="402">
        <f>MAX(TREND(D24:D25,B24:B25,B36),0)</f>
        <v>0</v>
      </c>
      <c r="E36" s="986"/>
      <c r="F36" s="987"/>
      <c r="G36" s="401">
        <f>MAX(TREND(G24:G25,$B24:$B25,$B36),0)</f>
        <v>0</v>
      </c>
      <c r="H36" s="402">
        <f>MAX(TREND(H24:H25,$B24:$B25,$B36),0)</f>
        <v>0</v>
      </c>
      <c r="I36" s="986"/>
      <c r="J36" s="987"/>
      <c r="K36" s="401">
        <f>MAX(TREND(K24:K25,B24:B25,B36),0)</f>
        <v>0</v>
      </c>
      <c r="L36" s="402">
        <f>MAX(TREND(L24:L25,B24:B25,B36),0)</f>
        <v>0</v>
      </c>
      <c r="M36" s="403">
        <f>IFERROR(IF(B18=Hwy,C36*E36/G36,K36/G36),0)</f>
        <v>0</v>
      </c>
      <c r="N36" s="404">
        <f>IFERROR(IF(B18=Hwy,D36*F36/H36,L36/H36),0)</f>
        <v>0</v>
      </c>
      <c r="O36" s="403">
        <f>MAX(TREND(O24:O25,$B24:$B25,$B36),0)</f>
        <v>0</v>
      </c>
      <c r="P36" s="404">
        <f>MAX(TREND(P24:P25,$B24:$B25,$B36),0)</f>
        <v>0</v>
      </c>
      <c r="Q36" s="402">
        <f>TREND(Q24:Q25,$B24:$B25,$B36)</f>
        <v>0</v>
      </c>
      <c r="R36" s="802">
        <f>IF(Induced="N",0,(IF(B18=Hwy,M36*(I36*ValTimeTruck+(1-I36)*ValTimeAuto)-N36*(J36*ValTimeTruck+(1-J36)*ValTimeAuto),(IF(INDEX($P$157:$X$160,MATCH(B18,$O$157:$O$160,0),7)&gt;0,INDEX($P$157:$X$160,MATCH(B18,$O$157:$O$160,0),7)/IF(INDEX($P$157:$X$160,MATCH(B18,$O$157:$O$160,0),6)=0,1,INDEX($P$157:$X$160,MATCH(B18,$O$157:$O$160,0),6)),M36)-N36)*ValTimeAuto)+O36-P36)*(H36-Q36)*0.5*(1+TTUprater)^($B36-YearCurrent))</f>
        <v>0</v>
      </c>
      <c r="S36" s="780">
        <f t="shared" si="4"/>
        <v>0</v>
      </c>
      <c r="T36" s="370">
        <f t="shared" si="5"/>
        <v>0</v>
      </c>
      <c r="U36" s="371"/>
      <c r="AE36" s="375">
        <f t="shared" si="3"/>
        <v>2038</v>
      </c>
      <c r="AF36" s="376">
        <f t="shared" ca="1" si="0"/>
        <v>0</v>
      </c>
      <c r="AG36" s="376">
        <f t="shared" ca="1" si="0"/>
        <v>0</v>
      </c>
      <c r="AH36" s="376">
        <f t="shared" ca="1" si="0"/>
        <v>0</v>
      </c>
      <c r="AI36" s="376">
        <f t="shared" ca="1" si="0"/>
        <v>0</v>
      </c>
      <c r="AJ36" s="1"/>
      <c r="AK36" s="370">
        <f t="shared" ca="1" si="1"/>
        <v>0</v>
      </c>
      <c r="AL36" s="377"/>
      <c r="AM36" s="370">
        <f t="shared" ca="1" si="2"/>
        <v>0</v>
      </c>
    </row>
    <row r="37" spans="1:39" x14ac:dyDescent="0.25">
      <c r="A37" s="1"/>
      <c r="B37" s="375">
        <f t="shared" si="6"/>
        <v>2036</v>
      </c>
      <c r="C37" s="401">
        <f>MAX(TREND(C24:C25,B24:B25,B37),0)</f>
        <v>0</v>
      </c>
      <c r="D37" s="402">
        <f>MAX(TREND(D24:D25,B24:B25,B37),0)</f>
        <v>0</v>
      </c>
      <c r="E37" s="986"/>
      <c r="F37" s="987"/>
      <c r="G37" s="401">
        <f>MAX(TREND(G24:G25,$B24:$B25,$B37),0)</f>
        <v>0</v>
      </c>
      <c r="H37" s="402">
        <f>MAX(TREND(H24:H25,$B24:$B25,$B37),0)</f>
        <v>0</v>
      </c>
      <c r="I37" s="986"/>
      <c r="J37" s="987"/>
      <c r="K37" s="401">
        <f>MAX(TREND(K24:K25,B24:B25,B37),0)</f>
        <v>0</v>
      </c>
      <c r="L37" s="402">
        <f>MAX(TREND(L24:L25,B24:B25,B37),0)</f>
        <v>0</v>
      </c>
      <c r="M37" s="403">
        <f>IFERROR(IF(B18=Hwy,C37*E37/G37,K37/G37),0)</f>
        <v>0</v>
      </c>
      <c r="N37" s="404">
        <f>IFERROR(IF(B18=Hwy,D37*F37/H37,L37/H37),0)</f>
        <v>0</v>
      </c>
      <c r="O37" s="403">
        <f>MAX(TREND(O24:O25,$B24:$B25,$B37),0)</f>
        <v>0</v>
      </c>
      <c r="P37" s="404">
        <f>MAX(TREND(P24:P25,$B24:$B25,$B37),0)</f>
        <v>0</v>
      </c>
      <c r="Q37" s="402">
        <f>TREND(Q24:Q25,$B24:$B25,$B37)</f>
        <v>0</v>
      </c>
      <c r="R37" s="802">
        <f>IF(Induced="N",0,(IF(B18=Hwy,M37*(I37*ValTimeTruck+(1-I37)*ValTimeAuto)-N37*(J37*ValTimeTruck+(1-J37)*ValTimeAuto),(IF(INDEX($P$157:$X$160,MATCH(B18,$O$157:$O$160,0),7)&gt;0,INDEX($P$157:$X$160,MATCH(B18,$O$157:$O$160,0),7)/IF(INDEX($P$157:$X$160,MATCH(B18,$O$157:$O$160,0),6)=0,1,INDEX($P$157:$X$160,MATCH(B18,$O$157:$O$160,0),6)),M37)-N37)*ValTimeAuto)+O37-P37)*(H37-Q37)*0.5*(1+TTUprater)^($B37-YearCurrent))</f>
        <v>0</v>
      </c>
      <c r="S37" s="780">
        <f t="shared" si="4"/>
        <v>0</v>
      </c>
      <c r="T37" s="370">
        <f t="shared" si="5"/>
        <v>0</v>
      </c>
      <c r="U37" s="371"/>
      <c r="AE37" s="375">
        <f t="shared" si="3"/>
        <v>2039</v>
      </c>
      <c r="AF37" s="376">
        <f t="shared" ca="1" si="0"/>
        <v>0</v>
      </c>
      <c r="AG37" s="376">
        <f t="shared" ca="1" si="0"/>
        <v>0</v>
      </c>
      <c r="AH37" s="376">
        <f t="shared" ca="1" si="0"/>
        <v>0</v>
      </c>
      <c r="AI37" s="376">
        <f t="shared" ca="1" si="0"/>
        <v>0</v>
      </c>
      <c r="AJ37" s="1"/>
      <c r="AK37" s="370">
        <f t="shared" ca="1" si="1"/>
        <v>0</v>
      </c>
      <c r="AL37" s="377"/>
      <c r="AM37" s="370">
        <f t="shared" ca="1" si="2"/>
        <v>0</v>
      </c>
    </row>
    <row r="38" spans="1:39" x14ac:dyDescent="0.25">
      <c r="A38" s="1"/>
      <c r="B38" s="375">
        <f t="shared" si="6"/>
        <v>2037</v>
      </c>
      <c r="C38" s="401">
        <f>MAX(TREND(C24:C25,B24:B25,B38),0)</f>
        <v>0</v>
      </c>
      <c r="D38" s="402">
        <f>MAX(TREND(D24:D25,B24:B25,B38),0)</f>
        <v>0</v>
      </c>
      <c r="E38" s="986"/>
      <c r="F38" s="987"/>
      <c r="G38" s="401">
        <f>MAX(TREND(G24:G25,$B24:$B25,$B38),0)</f>
        <v>0</v>
      </c>
      <c r="H38" s="402">
        <f>MAX(TREND(H24:H25,$B24:$B25,$B38),0)</f>
        <v>0</v>
      </c>
      <c r="I38" s="986"/>
      <c r="J38" s="987"/>
      <c r="K38" s="401">
        <f>MAX(TREND(K24:K25,B24:B25,B38),0)</f>
        <v>0</v>
      </c>
      <c r="L38" s="402">
        <f>MAX(TREND(L24:L25,B24:B25,B38),0)</f>
        <v>0</v>
      </c>
      <c r="M38" s="403">
        <f>IFERROR(IF(B18=Hwy,C38*E38/G38,K38/G38),0)</f>
        <v>0</v>
      </c>
      <c r="N38" s="404">
        <f>IFERROR(IF(B18=Hwy,D38*F38/H38,L38/H38),0)</f>
        <v>0</v>
      </c>
      <c r="O38" s="403">
        <f>MAX(TREND(O24:O25,$B24:$B25,$B38),0)</f>
        <v>0</v>
      </c>
      <c r="P38" s="404">
        <f>MAX(TREND(P24:P25,$B24:$B25,$B38),0)</f>
        <v>0</v>
      </c>
      <c r="Q38" s="402">
        <f>TREND(Q24:Q25,$B24:$B25,$B38)</f>
        <v>0</v>
      </c>
      <c r="R38" s="802">
        <f>IF(Induced="N",0,(IF(B18=Hwy,M38*(I38*ValTimeTruck+(1-I38)*ValTimeAuto)-N38*(J38*ValTimeTruck+(1-J38)*ValTimeAuto),(IF(INDEX($P$157:$X$160,MATCH(B18,$O$157:$O$160,0),7)&gt;0,INDEX($P$157:$X$160,MATCH(B18,$O$157:$O$160,0),7)/IF(INDEX($P$157:$X$160,MATCH(B18,$O$157:$O$160,0),6)=0,1,INDEX($P$157:$X$160,MATCH(B18,$O$157:$O$160,0),6)),M38)-N38)*ValTimeAuto)+O38-P38)*(H38-Q38)*0.5*(1+TTUprater)^($B38-YearCurrent))</f>
        <v>0</v>
      </c>
      <c r="S38" s="780">
        <f t="shared" si="4"/>
        <v>0</v>
      </c>
      <c r="T38" s="370">
        <f t="shared" si="5"/>
        <v>0</v>
      </c>
      <c r="U38" s="371"/>
      <c r="AE38" s="375">
        <f t="shared" si="3"/>
        <v>2040</v>
      </c>
      <c r="AF38" s="376">
        <f t="shared" ca="1" si="0"/>
        <v>0</v>
      </c>
      <c r="AG38" s="376">
        <f t="shared" ca="1" si="0"/>
        <v>0</v>
      </c>
      <c r="AH38" s="376">
        <f t="shared" ca="1" si="0"/>
        <v>0</v>
      </c>
      <c r="AI38" s="376">
        <f t="shared" ca="1" si="0"/>
        <v>0</v>
      </c>
      <c r="AJ38" s="1"/>
      <c r="AK38" s="370">
        <f t="shared" ca="1" si="1"/>
        <v>0</v>
      </c>
      <c r="AL38" s="377"/>
      <c r="AM38" s="370">
        <f t="shared" ca="1" si="2"/>
        <v>0</v>
      </c>
    </row>
    <row r="39" spans="1:39" x14ac:dyDescent="0.25">
      <c r="A39" s="1"/>
      <c r="B39" s="375">
        <f t="shared" si="6"/>
        <v>2038</v>
      </c>
      <c r="C39" s="401">
        <f>MAX(TREND(C24:C25,B24:B25,B39),0)</f>
        <v>0</v>
      </c>
      <c r="D39" s="402">
        <f>MAX(TREND(D24:D25,B24:B25,B39),0)</f>
        <v>0</v>
      </c>
      <c r="E39" s="986"/>
      <c r="F39" s="987"/>
      <c r="G39" s="401">
        <f>MAX(TREND(G24:G25,$B24:$B25,$B39),0)</f>
        <v>0</v>
      </c>
      <c r="H39" s="402">
        <f>MAX(TREND(H24:H25,$B24:$B25,$B39),0)</f>
        <v>0</v>
      </c>
      <c r="I39" s="986"/>
      <c r="J39" s="987"/>
      <c r="K39" s="401">
        <f>MAX(TREND(K24:K25,B24:B25,B39),0)</f>
        <v>0</v>
      </c>
      <c r="L39" s="402">
        <f>MAX(TREND(L24:L25,B24:B25,B39),0)</f>
        <v>0</v>
      </c>
      <c r="M39" s="403">
        <f>IFERROR(IF(B18=Hwy,C39*E39/G39,K39/G39),0)</f>
        <v>0</v>
      </c>
      <c r="N39" s="404">
        <f>IFERROR(IF(B18=Hwy,D39*F39/H39,L39/H39),0)</f>
        <v>0</v>
      </c>
      <c r="O39" s="403">
        <f>MAX(TREND(O24:O25,$B24:$B25,$B39),0)</f>
        <v>0</v>
      </c>
      <c r="P39" s="404">
        <f>MAX(TREND(P24:P25,$B24:$B25,$B39),0)</f>
        <v>0</v>
      </c>
      <c r="Q39" s="402">
        <f>TREND(Q24:Q25,$B24:$B25,$B39)</f>
        <v>0</v>
      </c>
      <c r="R39" s="802">
        <f>IF(Induced="N",0,(IF(B18=Hwy,M39*(I39*ValTimeTruck+(1-I39)*ValTimeAuto)-N39*(J39*ValTimeTruck+(1-J39)*ValTimeAuto),(IF(INDEX($P$157:$X$160,MATCH(B18,$O$157:$O$160,0),7)&gt;0,INDEX($P$157:$X$160,MATCH(B18,$O$157:$O$160,0),7)/IF(INDEX($P$157:$X$160,MATCH(B18,$O$157:$O$160,0),6)=0,1,INDEX($P$157:$X$160,MATCH(B18,$O$157:$O$160,0),6)),M39)-N39)*ValTimeAuto)+O39-P39)*(H39-Q39)*0.5*(1+TTUprater)^($B39-YearCurrent))</f>
        <v>0</v>
      </c>
      <c r="S39" s="780">
        <f t="shared" si="4"/>
        <v>0</v>
      </c>
      <c r="T39" s="370">
        <f t="shared" si="5"/>
        <v>0</v>
      </c>
      <c r="U39" s="371"/>
      <c r="AE39" s="375">
        <f t="shared" si="3"/>
        <v>2041</v>
      </c>
      <c r="AF39" s="376">
        <f t="shared" ca="1" si="0"/>
        <v>0</v>
      </c>
      <c r="AG39" s="376">
        <f t="shared" ca="1" si="0"/>
        <v>0</v>
      </c>
      <c r="AH39" s="376">
        <f t="shared" ca="1" si="0"/>
        <v>0</v>
      </c>
      <c r="AI39" s="376">
        <f t="shared" ca="1" si="0"/>
        <v>0</v>
      </c>
      <c r="AJ39" s="1"/>
      <c r="AK39" s="370">
        <f t="shared" ca="1" si="1"/>
        <v>0</v>
      </c>
      <c r="AL39" s="377"/>
      <c r="AM39" s="370">
        <f t="shared" ca="1" si="2"/>
        <v>0</v>
      </c>
    </row>
    <row r="40" spans="1:39" x14ac:dyDescent="0.25">
      <c r="A40" s="1"/>
      <c r="B40" s="375">
        <f t="shared" si="6"/>
        <v>2039</v>
      </c>
      <c r="C40" s="401">
        <f>MAX(TREND(C24:C25,B24:B25,B40),0)</f>
        <v>0</v>
      </c>
      <c r="D40" s="402">
        <f>MAX(TREND(D24:D25,B24:B25,B40),0)</f>
        <v>0</v>
      </c>
      <c r="E40" s="986"/>
      <c r="F40" s="987"/>
      <c r="G40" s="401">
        <f>MAX(TREND(G24:G25,$B24:$B25,$B40),0)</f>
        <v>0</v>
      </c>
      <c r="H40" s="402">
        <f>MAX(TREND(H24:H25,$B24:$B25,$B40),0)</f>
        <v>0</v>
      </c>
      <c r="I40" s="986"/>
      <c r="J40" s="987"/>
      <c r="K40" s="401">
        <f>MAX(TREND(K24:K25,B24:B25,B40),0)</f>
        <v>0</v>
      </c>
      <c r="L40" s="402">
        <f>MAX(TREND(L24:L25,B24:B25,B40),0)</f>
        <v>0</v>
      </c>
      <c r="M40" s="403">
        <f>IFERROR(IF(B18=Hwy,C40*E40/G40,K40/G40),0)</f>
        <v>0</v>
      </c>
      <c r="N40" s="404">
        <f>IFERROR(IF(B18=Hwy,D40*F40/H40,L40/H40),0)</f>
        <v>0</v>
      </c>
      <c r="O40" s="403">
        <f>MAX(TREND(O24:O25,$B24:$B25,$B40),0)</f>
        <v>0</v>
      </c>
      <c r="P40" s="404">
        <f>MAX(TREND(P24:P25,$B24:$B25,$B40),0)</f>
        <v>0</v>
      </c>
      <c r="Q40" s="402">
        <f>TREND(Q24:Q25,$B24:$B25,$B40)</f>
        <v>0</v>
      </c>
      <c r="R40" s="802">
        <f>IF(Induced="N",0,(IF(B18=Hwy,M40*(I40*ValTimeTruck+(1-I40)*ValTimeAuto)-N40*(J40*ValTimeTruck+(1-J40)*ValTimeAuto),(IF(INDEX($P$157:$X$160,MATCH(B18,$O$157:$O$160,0),7)&gt;0,INDEX($P$157:$X$160,MATCH(B18,$O$157:$O$160,0),7)/IF(INDEX($P$157:$X$160,MATCH(B18,$O$157:$O$160,0),6)=0,1,INDEX($P$157:$X$160,MATCH(B18,$O$157:$O$160,0),6)),M40)-N40)*ValTimeAuto)+O40-P40)*(H40-Q40)*0.5*(1+TTUprater)^($B40-YearCurrent))</f>
        <v>0</v>
      </c>
      <c r="S40" s="780">
        <f t="shared" si="4"/>
        <v>0</v>
      </c>
      <c r="T40" s="370">
        <f t="shared" si="5"/>
        <v>0</v>
      </c>
      <c r="U40" s="371"/>
      <c r="AE40" s="375">
        <f t="shared" si="3"/>
        <v>2042</v>
      </c>
      <c r="AF40" s="376">
        <f t="shared" ca="1" si="0"/>
        <v>0</v>
      </c>
      <c r="AG40" s="376">
        <f t="shared" ca="1" si="0"/>
        <v>0</v>
      </c>
      <c r="AH40" s="376">
        <f t="shared" ca="1" si="0"/>
        <v>0</v>
      </c>
      <c r="AI40" s="376">
        <f t="shared" ca="1" si="0"/>
        <v>0</v>
      </c>
      <c r="AJ40" s="1"/>
      <c r="AK40" s="370">
        <f t="shared" ca="1" si="1"/>
        <v>0</v>
      </c>
      <c r="AL40" s="377"/>
      <c r="AM40" s="370">
        <f t="shared" ca="1" si="2"/>
        <v>0</v>
      </c>
    </row>
    <row r="41" spans="1:39" x14ac:dyDescent="0.25">
      <c r="A41" s="1"/>
      <c r="B41" s="375">
        <f t="shared" si="6"/>
        <v>2040</v>
      </c>
      <c r="C41" s="401">
        <f>MAX(TREND(C24:C25,B24:B25,B41),0)</f>
        <v>0</v>
      </c>
      <c r="D41" s="402">
        <f>MAX(TREND(D24:D25,B24:B25,B41),0)</f>
        <v>0</v>
      </c>
      <c r="E41" s="986"/>
      <c r="F41" s="987"/>
      <c r="G41" s="401">
        <f>MAX(TREND(G24:G25,$B24:$B25,$B41),0)</f>
        <v>0</v>
      </c>
      <c r="H41" s="402">
        <f>MAX(TREND(H24:H25,$B24:$B25,$B41),0)</f>
        <v>0</v>
      </c>
      <c r="I41" s="986"/>
      <c r="J41" s="987"/>
      <c r="K41" s="401">
        <f>MAX(TREND(K24:K25,B24:B25,B41),0)</f>
        <v>0</v>
      </c>
      <c r="L41" s="402">
        <f>MAX(TREND(L24:L25,B24:B25,B41),0)</f>
        <v>0</v>
      </c>
      <c r="M41" s="403">
        <f>IFERROR(IF(B18=Hwy,C41*E41/G41,K41/G41),0)</f>
        <v>0</v>
      </c>
      <c r="N41" s="404">
        <f>IFERROR(IF(B18=Hwy,D41*F41/H41,L41/H41),0)</f>
        <v>0</v>
      </c>
      <c r="O41" s="403">
        <f>MAX(TREND(O24:O25,$B24:$B25,$B41),0)</f>
        <v>0</v>
      </c>
      <c r="P41" s="404">
        <f>MAX(TREND(P24:P25,$B24:$B25,$B41),0)</f>
        <v>0</v>
      </c>
      <c r="Q41" s="402">
        <f>TREND(Q24:Q25,$B24:$B25,$B41)</f>
        <v>0</v>
      </c>
      <c r="R41" s="802">
        <f>IF(Induced="N",0,(IF(B18=Hwy,M41*(I41*ValTimeTruck+(1-I41)*ValTimeAuto)-N41*(J41*ValTimeTruck+(1-J41)*ValTimeAuto),(IF(INDEX($P$157:$X$160,MATCH(B18,$O$157:$O$160,0),7)&gt;0,INDEX($P$157:$X$160,MATCH(B18,$O$157:$O$160,0),7)/IF(INDEX($P$157:$X$160,MATCH(B18,$O$157:$O$160,0),6)=0,1,INDEX($P$157:$X$160,MATCH(B18,$O$157:$O$160,0),6)),M41)-N41)*ValTimeAuto)+O41-P41)*(H41-Q41)*0.5*(1+TTUprater)^($B41-YearCurrent))</f>
        <v>0</v>
      </c>
      <c r="S41" s="780">
        <f t="shared" si="4"/>
        <v>0</v>
      </c>
      <c r="T41" s="370">
        <f t="shared" si="5"/>
        <v>0</v>
      </c>
      <c r="U41" s="371"/>
      <c r="AE41" s="375">
        <f t="shared" si="3"/>
        <v>2043</v>
      </c>
      <c r="AF41" s="376">
        <f t="shared" ca="1" si="0"/>
        <v>0</v>
      </c>
      <c r="AG41" s="376">
        <f t="shared" ca="1" si="0"/>
        <v>0</v>
      </c>
      <c r="AH41" s="376">
        <f t="shared" ca="1" si="0"/>
        <v>0</v>
      </c>
      <c r="AI41" s="376">
        <f t="shared" ca="1" si="0"/>
        <v>0</v>
      </c>
      <c r="AJ41" s="1"/>
      <c r="AK41" s="370">
        <f t="shared" ca="1" si="1"/>
        <v>0</v>
      </c>
      <c r="AL41" s="377"/>
      <c r="AM41" s="370">
        <f t="shared" ca="1" si="2"/>
        <v>0</v>
      </c>
    </row>
    <row r="42" spans="1:39" x14ac:dyDescent="0.25">
      <c r="A42" s="1"/>
      <c r="B42" s="375">
        <f t="shared" si="6"/>
        <v>2041</v>
      </c>
      <c r="C42" s="401">
        <f>MAX(TREND(C24:C25,B24:B25,B42),0)</f>
        <v>0</v>
      </c>
      <c r="D42" s="402">
        <f>MAX(TREND(D24:D25,B24:B25,B42),0)</f>
        <v>0</v>
      </c>
      <c r="E42" s="986"/>
      <c r="F42" s="987"/>
      <c r="G42" s="401">
        <f>MAX(TREND(G24:G25,$B24:$B25,$B42),0)</f>
        <v>0</v>
      </c>
      <c r="H42" s="402">
        <f>MAX(TREND(H24:H25,$B24:$B25,$B42),0)</f>
        <v>0</v>
      </c>
      <c r="I42" s="986"/>
      <c r="J42" s="987"/>
      <c r="K42" s="401">
        <f>MAX(TREND(K24:K25,B24:B25,B42),0)</f>
        <v>0</v>
      </c>
      <c r="L42" s="402">
        <f>MAX(TREND(L24:L25,B24:B25,B42),0)</f>
        <v>0</v>
      </c>
      <c r="M42" s="403">
        <f>IFERROR(IF(B18=Hwy,C42*E42/G42,K42/G42),0)</f>
        <v>0</v>
      </c>
      <c r="N42" s="404">
        <f>IFERROR(IF(B18=Hwy,D42*F42/H42,L42/H42),0)</f>
        <v>0</v>
      </c>
      <c r="O42" s="403">
        <f>MAX(TREND(O24:O25,$B24:$B25,$B42),0)</f>
        <v>0</v>
      </c>
      <c r="P42" s="404">
        <f>MAX(TREND(P24:P25,$B24:$B25,$B42),0)</f>
        <v>0</v>
      </c>
      <c r="Q42" s="402">
        <f>TREND(Q24:Q25,$B24:$B25,$B42)</f>
        <v>0</v>
      </c>
      <c r="R42" s="802">
        <f>IF(Induced="N",0,(IF(B18=Hwy,M42*(I42*ValTimeTruck+(1-I42)*ValTimeAuto)-N42*(J42*ValTimeTruck+(1-J42)*ValTimeAuto),(IF(INDEX($P$157:$X$160,MATCH(B18,$O$157:$O$160,0),7)&gt;0,INDEX($P$157:$X$160,MATCH(B18,$O$157:$O$160,0),7)/IF(INDEX($P$157:$X$160,MATCH(B18,$O$157:$O$160,0),6)=0,1,INDEX($P$157:$X$160,MATCH(B18,$O$157:$O$160,0),6)),M42)-N42)*ValTimeAuto)+O42-P42)*(H42-Q42)*0.5*(1+TTUprater)^($B42-YearCurrent))</f>
        <v>0</v>
      </c>
      <c r="S42" s="780">
        <f t="shared" si="4"/>
        <v>0</v>
      </c>
      <c r="T42" s="370">
        <f t="shared" si="5"/>
        <v>0</v>
      </c>
      <c r="U42" s="371"/>
      <c r="AE42" s="375">
        <f t="shared" si="3"/>
        <v>2044</v>
      </c>
      <c r="AF42" s="376">
        <f t="shared" ca="1" si="0"/>
        <v>0</v>
      </c>
      <c r="AG42" s="376">
        <f t="shared" ca="1" si="0"/>
        <v>0</v>
      </c>
      <c r="AH42" s="376">
        <f t="shared" ca="1" si="0"/>
        <v>0</v>
      </c>
      <c r="AI42" s="376">
        <f t="shared" ca="1" si="0"/>
        <v>0</v>
      </c>
      <c r="AJ42" s="1"/>
      <c r="AK42" s="370">
        <f t="shared" ca="1" si="1"/>
        <v>0</v>
      </c>
      <c r="AL42" s="377"/>
      <c r="AM42" s="370">
        <f t="shared" ca="1" si="2"/>
        <v>0</v>
      </c>
    </row>
    <row r="43" spans="1:39" x14ac:dyDescent="0.25">
      <c r="A43" s="1"/>
      <c r="B43" s="375">
        <f t="shared" si="6"/>
        <v>2042</v>
      </c>
      <c r="C43" s="401">
        <f>MAX(TREND(C24:C25,B24:B25,B43),0)</f>
        <v>0</v>
      </c>
      <c r="D43" s="402">
        <f>MAX(TREND(D24:D25,B24:B25,B43),0)</f>
        <v>0</v>
      </c>
      <c r="E43" s="986"/>
      <c r="F43" s="987"/>
      <c r="G43" s="401">
        <f>MAX(TREND(G24:G25,$B24:$B25,$B43),0)</f>
        <v>0</v>
      </c>
      <c r="H43" s="402">
        <f>MAX(TREND(H24:H25,$B24:$B25,$B43),0)</f>
        <v>0</v>
      </c>
      <c r="I43" s="986"/>
      <c r="J43" s="987"/>
      <c r="K43" s="401">
        <f>MAX(TREND(K24:K25,B24:B25,B43),0)</f>
        <v>0</v>
      </c>
      <c r="L43" s="402">
        <f>MAX(TREND(L24:L25,B24:B25,B43),0)</f>
        <v>0</v>
      </c>
      <c r="M43" s="403">
        <f>IFERROR(IF(B18=Hwy,C43*E43/G43,K43/G43),0)</f>
        <v>0</v>
      </c>
      <c r="N43" s="404">
        <f>IFERROR(IF(B18=Hwy,D43*F43/H43,L43/H43),0)</f>
        <v>0</v>
      </c>
      <c r="O43" s="403">
        <f>MAX(TREND(O24:O25,$B24:$B25,$B43),0)</f>
        <v>0</v>
      </c>
      <c r="P43" s="404">
        <f>MAX(TREND(P24:P25,$B24:$B25,$B43),0)</f>
        <v>0</v>
      </c>
      <c r="Q43" s="402">
        <f>TREND(Q24:Q25,$B24:$B25,$B43)</f>
        <v>0</v>
      </c>
      <c r="R43" s="802">
        <f>IF(Induced="N",0,(IF(B18=Hwy,M43*(I43*ValTimeTruck+(1-I43)*ValTimeAuto)-N43*(J43*ValTimeTruck+(1-J43)*ValTimeAuto),(IF(INDEX($P$157:$X$160,MATCH(B18,$O$157:$O$160,0),7)&gt;0,INDEX($P$157:$X$160,MATCH(B18,$O$157:$O$160,0),7)/IF(INDEX($P$157:$X$160,MATCH(B18,$O$157:$O$160,0),6)=0,1,INDEX($P$157:$X$160,MATCH(B18,$O$157:$O$160,0),6)),M43)-N43)*ValTimeAuto)+O43-P43)*(H43-Q43)*0.5*(1+TTUprater)^($B43-YearCurrent))</f>
        <v>0</v>
      </c>
      <c r="S43" s="780">
        <f t="shared" si="4"/>
        <v>0</v>
      </c>
      <c r="T43" s="370">
        <f t="shared" si="5"/>
        <v>0</v>
      </c>
      <c r="U43" s="371"/>
      <c r="AE43" s="375">
        <f t="shared" si="3"/>
        <v>2045</v>
      </c>
      <c r="AF43" s="376">
        <f t="shared" ca="1" si="0"/>
        <v>0</v>
      </c>
      <c r="AG43" s="376">
        <f t="shared" ca="1" si="0"/>
        <v>0</v>
      </c>
      <c r="AH43" s="376">
        <f t="shared" ca="1" si="0"/>
        <v>0</v>
      </c>
      <c r="AI43" s="376">
        <f t="shared" ca="1" si="0"/>
        <v>0</v>
      </c>
      <c r="AJ43" s="1"/>
      <c r="AK43" s="370">
        <f t="shared" ca="1" si="1"/>
        <v>0</v>
      </c>
      <c r="AL43" s="377"/>
      <c r="AM43" s="370">
        <f t="shared" ca="1" si="2"/>
        <v>0</v>
      </c>
    </row>
    <row r="44" spans="1:39" x14ac:dyDescent="0.25">
      <c r="A44" s="1"/>
      <c r="B44" s="375">
        <f t="shared" si="6"/>
        <v>2043</v>
      </c>
      <c r="C44" s="401">
        <f>MAX(TREND(C24:C25,B24:B25,B44),0)</f>
        <v>0</v>
      </c>
      <c r="D44" s="402">
        <f>MAX(TREND(D24:D25,B24:B25,B44),0)</f>
        <v>0</v>
      </c>
      <c r="E44" s="986"/>
      <c r="F44" s="987"/>
      <c r="G44" s="401">
        <f>MAX(TREND(G24:G25,$B24:$B25,$B44),0)</f>
        <v>0</v>
      </c>
      <c r="H44" s="402">
        <f>MAX(TREND(H24:H25,$B24:$B25,$B44),0)</f>
        <v>0</v>
      </c>
      <c r="I44" s="986"/>
      <c r="J44" s="987"/>
      <c r="K44" s="401">
        <f>MAX(TREND(K24:K25,B24:B25,B44),0)</f>
        <v>0</v>
      </c>
      <c r="L44" s="402">
        <f>MAX(TREND(L24:L25,B24:B25,B44),0)</f>
        <v>0</v>
      </c>
      <c r="M44" s="403">
        <f>IFERROR(IF(B18=Hwy,C44*E44/G44,K44/G44),0)</f>
        <v>0</v>
      </c>
      <c r="N44" s="404">
        <f>IFERROR(IF(B18=Hwy,D44*F44/H44,L44/H44),0)</f>
        <v>0</v>
      </c>
      <c r="O44" s="403">
        <f>MAX(TREND(O24:O25,$B24:$B25,$B44),0)</f>
        <v>0</v>
      </c>
      <c r="P44" s="404">
        <f>MAX(TREND(P24:P25,$B24:$B25,$B44),0)</f>
        <v>0</v>
      </c>
      <c r="Q44" s="402">
        <f>TREND(Q24:Q25,$B24:$B25,$B44)</f>
        <v>0</v>
      </c>
      <c r="R44" s="802">
        <f>IF(Induced="N",0,(IF(B18=Hwy,M44*(I44*ValTimeTruck+(1-I44)*ValTimeAuto)-N44*(J44*ValTimeTruck+(1-J44)*ValTimeAuto),(IF(INDEX($P$157:$X$160,MATCH(B18,$O$157:$O$160,0),7)&gt;0,INDEX($P$157:$X$160,MATCH(B18,$O$157:$O$160,0),7)/IF(INDEX($P$157:$X$160,MATCH(B18,$O$157:$O$160,0),6)=0,1,INDEX($P$157:$X$160,MATCH(B18,$O$157:$O$160,0),6)),M44)-N44)*ValTimeAuto)+O44-P44)*(H44-Q44)*0.5*(1+TTUprater)^($B44-YearCurrent))</f>
        <v>0</v>
      </c>
      <c r="S44" s="780">
        <f t="shared" si="4"/>
        <v>0</v>
      </c>
      <c r="T44" s="370">
        <f t="shared" si="5"/>
        <v>0</v>
      </c>
      <c r="U44" s="371"/>
      <c r="AE44" s="385"/>
      <c r="AF44" s="389"/>
      <c r="AG44" s="389"/>
      <c r="AH44" s="389"/>
      <c r="AI44" s="389"/>
      <c r="AJ44" s="1"/>
      <c r="AK44" s="389"/>
      <c r="AL44" s="390"/>
      <c r="AM44" s="389"/>
    </row>
    <row r="45" spans="1:39" x14ac:dyDescent="0.25">
      <c r="A45" s="1"/>
      <c r="B45" s="375">
        <f t="shared" si="6"/>
        <v>2044</v>
      </c>
      <c r="C45" s="401">
        <f>MAX(TREND(C24:C25,B24:B25,B45),0)</f>
        <v>0</v>
      </c>
      <c r="D45" s="402">
        <f>MAX(TREND(D24:D25,B24:B25,B45),0)</f>
        <v>0</v>
      </c>
      <c r="E45" s="986"/>
      <c r="F45" s="987"/>
      <c r="G45" s="401">
        <f>MAX(TREND(G24:G25,$B24:$B25,$B45),0)</f>
        <v>0</v>
      </c>
      <c r="H45" s="402">
        <f>MAX(TREND(H24:H25,$B24:$B25,$B45),0)</f>
        <v>0</v>
      </c>
      <c r="I45" s="986"/>
      <c r="J45" s="987"/>
      <c r="K45" s="401">
        <f>MAX(TREND(K24:K25,B24:B25,B45),0)</f>
        <v>0</v>
      </c>
      <c r="L45" s="402">
        <f>MAX(TREND(L24:L25,B24:B25,B45),0)</f>
        <v>0</v>
      </c>
      <c r="M45" s="403">
        <f>IFERROR(IF(B18=Hwy,C45*E45/G45,K45/G45),0)</f>
        <v>0</v>
      </c>
      <c r="N45" s="404">
        <f>IFERROR(IF(B18=Hwy,D45*F45/H45,L45/H45),0)</f>
        <v>0</v>
      </c>
      <c r="O45" s="403">
        <f>MAX(TREND(O24:O25,$B24:$B25,$B45),0)</f>
        <v>0</v>
      </c>
      <c r="P45" s="404">
        <f>MAX(TREND(P24:P25,$B24:$B25,$B45),0)</f>
        <v>0</v>
      </c>
      <c r="Q45" s="402">
        <f>TREND(Q24:Q25,$B24:$B25,$B45)</f>
        <v>0</v>
      </c>
      <c r="R45" s="802">
        <f>IF(Induced="N",0,(IF(B18=Hwy,M45*(I45*ValTimeTruck+(1-I45)*ValTimeAuto)-N45*(J45*ValTimeTruck+(1-J45)*ValTimeAuto),(IF(INDEX($P$157:$X$160,MATCH(B18,$O$157:$O$160,0),7)&gt;0,INDEX($P$157:$X$160,MATCH(B18,$O$157:$O$160,0),7)/IF(INDEX($P$157:$X$160,MATCH(B18,$O$157:$O$160,0),6)=0,1,INDEX($P$157:$X$160,MATCH(B18,$O$157:$O$160,0),6)),M45)-N45)*ValTimeAuto)+O45-P45)*(H45-Q45)*0.5*(1+TTUprater)^($B45-YearCurrent))</f>
        <v>0</v>
      </c>
      <c r="S45" s="780">
        <f t="shared" si="4"/>
        <v>0</v>
      </c>
      <c r="T45" s="370">
        <f t="shared" si="5"/>
        <v>0</v>
      </c>
      <c r="U45" s="371"/>
      <c r="AE45" s="407" t="s">
        <v>56</v>
      </c>
      <c r="AF45" s="408">
        <f ca="1">SUM(AF24:AF43)</f>
        <v>0</v>
      </c>
      <c r="AG45" s="408">
        <f ca="1">SUM(AG24:AG43)</f>
        <v>0</v>
      </c>
      <c r="AH45" s="408">
        <f ca="1">SUM(AH24:AH43)</f>
        <v>0</v>
      </c>
      <c r="AI45" s="408">
        <f ca="1">SUM(AI24:AI43)</f>
        <v>0</v>
      </c>
      <c r="AJ45" s="1"/>
      <c r="AK45" s="409">
        <f ca="1">SUM(AK24:AK43)</f>
        <v>0</v>
      </c>
      <c r="AL45" s="410"/>
      <c r="AM45" s="409">
        <f ca="1">SUM(AM24:AM43)</f>
        <v>0</v>
      </c>
    </row>
    <row r="46" spans="1:39" x14ac:dyDescent="0.25">
      <c r="A46" s="1"/>
      <c r="B46" s="375">
        <f t="shared" si="6"/>
        <v>2045</v>
      </c>
      <c r="C46" s="401">
        <f>MAX(TREND(C24:C25,B24:B25,B46),0)</f>
        <v>0</v>
      </c>
      <c r="D46" s="402">
        <f>MAX(TREND(D24:D25,B24:B25,B46),0)</f>
        <v>0</v>
      </c>
      <c r="E46" s="986"/>
      <c r="F46" s="987"/>
      <c r="G46" s="401">
        <f>MAX(TREND(G24:G25,$B24:$B25,$B46),0)</f>
        <v>0</v>
      </c>
      <c r="H46" s="402">
        <f>MAX(TREND(H24:H25,$B24:$B25,$B46),0)</f>
        <v>0</v>
      </c>
      <c r="I46" s="986"/>
      <c r="J46" s="987"/>
      <c r="K46" s="401">
        <f>MAX(TREND(K24:K25,B24:B25,B46),0)</f>
        <v>0</v>
      </c>
      <c r="L46" s="402">
        <f>MAX(TREND(L24:L25,B24:B25,B46),0)</f>
        <v>0</v>
      </c>
      <c r="M46" s="403">
        <f>IFERROR(IF(B18=Hwy,C46*E46/G46,K46/G46),0)</f>
        <v>0</v>
      </c>
      <c r="N46" s="404">
        <f>IFERROR(IF(B18=Hwy,D46*F46/H46,L46/H46),0)</f>
        <v>0</v>
      </c>
      <c r="O46" s="403">
        <f>MAX(TREND(O24:O25,$B24:$B25,$B46),0)</f>
        <v>0</v>
      </c>
      <c r="P46" s="404">
        <f>MAX(TREND(P24:P25,$B24:$B25,$B46),0)</f>
        <v>0</v>
      </c>
      <c r="Q46" s="402">
        <f>TREND(Q24:Q25,$B24:$B25,$B46)</f>
        <v>0</v>
      </c>
      <c r="R46" s="802">
        <f>IF(Induced="N",0,(IF(B18=Hwy,M46*(I46*ValTimeTruck+(1-I46)*ValTimeAuto)-N46*(J46*ValTimeTruck+(1-J46)*ValTimeAuto),(IF(INDEX($P$157:$X$160,MATCH(B18,$O$157:$O$160,0),7)&gt;0,INDEX($P$157:$X$160,MATCH(B18,$O$157:$O$160,0),7)/IF(INDEX($P$157:$X$160,MATCH(B18,$O$157:$O$160,0),6)=0,1,INDEX($P$157:$X$160,MATCH(B18,$O$157:$O$160,0),6)),M46)-N46)*ValTimeAuto)+O46-P46)*(H46-Q46)*0.5*(1+TTUprater)^($B46-YearCurrent))</f>
        <v>0</v>
      </c>
      <c r="S46" s="780">
        <f t="shared" si="4"/>
        <v>0</v>
      </c>
      <c r="T46" s="370">
        <f t="shared" si="5"/>
        <v>0</v>
      </c>
      <c r="U46" s="371"/>
      <c r="AE46" s="1"/>
      <c r="AF46" s="1"/>
      <c r="AG46" s="1"/>
      <c r="AH46" s="1"/>
      <c r="AI46" s="1"/>
      <c r="AJ46" s="1"/>
      <c r="AK46" s="1"/>
      <c r="AL46" s="1"/>
      <c r="AM46" s="1"/>
    </row>
    <row r="47" spans="1:39" ht="15.75" x14ac:dyDescent="0.25">
      <c r="A47" s="1"/>
      <c r="B47" s="385"/>
      <c r="C47" s="386"/>
      <c r="D47" s="386"/>
      <c r="E47" s="386"/>
      <c r="F47" s="386"/>
      <c r="G47" s="386"/>
      <c r="H47" s="386"/>
      <c r="I47" s="386"/>
      <c r="J47" s="386"/>
      <c r="K47" s="386"/>
      <c r="L47" s="386"/>
      <c r="M47" s="386"/>
      <c r="N47" s="386"/>
      <c r="O47" s="386"/>
      <c r="P47" s="386"/>
      <c r="Q47" s="386"/>
      <c r="R47" s="386"/>
      <c r="S47" s="386"/>
      <c r="T47" s="386"/>
      <c r="U47" s="390"/>
      <c r="W47" s="1"/>
      <c r="X47" s="1"/>
      <c r="Y47" s="1"/>
      <c r="Z47" s="1"/>
      <c r="AA47" s="1"/>
      <c r="AB47" s="1"/>
      <c r="AC47" s="1"/>
      <c r="AD47" s="1"/>
      <c r="AE47" s="412" t="str">
        <f>IF(Induced="Y","","* Induced Travel Not Counted")</f>
        <v/>
      </c>
    </row>
    <row r="48" spans="1:39" x14ac:dyDescent="0.25">
      <c r="A48" s="1"/>
      <c r="B48" s="407" t="s">
        <v>56</v>
      </c>
      <c r="C48" s="413"/>
      <c r="D48" s="414"/>
      <c r="E48" s="414"/>
      <c r="F48" s="414"/>
      <c r="G48" s="414"/>
      <c r="H48" s="414"/>
      <c r="I48" s="414"/>
      <c r="J48" s="414"/>
      <c r="K48" s="414"/>
      <c r="L48" s="414"/>
      <c r="M48" s="414"/>
      <c r="N48" s="414"/>
      <c r="O48" s="414"/>
      <c r="P48" s="414"/>
      <c r="Q48" s="414"/>
      <c r="R48" s="414"/>
      <c r="S48" s="414"/>
      <c r="T48" s="409">
        <f>SUM(T27:T46)</f>
        <v>0</v>
      </c>
      <c r="U48" s="416"/>
      <c r="V48" s="1"/>
      <c r="W48" s="1"/>
      <c r="X48" s="1"/>
      <c r="Y48" s="1"/>
      <c r="Z48" s="1"/>
      <c r="AA48" s="1"/>
      <c r="AB48" s="1"/>
      <c r="AC48" s="1"/>
      <c r="AD48" s="1"/>
    </row>
    <row r="51" spans="1:20" x14ac:dyDescent="0.25">
      <c r="A51" s="1">
        <v>2</v>
      </c>
      <c r="B51" s="878" t="str">
        <f>PARAMETERS!$J$10</f>
        <v>Pass Train</v>
      </c>
      <c r="C51" s="763"/>
      <c r="D51" s="2"/>
      <c r="E51" s="2"/>
      <c r="F51" s="2"/>
      <c r="I51" s="320"/>
      <c r="J51" s="320"/>
      <c r="K51" s="320"/>
      <c r="L51" s="320"/>
      <c r="M51" s="320"/>
      <c r="N51" s="320"/>
      <c r="O51" s="320"/>
      <c r="P51" s="320"/>
      <c r="Q51" s="2"/>
      <c r="R51" s="2"/>
    </row>
    <row r="52" spans="1:20" x14ac:dyDescent="0.25">
      <c r="A52" s="1"/>
      <c r="B52" s="2"/>
      <c r="C52" s="38"/>
      <c r="D52" s="877"/>
      <c r="Q52" s="2"/>
      <c r="R52" s="149"/>
    </row>
    <row r="53" spans="1:20" ht="15.75" x14ac:dyDescent="0.25">
      <c r="A53" s="1"/>
      <c r="B53" s="922"/>
      <c r="C53" s="923" t="s">
        <v>190</v>
      </c>
      <c r="D53" s="924"/>
      <c r="E53" s="923" t="s">
        <v>191</v>
      </c>
      <c r="F53" s="924"/>
      <c r="G53" s="923" t="str">
        <f>IF(B51=Hwy,"TOTAL VEHICLE TRIPS","TOTAL PERSON TRIPS")</f>
        <v>TOTAL PERSON TRIPS</v>
      </c>
      <c r="H53" s="924"/>
      <c r="I53" s="923" t="s">
        <v>192</v>
      </c>
      <c r="J53" s="924"/>
      <c r="K53" s="923" t="s">
        <v>193</v>
      </c>
      <c r="L53" s="924"/>
      <c r="M53" s="923" t="s">
        <v>194</v>
      </c>
      <c r="N53" s="924"/>
      <c r="O53" s="325" t="s">
        <v>228</v>
      </c>
      <c r="P53" s="326"/>
      <c r="Q53" s="948" t="str">
        <f>IF(B51=Hwy,"TOTAL VEHICLE TRIPS","TOTAL PERSON TRIPS")</f>
        <v>TOTAL PERSON TRIPS</v>
      </c>
      <c r="R53" s="925" t="s">
        <v>229</v>
      </c>
      <c r="S53" s="329"/>
      <c r="T53" s="330"/>
    </row>
    <row r="54" spans="1:20" x14ac:dyDescent="0.25">
      <c r="A54" s="1"/>
      <c r="B54" s="926"/>
      <c r="C54" s="927" t="s">
        <v>197</v>
      </c>
      <c r="D54" s="928"/>
      <c r="E54" s="929" t="s">
        <v>198</v>
      </c>
      <c r="F54" s="928"/>
      <c r="G54" s="929" t="s">
        <v>199</v>
      </c>
      <c r="H54" s="928"/>
      <c r="I54" s="930" t="s">
        <v>200</v>
      </c>
      <c r="J54" s="931"/>
      <c r="K54" s="932" t="s">
        <v>201</v>
      </c>
      <c r="L54" s="928"/>
      <c r="M54" s="933" t="s">
        <v>202</v>
      </c>
      <c r="N54" s="931"/>
      <c r="O54" s="338" t="s">
        <v>230</v>
      </c>
      <c r="P54" s="339"/>
      <c r="Q54" s="927" t="s">
        <v>199</v>
      </c>
      <c r="R54" s="934" t="s">
        <v>203</v>
      </c>
      <c r="S54" s="342"/>
      <c r="T54" s="343"/>
    </row>
    <row r="55" spans="1:20" x14ac:dyDescent="0.25">
      <c r="A55" s="1"/>
      <c r="B55" s="935" t="s">
        <v>34</v>
      </c>
      <c r="C55" s="936"/>
      <c r="D55" s="937"/>
      <c r="E55" s="936"/>
      <c r="F55" s="937"/>
      <c r="G55" s="936"/>
      <c r="H55" s="937"/>
      <c r="I55" s="936"/>
      <c r="J55" s="937"/>
      <c r="K55" s="936"/>
      <c r="L55" s="937"/>
      <c r="M55" s="936"/>
      <c r="N55" s="937"/>
      <c r="O55" s="723"/>
      <c r="P55" s="349"/>
      <c r="Q55" s="938" t="s">
        <v>206</v>
      </c>
      <c r="R55" s="939" t="s">
        <v>231</v>
      </c>
      <c r="S55" s="351" t="s">
        <v>208</v>
      </c>
      <c r="T55" s="347" t="s">
        <v>39</v>
      </c>
    </row>
    <row r="56" spans="1:20" x14ac:dyDescent="0.25">
      <c r="A56" s="1"/>
      <c r="B56" s="940"/>
      <c r="C56" s="941" t="s">
        <v>74</v>
      </c>
      <c r="D56" s="942" t="s">
        <v>125</v>
      </c>
      <c r="E56" s="941" t="s">
        <v>74</v>
      </c>
      <c r="F56" s="942" t="s">
        <v>125</v>
      </c>
      <c r="G56" s="941" t="s">
        <v>74</v>
      </c>
      <c r="H56" s="942" t="s">
        <v>125</v>
      </c>
      <c r="I56" s="941" t="s">
        <v>74</v>
      </c>
      <c r="J56" s="942" t="s">
        <v>125</v>
      </c>
      <c r="K56" s="941" t="s">
        <v>74</v>
      </c>
      <c r="L56" s="942" t="s">
        <v>125</v>
      </c>
      <c r="M56" s="936" t="s">
        <v>74</v>
      </c>
      <c r="N56" s="937" t="s">
        <v>125</v>
      </c>
      <c r="O56" s="724" t="s">
        <v>74</v>
      </c>
      <c r="P56" s="357" t="s">
        <v>125</v>
      </c>
      <c r="Q56" s="944" t="s">
        <v>125</v>
      </c>
      <c r="R56" s="943" t="s">
        <v>233</v>
      </c>
      <c r="S56" s="359" t="s">
        <v>48</v>
      </c>
      <c r="T56" s="360" t="s">
        <v>49</v>
      </c>
    </row>
    <row r="57" spans="1:20" x14ac:dyDescent="0.25">
      <c r="A57" s="1"/>
      <c r="B57" s="363">
        <f>YearFirst</f>
        <v>2026</v>
      </c>
      <c r="C57" s="364">
        <f>SUMIF(INDEX(HwyTransitModelGroup,,1),B51,INDEX(ModelData1NB,,3))*AnnualFactor</f>
        <v>0</v>
      </c>
      <c r="D57" s="365">
        <f>SUMIF(INDEX(HwyTransitModelGroup,,1),B51,INDEX(ModelData1B,,3))*AnnualFactor</f>
        <v>0</v>
      </c>
      <c r="E57" s="980"/>
      <c r="F57" s="981"/>
      <c r="G57" s="364">
        <f>SUMIF(INDEX(HwyTransitModelGroup,,1),B51,INDEX(ModelData1NB,,1))*AnnualFactor</f>
        <v>0</v>
      </c>
      <c r="H57" s="365">
        <f>SUMIF(INDEX(HwyTransitModelGroup,,1),B51,INDEX(ModelData1B,,1))*AnnualFactor</f>
        <v>0</v>
      </c>
      <c r="I57" s="980"/>
      <c r="J57" s="981"/>
      <c r="K57" s="364">
        <f>SUMIF(INDEX(HwyTransitModelGroup,,1),B51,INDEX(ModelData1NB,,5))*AnnualFactor</f>
        <v>0</v>
      </c>
      <c r="L57" s="365">
        <f>SUMIF(INDEX(HwyTransitModelGroup,,1),B51,INDEX(ModelData1B,,5))*AnnualFactor</f>
        <v>0</v>
      </c>
      <c r="M57" s="366">
        <f>IFERROR(IF(B51=Hwy,C57*E57/G57,K57/G57),0)</f>
        <v>0</v>
      </c>
      <c r="N57" s="778">
        <f>IFERROR(IF(B51=Hwy,D57*F57/H57,L57/H57),0)</f>
        <v>0</v>
      </c>
      <c r="O57" s="949">
        <f>IF(E57=0,0,SUMPRODUCT(--(INDEX(HwyTransitModelGroup,,1)=B51),INDEX(ModelData1NB,,6),INDEX(ModelData1NB,,1))/IF(SUMPRODUCT(--(INDEX(HwyTransitModelGroup,,1)=B51),INDEX(ModelData1NB,,1))=0,1,SUMPRODUCT(--(INDEX(HwyTransitModelGroup,,1)=B51),INDEX(ModelData1NB,,1))))</f>
        <v>0</v>
      </c>
      <c r="P57" s="823">
        <f>IF(F57=0,0,SUMPRODUCT(--(INDEX(HwyTransitModelGroup,,1)=B51),INDEX(ModelData1B,,6),INDEX(ModelData1B,,1))/IF(SUMPRODUCT(--(INDEX(HwyTransitModelGroup,,1)=B51),INDEX(ModelData1B,,1))=0,1,SUMPRODUCT(--(INDEX(HwyTransitModelGroup,,1)=B51),INDEX(ModelData1B,,1))))</f>
        <v>0</v>
      </c>
      <c r="Q57" s="945">
        <f>IFERROR($H57-SUMIF('Consumer Surplus'!$C$157:$C$160,B51,'Consumer Surplus'!$G$157:$G$160),0)</f>
        <v>0</v>
      </c>
      <c r="R57" s="951">
        <f>IF(Induced="N",0,(IF(B51=Hwy,M57*(I57*ValTimeTruck+(1-I57)*ValTimeAuto)-N57*(J57*ValTimeTruck+(1-J57)*ValTimeAuto),(IF(INDEX($P$157:$X$160,MATCH(B51,$O$157:$O$160,0),7)&gt;0,INDEX($P$157:$X$160,MATCH(B51,$O$157:$O$160,0),7)/IF(INDEX($P$157:$X$160,MATCH(B51,$O$157:$O$160,0),6)=0,1,INDEX($P$157:$X$160,MATCH(B51,$O$157:$O$160,0),6)),M57)-N57)*ValTimeAuto)+O57-P57)*(H57-Q57)*0.5*(1+TTUprater)^($B57-YearCurrent))</f>
        <v>0</v>
      </c>
      <c r="S57" s="780">
        <f>SUM(R57:R57)</f>
        <v>0</v>
      </c>
      <c r="T57" s="370">
        <f>S57/(1+DiscRate)^(B57-YearCurrent)</f>
        <v>0</v>
      </c>
    </row>
    <row r="58" spans="1:20" x14ac:dyDescent="0.25">
      <c r="A58" s="1"/>
      <c r="B58" s="379">
        <f>YearLast</f>
        <v>2046</v>
      </c>
      <c r="C58" s="380">
        <f>SUMIF(INDEX(HwyTransitModelGroup,,1),B51,INDEX(ModelData20NB,,3))*AnnualFactor</f>
        <v>0</v>
      </c>
      <c r="D58" s="381">
        <f>SUMIF(INDEX(HwyTransitModelGroup,,1),B51,INDEX(ModelData20B,,3))*AnnualFactor</f>
        <v>0</v>
      </c>
      <c r="E58" s="982"/>
      <c r="F58" s="983"/>
      <c r="G58" s="380">
        <f>SUMIF(INDEX(HwyTransitModelGroup,,1),B51,INDEX(ModelData20NB,,1))*AnnualFactor</f>
        <v>0</v>
      </c>
      <c r="H58" s="381">
        <f>SUMIF(INDEX(HwyTransitModelGroup,,1),B51,INDEX(ModelData20B,,1))*AnnualFactor</f>
        <v>0</v>
      </c>
      <c r="I58" s="982"/>
      <c r="J58" s="983"/>
      <c r="K58" s="380">
        <f>SUMIF(INDEX(HwyTransitModelGroup,,1),B51,INDEX(ModelData20NB,,5))*AnnualFactor</f>
        <v>0</v>
      </c>
      <c r="L58" s="381">
        <f>SUMIF(INDEX(HwyTransitModelGroup,,1),B51,INDEX(ModelData20B,,5))*AnnualFactor</f>
        <v>0</v>
      </c>
      <c r="M58" s="382">
        <f>IFERROR(IF(B51=Hwy,C58*E58/G58,K58/G58),0)</f>
        <v>0</v>
      </c>
      <c r="N58" s="779">
        <f>IFERROR(IF(B51=Hwy,D58*F58/H58,L58/H58),0)</f>
        <v>0</v>
      </c>
      <c r="O58" s="824">
        <f>IF(E58=0,0,SUMPRODUCT(--(INDEX(HwyTransitModelGroup,,1)=B51),INDEX(ModelData20NB,,6),INDEX(ModelData20NB,,1))/IF(SUMPRODUCT(--(INDEX(HwyTransitModelGroup,,1)=B51),INDEX(ModelData20NB,,1))=0,1,SUMPRODUCT(--(INDEX(HwyTransitModelGroup,,1)=B51),INDEX(ModelData20NB,,1))))</f>
        <v>0</v>
      </c>
      <c r="P58" s="825">
        <f>IF(F58=0,0,SUMPRODUCT(--(INDEX(HwyTransitModelGroup,,1)=B51),INDEX(ModelData20B,,6),INDEX(ModelData20B,,1))/IF(SUMPRODUCT(--(INDEX(HwyTransitModelGroup,,1)=B51),INDEX(ModelData20B,,1))=0,1,SUMPRODUCT(--(INDEX(HwyTransitModelGroup,,1)=B51),INDEX(ModelData20B,,1))))</f>
        <v>0</v>
      </c>
      <c r="Q58" s="952">
        <f>IFERROR($H58-SUMIF('Consumer Surplus'!$C$157:$C$160,B51,'Consumer Surplus'!$K$157:$K$160),0)</f>
        <v>0</v>
      </c>
      <c r="R58" s="953">
        <f>IF(Induced="N",0,(IF(B51=Hwy,M58*(I58*ValTimeTruck+(1-I58)*ValTimeAuto)-N58*(J58*ValTimeTruck+(1-J58)*ValTimeAuto),(IF(INDEX($P$157:$X$160,MATCH(B51,$O$157:$O$160,0),9)&gt;0,INDEX($P$157:$X$160,MATCH(B51,$O$157:$O$160,0),9)/IF(INDEX($P$157:$X$160,MATCH(B51,$O$157:$O$160,0),9)=0,1,INDEX($P$157:$X$160,MATCH(B51,$O$157:$O$160,0),8)),M58)-N58)*ValTimeAuto)+O58-P58)*(H58-Q58)*0.5*(1+TTUprater)^($B58-YearCurrent))</f>
        <v>0</v>
      </c>
      <c r="S58" s="780">
        <f>SUM(R58:R58)</f>
        <v>0</v>
      </c>
      <c r="T58" s="370">
        <f>S58/(1+DiscRate)^(B58-YearCurrent)</f>
        <v>0</v>
      </c>
    </row>
    <row r="59" spans="1:20" x14ac:dyDescent="0.25">
      <c r="A59" s="1"/>
      <c r="B59" s="385"/>
      <c r="C59" s="386"/>
      <c r="D59" s="386"/>
      <c r="E59" s="387"/>
      <c r="F59" s="387"/>
      <c r="G59" s="387"/>
      <c r="H59" s="387"/>
      <c r="I59" s="387"/>
      <c r="J59" s="387"/>
      <c r="K59" s="773"/>
      <c r="L59" s="773"/>
      <c r="M59" s="774"/>
      <c r="N59" s="774"/>
      <c r="O59" s="774"/>
      <c r="P59" s="774"/>
      <c r="Q59" s="774"/>
      <c r="R59" s="374"/>
      <c r="S59" s="388"/>
      <c r="T59" s="389"/>
    </row>
    <row r="60" spans="1:20" x14ac:dyDescent="0.25">
      <c r="A60" s="1"/>
      <c r="B60" s="375">
        <f>YearOpen</f>
        <v>2026</v>
      </c>
      <c r="C60" s="393">
        <f>MAX(TREND(C57:C58,B57:B58,B60),0)</f>
        <v>0</v>
      </c>
      <c r="D60" s="394">
        <f>MAX(TREND(D57:D58,B57:B58,B60),0)</f>
        <v>0</v>
      </c>
      <c r="E60" s="984"/>
      <c r="F60" s="985"/>
      <c r="G60" s="393">
        <f>MAX(TREND(G57:G58,$B57:$B58,$B60),0)</f>
        <v>0</v>
      </c>
      <c r="H60" s="394">
        <f>MAX(TREND(H57:H58,$B57:$B58,$B60),0)</f>
        <v>0</v>
      </c>
      <c r="I60" s="984"/>
      <c r="J60" s="985"/>
      <c r="K60" s="393">
        <f>MAX(TREND(K57:K58,B57:B58,B60),0)</f>
        <v>0</v>
      </c>
      <c r="L60" s="394">
        <f>MAX(TREND(L57:L58,B57:B58,B60),0)</f>
        <v>0</v>
      </c>
      <c r="M60" s="395">
        <f>IFERROR(IF(B51=Hwy,C60*E60/G60,K60/G60),0)</f>
        <v>0</v>
      </c>
      <c r="N60" s="396">
        <f>IFERROR(IF(B51=Hwy,D60*F60/H60,L60/H60),0)</f>
        <v>0</v>
      </c>
      <c r="O60" s="395">
        <f>MAX(TREND(O57:O58,$B57:$B58,$B60),0)</f>
        <v>0</v>
      </c>
      <c r="P60" s="396">
        <f>MAX(TREND(P57:P58,$B57:$B58,$B60),0)</f>
        <v>0</v>
      </c>
      <c r="Q60" s="394">
        <f>TREND(Q57:Q58,$B57:$B58,$B60)</f>
        <v>0</v>
      </c>
      <c r="R60" s="801">
        <f>IF(Induced="N",0,(IF(B51=Hwy,M60*(I60*ValTimeTruck+(1-I60)*ValTimeAuto)-N60*(J60*ValTimeTruck+(1-J60)*ValTimeAuto),(IF(INDEX($P$157:$X$160,MATCH(B51,$O$157:$O$160,0),7)&gt;0,INDEX($P$157:$X$160,MATCH(B51,$O$157:$O$160,0),7)/IF(INDEX($P$157:$X$160,MATCH(B51,$O$157:$O$160,0),6)=0,1,INDEX($P$157:$X$160,MATCH(B51,$O$157:$O$160,0),6)),M60)-N60)*ValTimeAuto)+O60-P60)*(H60-Q60)*0.5*(1+TTUprater)^($B60-YearCurrent))</f>
        <v>0</v>
      </c>
      <c r="S60" s="780">
        <f t="shared" ref="S60:S79" si="7">SUM(R60:R60)</f>
        <v>0</v>
      </c>
      <c r="T60" s="370">
        <f t="shared" ref="T60:T79" si="8">S60/(1+DiscRate)^(B60-YearCurrent)</f>
        <v>0</v>
      </c>
    </row>
    <row r="61" spans="1:20" x14ac:dyDescent="0.25">
      <c r="A61" s="1"/>
      <c r="B61" s="375">
        <f>B60+1</f>
        <v>2027</v>
      </c>
      <c r="C61" s="401">
        <f>MAX(TREND(C57:C58,B57:B58,B61),0)</f>
        <v>0</v>
      </c>
      <c r="D61" s="402">
        <f>MAX(TREND(D57:D58,B57:B58,B61),0)</f>
        <v>0</v>
      </c>
      <c r="E61" s="986"/>
      <c r="F61" s="987"/>
      <c r="G61" s="401">
        <f>MAX(TREND(G57:G58,$B57:$B58,$B61),0)</f>
        <v>0</v>
      </c>
      <c r="H61" s="402">
        <f>MAX(TREND(H57:H58,$B57:$B58,$B61),0)</f>
        <v>0</v>
      </c>
      <c r="I61" s="986"/>
      <c r="J61" s="987"/>
      <c r="K61" s="401">
        <f>MAX(TREND(K57:K58,B57:B58,B61),0)</f>
        <v>0</v>
      </c>
      <c r="L61" s="402">
        <f>MAX(TREND(L57:L58,B57:B58,B61),0)</f>
        <v>0</v>
      </c>
      <c r="M61" s="403">
        <f>IFERROR(IF(B51=Hwy,C61*E61/G61,K61/G61),0)</f>
        <v>0</v>
      </c>
      <c r="N61" s="404">
        <f>IFERROR(IF(B51=Hwy,D61*F61/H61,L61/H61),0)</f>
        <v>0</v>
      </c>
      <c r="O61" s="403">
        <f>MAX(TREND(O57:O58,$B57:$B58,$B61),0)</f>
        <v>0</v>
      </c>
      <c r="P61" s="404">
        <f>MAX(TREND(P57:P58,$B57:$B58,$B61),0)</f>
        <v>0</v>
      </c>
      <c r="Q61" s="402">
        <f>TREND(Q57:Q58,$B57:$B58,$B61)</f>
        <v>0</v>
      </c>
      <c r="R61" s="802">
        <f>IF(Induced="N",0,(IF(B51=Hwy,M61*(I61*ValTimeTruck+(1-I61)*ValTimeAuto)-N61*(J61*ValTimeTruck+(1-J61)*ValTimeAuto),(IF(INDEX($P$157:$X$160,MATCH(B51,$O$157:$O$160,0),7)&gt;0,INDEX($P$157:$X$160,MATCH(B51,$O$157:$O$160,0),7)/IF(INDEX($P$157:$X$160,MATCH(B51,$O$157:$O$160,0),6)=0,1,INDEX($P$157:$X$160,MATCH(B51,$O$157:$O$160,0),6)),M61)-N61)*ValTimeAuto)+O61-P61)*(H61-Q61)*0.5*(1+TTUprater)^($B61-YearCurrent))</f>
        <v>0</v>
      </c>
      <c r="S61" s="780">
        <f t="shared" si="7"/>
        <v>0</v>
      </c>
      <c r="T61" s="370">
        <f t="shared" si="8"/>
        <v>0</v>
      </c>
    </row>
    <row r="62" spans="1:20" x14ac:dyDescent="0.25">
      <c r="A62" s="1"/>
      <c r="B62" s="375">
        <f t="shared" ref="B62:B79" si="9">B61+1</f>
        <v>2028</v>
      </c>
      <c r="C62" s="401">
        <f>MAX(TREND(C57:C58,B57:B58,B62),0)</f>
        <v>0</v>
      </c>
      <c r="D62" s="402">
        <f>MAX(TREND(D57:D58,B57:B58,B62),0)</f>
        <v>0</v>
      </c>
      <c r="E62" s="986"/>
      <c r="F62" s="987"/>
      <c r="G62" s="401">
        <f>MAX(TREND(G57:G58,$B57:$B58,$B62),0)</f>
        <v>0</v>
      </c>
      <c r="H62" s="402">
        <f>MAX(TREND(H57:H58,$B57:$B58,$B62),0)</f>
        <v>0</v>
      </c>
      <c r="I62" s="986"/>
      <c r="J62" s="987"/>
      <c r="K62" s="401">
        <f>MAX(TREND(K57:K58,B57:B58,B62),0)</f>
        <v>0</v>
      </c>
      <c r="L62" s="402">
        <f>MAX(TREND(L57:L58,B57:B58,B62),0)</f>
        <v>0</v>
      </c>
      <c r="M62" s="403">
        <f>IFERROR(IF(B51=Hwy,C62*E62/G62,K62/G62),0)</f>
        <v>0</v>
      </c>
      <c r="N62" s="404">
        <f>IFERROR(IF(B51=Hwy,D62*F62/H62,L62/H62),0)</f>
        <v>0</v>
      </c>
      <c r="O62" s="403">
        <f>MAX(TREND(O57:O58,$B57:$B58,$B62),0)</f>
        <v>0</v>
      </c>
      <c r="P62" s="404">
        <f>MAX(TREND(P57:P58,$B57:$B58,$B62),0)</f>
        <v>0</v>
      </c>
      <c r="Q62" s="402">
        <f>TREND(Q57:Q58,$B57:$B58,$B62)</f>
        <v>0</v>
      </c>
      <c r="R62" s="802">
        <f>IF(Induced="N",0,(IF(B51=Hwy,M62*(I62*ValTimeTruck+(1-I62)*ValTimeAuto)-N62*(J62*ValTimeTruck+(1-J62)*ValTimeAuto),(IF(INDEX($P$157:$X$160,MATCH(B51,$O$157:$O$160,0),7)&gt;0,INDEX($P$157:$X$160,MATCH(B51,$O$157:$O$160,0),7)/IF(INDEX($P$157:$X$160,MATCH(B51,$O$157:$O$160,0),6)=0,1,INDEX($P$157:$X$160,MATCH(B51,$O$157:$O$160,0),6)),M62)-N62)*ValTimeAuto)+O62-P62)*(H62-Q62)*0.5*(1+TTUprater)^($B62-YearCurrent))</f>
        <v>0</v>
      </c>
      <c r="S62" s="780">
        <f t="shared" si="7"/>
        <v>0</v>
      </c>
      <c r="T62" s="370">
        <f t="shared" si="8"/>
        <v>0</v>
      </c>
    </row>
    <row r="63" spans="1:20" x14ac:dyDescent="0.25">
      <c r="A63" s="1"/>
      <c r="B63" s="375">
        <f t="shared" si="9"/>
        <v>2029</v>
      </c>
      <c r="C63" s="401">
        <f>MAX(TREND(C57:C58,B57:B58,B63),0)</f>
        <v>0</v>
      </c>
      <c r="D63" s="402">
        <f>MAX(TREND(D57:D58,B57:B58,B63),0)</f>
        <v>0</v>
      </c>
      <c r="E63" s="986"/>
      <c r="F63" s="987"/>
      <c r="G63" s="401">
        <f>MAX(TREND(G57:G58,$B57:$B58,$B63),0)</f>
        <v>0</v>
      </c>
      <c r="H63" s="402">
        <f>MAX(TREND(H57:H58,$B57:$B58,$B63),0)</f>
        <v>0</v>
      </c>
      <c r="I63" s="986"/>
      <c r="J63" s="987"/>
      <c r="K63" s="401">
        <f>MAX(TREND(K57:K58,B57:B58,B63),0)</f>
        <v>0</v>
      </c>
      <c r="L63" s="402">
        <f>MAX(TREND(L57:L58,B57:B58,B63),0)</f>
        <v>0</v>
      </c>
      <c r="M63" s="403">
        <f>IFERROR(IF(B51=Hwy,C63*E63/G63,K63/G63),0)</f>
        <v>0</v>
      </c>
      <c r="N63" s="404">
        <f>IFERROR(IF(B51=Hwy,D63*F63/H63,L63/H63),0)</f>
        <v>0</v>
      </c>
      <c r="O63" s="403">
        <f>MAX(TREND(O57:O58,$B57:$B58,$B63),0)</f>
        <v>0</v>
      </c>
      <c r="P63" s="404">
        <f>MAX(TREND(P57:P58,$B57:$B58,$B63),0)</f>
        <v>0</v>
      </c>
      <c r="Q63" s="402">
        <f>TREND(Q57:Q58,$B57:$B58,$B63)</f>
        <v>0</v>
      </c>
      <c r="R63" s="802">
        <f>IF(Induced="N",0,(IF(B51=Hwy,M63*(I63*ValTimeTruck+(1-I63)*ValTimeAuto)-N63*(J63*ValTimeTruck+(1-J63)*ValTimeAuto),(IF(INDEX($P$157:$X$160,MATCH(B51,$O$157:$O$160,0),7)&gt;0,INDEX($P$157:$X$160,MATCH(B51,$O$157:$O$160,0),7)/IF(INDEX($P$157:$X$160,MATCH(B51,$O$157:$O$160,0),6)=0,1,INDEX($P$157:$X$160,MATCH(B51,$O$157:$O$160,0),6)),M63)-N63)*ValTimeAuto)+O63-P63)*(H63-Q63)*0.5*(1+TTUprater)^($B63-YearCurrent))</f>
        <v>0</v>
      </c>
      <c r="S63" s="780">
        <f t="shared" si="7"/>
        <v>0</v>
      </c>
      <c r="T63" s="370">
        <f t="shared" si="8"/>
        <v>0</v>
      </c>
    </row>
    <row r="64" spans="1:20" x14ac:dyDescent="0.25">
      <c r="A64" s="1"/>
      <c r="B64" s="375">
        <f t="shared" si="9"/>
        <v>2030</v>
      </c>
      <c r="C64" s="401">
        <f>MAX(TREND(C57:C58,B57:B58,B64),0)</f>
        <v>0</v>
      </c>
      <c r="D64" s="402">
        <f>MAX(TREND(D57:D58,B57:B58,B64),0)</f>
        <v>0</v>
      </c>
      <c r="E64" s="986"/>
      <c r="F64" s="987"/>
      <c r="G64" s="401">
        <f>MAX(TREND(G57:G58,$B57:$B58,$B64),0)</f>
        <v>0</v>
      </c>
      <c r="H64" s="402">
        <f>MAX(TREND(H57:H58,$B57:$B58,$B64),0)</f>
        <v>0</v>
      </c>
      <c r="I64" s="986"/>
      <c r="J64" s="987"/>
      <c r="K64" s="401">
        <f>MAX(TREND(K57:K58,B57:B58,B64),0)</f>
        <v>0</v>
      </c>
      <c r="L64" s="402">
        <f>MAX(TREND(L57:L58,B57:B58,B64),0)</f>
        <v>0</v>
      </c>
      <c r="M64" s="403">
        <f>IFERROR(IF(B51=Hwy,C64*E64/G64,K64/G64),0)</f>
        <v>0</v>
      </c>
      <c r="N64" s="404">
        <f>IFERROR(IF(B51=Hwy,D64*F64/H64,L64/H64),0)</f>
        <v>0</v>
      </c>
      <c r="O64" s="403">
        <f>MAX(TREND(O57:O58,$B57:$B58,$B64),0)</f>
        <v>0</v>
      </c>
      <c r="P64" s="404">
        <f>MAX(TREND(P57:P58,$B57:$B58,$B64),0)</f>
        <v>0</v>
      </c>
      <c r="Q64" s="402">
        <f>TREND(Q57:Q58,$B57:$B58,$B64)</f>
        <v>0</v>
      </c>
      <c r="R64" s="802">
        <f>IF(Induced="N",0,(IF(B51=Hwy,M64*(I64*ValTimeTruck+(1-I64)*ValTimeAuto)-N64*(J64*ValTimeTruck+(1-J64)*ValTimeAuto),(IF(INDEX($P$157:$X$160,MATCH(B51,$O$157:$O$160,0),7)&gt;0,INDEX($P$157:$X$160,MATCH(B51,$O$157:$O$160,0),7)/IF(INDEX($P$157:$X$160,MATCH(B51,$O$157:$O$160,0),6)=0,1,INDEX($P$157:$X$160,MATCH(B51,$O$157:$O$160,0),6)),M64)-N64)*ValTimeAuto)+O64-P64)*(H64-Q64)*0.5*(1+TTUprater)^($B64-YearCurrent))</f>
        <v>0</v>
      </c>
      <c r="S64" s="780">
        <f t="shared" si="7"/>
        <v>0</v>
      </c>
      <c r="T64" s="370">
        <f t="shared" si="8"/>
        <v>0</v>
      </c>
    </row>
    <row r="65" spans="1:20" x14ac:dyDescent="0.25">
      <c r="A65" s="1"/>
      <c r="B65" s="375">
        <f t="shared" si="9"/>
        <v>2031</v>
      </c>
      <c r="C65" s="401">
        <f>MAX(TREND(C57:C58,B57:B58,B65),0)</f>
        <v>0</v>
      </c>
      <c r="D65" s="402">
        <f>MAX(TREND(D57:D58,B57:B58,B65),0)</f>
        <v>0</v>
      </c>
      <c r="E65" s="986"/>
      <c r="F65" s="987"/>
      <c r="G65" s="401">
        <f>MAX(TREND(G57:G58,$B57:$B58,$B65),0)</f>
        <v>0</v>
      </c>
      <c r="H65" s="402">
        <f>MAX(TREND(H57:H58,$B57:$B58,$B65),0)</f>
        <v>0</v>
      </c>
      <c r="I65" s="986"/>
      <c r="J65" s="987"/>
      <c r="K65" s="401">
        <f>MAX(TREND(K57:K58,B57:B58,B65),0)</f>
        <v>0</v>
      </c>
      <c r="L65" s="402">
        <f>MAX(TREND(L57:L58,B57:B58,B65),0)</f>
        <v>0</v>
      </c>
      <c r="M65" s="403">
        <f>IFERROR(IF(B51=Hwy,C65*E65/G65,K65/G65),0)</f>
        <v>0</v>
      </c>
      <c r="N65" s="404">
        <f>IFERROR(IF(B51=Hwy,D65*F65/H65,L65/H65),0)</f>
        <v>0</v>
      </c>
      <c r="O65" s="403">
        <f>MAX(TREND(O57:O58,$B57:$B58,$B65),0)</f>
        <v>0</v>
      </c>
      <c r="P65" s="404">
        <f>MAX(TREND(P57:P58,$B57:$B58,$B65),0)</f>
        <v>0</v>
      </c>
      <c r="Q65" s="402">
        <f>TREND(Q57:Q58,$B57:$B58,$B65)</f>
        <v>0</v>
      </c>
      <c r="R65" s="802">
        <f>IF(Induced="N",0,(IF(B51=Hwy,M65*(I65*ValTimeTruck+(1-I65)*ValTimeAuto)-N65*(J65*ValTimeTruck+(1-J65)*ValTimeAuto),(IF(INDEX($P$157:$X$160,MATCH(B51,$O$157:$O$160,0),7)&gt;0,INDEX($P$157:$X$160,MATCH(B51,$O$157:$O$160,0),7)/IF(INDEX($P$157:$X$160,MATCH(B51,$O$157:$O$160,0),6)=0,1,INDEX($P$157:$X$160,MATCH(B51,$O$157:$O$160,0),6)),M65)-N65)*ValTimeAuto)+O65-P65)*(H65-Q65)*0.5*(1+TTUprater)^($B65-YearCurrent))</f>
        <v>0</v>
      </c>
      <c r="S65" s="780">
        <f t="shared" si="7"/>
        <v>0</v>
      </c>
      <c r="T65" s="370">
        <f t="shared" si="8"/>
        <v>0</v>
      </c>
    </row>
    <row r="66" spans="1:20" x14ac:dyDescent="0.25">
      <c r="A66" s="1"/>
      <c r="B66" s="375">
        <f t="shared" si="9"/>
        <v>2032</v>
      </c>
      <c r="C66" s="401">
        <f>MAX(TREND(C57:C58,B57:B58,B66),0)</f>
        <v>0</v>
      </c>
      <c r="D66" s="402">
        <f>MAX(TREND(D57:D58,B57:B58,B66),0)</f>
        <v>0</v>
      </c>
      <c r="E66" s="986"/>
      <c r="F66" s="987"/>
      <c r="G66" s="401">
        <f>MAX(TREND(G57:G58,$B57:$B58,$B66),0)</f>
        <v>0</v>
      </c>
      <c r="H66" s="402">
        <f>MAX(TREND(H57:H58,$B57:$B58,$B66),0)</f>
        <v>0</v>
      </c>
      <c r="I66" s="986"/>
      <c r="J66" s="987"/>
      <c r="K66" s="401">
        <f>MAX(TREND(K57:K58,B57:B58,B66),0)</f>
        <v>0</v>
      </c>
      <c r="L66" s="402">
        <f>MAX(TREND(L57:L58,B57:B58,B66),0)</f>
        <v>0</v>
      </c>
      <c r="M66" s="403">
        <f>IFERROR(IF(B51=Hwy,C66*E66/G66,K66/G66),0)</f>
        <v>0</v>
      </c>
      <c r="N66" s="404">
        <f>IFERROR(IF(B51=Hwy,D66*F66/H66,L66/H66),0)</f>
        <v>0</v>
      </c>
      <c r="O66" s="403">
        <f>MAX(TREND(O57:O58,$B57:$B58,$B66),0)</f>
        <v>0</v>
      </c>
      <c r="P66" s="404">
        <f>MAX(TREND(P57:P58,$B57:$B58,$B66),0)</f>
        <v>0</v>
      </c>
      <c r="Q66" s="402">
        <f>TREND(Q57:Q58,$B57:$B58,$B66)</f>
        <v>0</v>
      </c>
      <c r="R66" s="802">
        <f>IF(Induced="N",0,(IF(B51=Hwy,M66*(I66*ValTimeTruck+(1-I66)*ValTimeAuto)-N66*(J66*ValTimeTruck+(1-J66)*ValTimeAuto),(IF(INDEX($P$157:$X$160,MATCH(B51,$O$157:$O$160,0),7)&gt;0,INDEX($P$157:$X$160,MATCH(B51,$O$157:$O$160,0),7)/IF(INDEX($P$157:$X$160,MATCH(B51,$O$157:$O$160,0),6)=0,1,INDEX($P$157:$X$160,MATCH(B51,$O$157:$O$160,0),6)),M66)-N66)*ValTimeAuto)+O66-P66)*(H66-Q66)*0.5*(1+TTUprater)^($B66-YearCurrent))</f>
        <v>0</v>
      </c>
      <c r="S66" s="780">
        <f t="shared" si="7"/>
        <v>0</v>
      </c>
      <c r="T66" s="370">
        <f t="shared" si="8"/>
        <v>0</v>
      </c>
    </row>
    <row r="67" spans="1:20" x14ac:dyDescent="0.25">
      <c r="A67" s="1"/>
      <c r="B67" s="375">
        <f t="shared" si="9"/>
        <v>2033</v>
      </c>
      <c r="C67" s="401">
        <f>MAX(TREND(C57:C58,B57:B58,B67),0)</f>
        <v>0</v>
      </c>
      <c r="D67" s="402">
        <f>MAX(TREND(D57:D58,B57:B58,B67),0)</f>
        <v>0</v>
      </c>
      <c r="E67" s="986"/>
      <c r="F67" s="987"/>
      <c r="G67" s="401">
        <f>MAX(TREND(G57:G58,$B57:$B58,$B67),0)</f>
        <v>0</v>
      </c>
      <c r="H67" s="402">
        <f>MAX(TREND(H57:H58,$B57:$B58,$B67),0)</f>
        <v>0</v>
      </c>
      <c r="I67" s="986"/>
      <c r="J67" s="987"/>
      <c r="K67" s="401">
        <f>MAX(TREND(K57:K58,B57:B58,B67),0)</f>
        <v>0</v>
      </c>
      <c r="L67" s="402">
        <f>MAX(TREND(L57:L58,B57:B58,B67),0)</f>
        <v>0</v>
      </c>
      <c r="M67" s="403">
        <f>IFERROR(IF(B51=Hwy,C67*E67/G67,K67/G67),0)</f>
        <v>0</v>
      </c>
      <c r="N67" s="404">
        <f>IFERROR(IF(B51=Hwy,D67*F67/H67,L67/H67),0)</f>
        <v>0</v>
      </c>
      <c r="O67" s="403">
        <f>MAX(TREND(O57:O58,$B57:$B58,$B67),0)</f>
        <v>0</v>
      </c>
      <c r="P67" s="404">
        <f>MAX(TREND(P57:P58,$B57:$B58,$B67),0)</f>
        <v>0</v>
      </c>
      <c r="Q67" s="402">
        <f>TREND(Q57:Q58,$B57:$B58,$B67)</f>
        <v>0</v>
      </c>
      <c r="R67" s="802">
        <f>IF(Induced="N",0,(IF(B51=Hwy,M67*(I67*ValTimeTruck+(1-I67)*ValTimeAuto)-N67*(J67*ValTimeTruck+(1-J67)*ValTimeAuto),(IF(INDEX($P$157:$X$160,MATCH(B51,$O$157:$O$160,0),7)&gt;0,INDEX($P$157:$X$160,MATCH(B51,$O$157:$O$160,0),7)/IF(INDEX($P$157:$X$160,MATCH(B51,$O$157:$O$160,0),6)=0,1,INDEX($P$157:$X$160,MATCH(B51,$O$157:$O$160,0),6)),M67)-N67)*ValTimeAuto)+O67-P67)*(H67-Q67)*0.5*(1+TTUprater)^($B67-YearCurrent))</f>
        <v>0</v>
      </c>
      <c r="S67" s="780">
        <f t="shared" si="7"/>
        <v>0</v>
      </c>
      <c r="T67" s="370">
        <f t="shared" si="8"/>
        <v>0</v>
      </c>
    </row>
    <row r="68" spans="1:20" x14ac:dyDescent="0.25">
      <c r="A68" s="1"/>
      <c r="B68" s="375">
        <f t="shared" si="9"/>
        <v>2034</v>
      </c>
      <c r="C68" s="401">
        <f>MAX(TREND(C57:C58,B57:B58,B68),0)</f>
        <v>0</v>
      </c>
      <c r="D68" s="402">
        <f>MAX(TREND(D57:D58,B57:B58,B68),0)</f>
        <v>0</v>
      </c>
      <c r="E68" s="986"/>
      <c r="F68" s="987"/>
      <c r="G68" s="401">
        <f>MAX(TREND(G57:G58,$B57:$B58,$B68),0)</f>
        <v>0</v>
      </c>
      <c r="H68" s="402">
        <f>MAX(TREND(H57:H58,$B57:$B58,$B68),0)</f>
        <v>0</v>
      </c>
      <c r="I68" s="986"/>
      <c r="J68" s="987"/>
      <c r="K68" s="401">
        <f>MAX(TREND(K57:K58,B57:B58,B68),0)</f>
        <v>0</v>
      </c>
      <c r="L68" s="402">
        <f>MAX(TREND(L57:L58,B57:B58,B68),0)</f>
        <v>0</v>
      </c>
      <c r="M68" s="403">
        <f>IFERROR(IF(B51=Hwy,C68*E68/G68,K68/G68),0)</f>
        <v>0</v>
      </c>
      <c r="N68" s="404">
        <f>IFERROR(IF(B51=Hwy,D68*F68/H68,L68/H68),0)</f>
        <v>0</v>
      </c>
      <c r="O68" s="403">
        <f>MAX(TREND(O57:O58,$B57:$B58,$B68),0)</f>
        <v>0</v>
      </c>
      <c r="P68" s="404">
        <f>MAX(TREND(P57:P58,$B57:$B58,$B68),0)</f>
        <v>0</v>
      </c>
      <c r="Q68" s="402">
        <f>TREND(Q57:Q58,$B57:$B58,$B68)</f>
        <v>0</v>
      </c>
      <c r="R68" s="802">
        <f>IF(Induced="N",0,(IF(B51=Hwy,M68*(I68*ValTimeTruck+(1-I68)*ValTimeAuto)-N68*(J68*ValTimeTruck+(1-J68)*ValTimeAuto),(IF(INDEX($P$157:$X$160,MATCH(B51,$O$157:$O$160,0),7)&gt;0,INDEX($P$157:$X$160,MATCH(B51,$O$157:$O$160,0),7)/IF(INDEX($P$157:$X$160,MATCH(B51,$O$157:$O$160,0),6)=0,1,INDEX($P$157:$X$160,MATCH(B51,$O$157:$O$160,0),6)),M68)-N68)*ValTimeAuto)+O68-P68)*(H68-Q68)*0.5*(1+TTUprater)^($B68-YearCurrent))</f>
        <v>0</v>
      </c>
      <c r="S68" s="780">
        <f t="shared" si="7"/>
        <v>0</v>
      </c>
      <c r="T68" s="370">
        <f t="shared" si="8"/>
        <v>0</v>
      </c>
    </row>
    <row r="69" spans="1:20" x14ac:dyDescent="0.25">
      <c r="A69" s="1"/>
      <c r="B69" s="375">
        <f t="shared" si="9"/>
        <v>2035</v>
      </c>
      <c r="C69" s="401">
        <f>MAX(TREND(C57:C58,B57:B58,B69),0)</f>
        <v>0</v>
      </c>
      <c r="D69" s="402">
        <f>MAX(TREND(D57:D58,B57:B58,B69),0)</f>
        <v>0</v>
      </c>
      <c r="E69" s="986"/>
      <c r="F69" s="987"/>
      <c r="G69" s="401">
        <f>MAX(TREND(G57:G58,$B57:$B58,$B69),0)</f>
        <v>0</v>
      </c>
      <c r="H69" s="402">
        <f>MAX(TREND(H57:H58,$B57:$B58,$B69),0)</f>
        <v>0</v>
      </c>
      <c r="I69" s="986"/>
      <c r="J69" s="987"/>
      <c r="K69" s="401">
        <f>MAX(TREND(K57:K58,B57:B58,B69),0)</f>
        <v>0</v>
      </c>
      <c r="L69" s="402">
        <f>MAX(TREND(L57:L58,B57:B58,B69),0)</f>
        <v>0</v>
      </c>
      <c r="M69" s="403">
        <f>IFERROR(IF(B51=Hwy,C69*E69/G69,K69/G69),0)</f>
        <v>0</v>
      </c>
      <c r="N69" s="404">
        <f>IFERROR(IF(B51=Hwy,D69*F69/H69,L69/H69),0)</f>
        <v>0</v>
      </c>
      <c r="O69" s="403">
        <f>MAX(TREND(O57:O58,$B57:$B58,$B69),0)</f>
        <v>0</v>
      </c>
      <c r="P69" s="404">
        <f>MAX(TREND(P57:P58,$B57:$B58,$B69),0)</f>
        <v>0</v>
      </c>
      <c r="Q69" s="402">
        <f>TREND(Q57:Q58,$B57:$B58,$B69)</f>
        <v>0</v>
      </c>
      <c r="R69" s="802">
        <f>IF(Induced="N",0,(IF(B51=Hwy,M69*(I69*ValTimeTruck+(1-I69)*ValTimeAuto)-N69*(J69*ValTimeTruck+(1-J69)*ValTimeAuto),(IF(INDEX($P$157:$X$160,MATCH(B51,$O$157:$O$160,0),7)&gt;0,INDEX($P$157:$X$160,MATCH(B51,$O$157:$O$160,0),7)/IF(INDEX($P$157:$X$160,MATCH(B51,$O$157:$O$160,0),6)=0,1,INDEX($P$157:$X$160,MATCH(B51,$O$157:$O$160,0),6)),M69)-N69)*ValTimeAuto)+O69-P69)*(H69-Q69)*0.5*(1+TTUprater)^($B69-YearCurrent))</f>
        <v>0</v>
      </c>
      <c r="S69" s="780">
        <f t="shared" si="7"/>
        <v>0</v>
      </c>
      <c r="T69" s="370">
        <f t="shared" si="8"/>
        <v>0</v>
      </c>
    </row>
    <row r="70" spans="1:20" x14ac:dyDescent="0.25">
      <c r="A70" s="1"/>
      <c r="B70" s="375">
        <f t="shared" si="9"/>
        <v>2036</v>
      </c>
      <c r="C70" s="401">
        <f>MAX(TREND(C57:C58,B57:B58,B70),0)</f>
        <v>0</v>
      </c>
      <c r="D70" s="402">
        <f>MAX(TREND(D57:D58,B57:B58,B70),0)</f>
        <v>0</v>
      </c>
      <c r="E70" s="986"/>
      <c r="F70" s="987"/>
      <c r="G70" s="401">
        <f>MAX(TREND(G57:G58,$B57:$B58,$B70),0)</f>
        <v>0</v>
      </c>
      <c r="H70" s="402">
        <f>MAX(TREND(H57:H58,$B57:$B58,$B70),0)</f>
        <v>0</v>
      </c>
      <c r="I70" s="986"/>
      <c r="J70" s="987"/>
      <c r="K70" s="401">
        <f>MAX(TREND(K57:K58,B57:B58,B70),0)</f>
        <v>0</v>
      </c>
      <c r="L70" s="402">
        <f>MAX(TREND(L57:L58,B57:B58,B70),0)</f>
        <v>0</v>
      </c>
      <c r="M70" s="403">
        <f>IFERROR(IF(B51=Hwy,C70*E70/G70,K70/G70),0)</f>
        <v>0</v>
      </c>
      <c r="N70" s="404">
        <f>IFERROR(IF(B51=Hwy,D70*F70/H70,L70/H70),0)</f>
        <v>0</v>
      </c>
      <c r="O70" s="403">
        <f>MAX(TREND(O57:O58,$B57:$B58,$B70),0)</f>
        <v>0</v>
      </c>
      <c r="P70" s="404">
        <f>MAX(TREND(P57:P58,$B57:$B58,$B70),0)</f>
        <v>0</v>
      </c>
      <c r="Q70" s="402">
        <f>TREND(Q57:Q58,$B57:$B58,$B70)</f>
        <v>0</v>
      </c>
      <c r="R70" s="802">
        <f>IF(Induced="N",0,(IF(B51=Hwy,M70*(I70*ValTimeTruck+(1-I70)*ValTimeAuto)-N70*(J70*ValTimeTruck+(1-J70)*ValTimeAuto),(IF(INDEX($P$157:$X$160,MATCH(B51,$O$157:$O$160,0),7)&gt;0,INDEX($P$157:$X$160,MATCH(B51,$O$157:$O$160,0),7)/IF(INDEX($P$157:$X$160,MATCH(B51,$O$157:$O$160,0),6)=0,1,INDEX($P$157:$X$160,MATCH(B51,$O$157:$O$160,0),6)),M70)-N70)*ValTimeAuto)+O70-P70)*(H70-Q70)*0.5*(1+TTUprater)^($B70-YearCurrent))</f>
        <v>0</v>
      </c>
      <c r="S70" s="780">
        <f t="shared" si="7"/>
        <v>0</v>
      </c>
      <c r="T70" s="370">
        <f t="shared" si="8"/>
        <v>0</v>
      </c>
    </row>
    <row r="71" spans="1:20" x14ac:dyDescent="0.25">
      <c r="A71" s="1"/>
      <c r="B71" s="375">
        <f t="shared" si="9"/>
        <v>2037</v>
      </c>
      <c r="C71" s="401">
        <f>MAX(TREND(C57:C58,B57:B58,B71),0)</f>
        <v>0</v>
      </c>
      <c r="D71" s="402">
        <f>MAX(TREND(D57:D58,B57:B58,B71),0)</f>
        <v>0</v>
      </c>
      <c r="E71" s="986"/>
      <c r="F71" s="987"/>
      <c r="G71" s="401">
        <f>MAX(TREND(G57:G58,$B57:$B58,$B71),0)</f>
        <v>0</v>
      </c>
      <c r="H71" s="402">
        <f>MAX(TREND(H57:H58,$B57:$B58,$B71),0)</f>
        <v>0</v>
      </c>
      <c r="I71" s="986"/>
      <c r="J71" s="987"/>
      <c r="K71" s="401">
        <f>MAX(TREND(K57:K58,B57:B58,B71),0)</f>
        <v>0</v>
      </c>
      <c r="L71" s="402">
        <f>MAX(TREND(L57:L58,B57:B58,B71),0)</f>
        <v>0</v>
      </c>
      <c r="M71" s="403">
        <f>IFERROR(IF(B51=Hwy,C71*E71/G71,K71/G71),0)</f>
        <v>0</v>
      </c>
      <c r="N71" s="404">
        <f>IFERROR(IF(B51=Hwy,D71*F71/H71,L71/H71),0)</f>
        <v>0</v>
      </c>
      <c r="O71" s="403">
        <f>MAX(TREND(O57:O58,$B57:$B58,$B71),0)</f>
        <v>0</v>
      </c>
      <c r="P71" s="404">
        <f>MAX(TREND(P57:P58,$B57:$B58,$B71),0)</f>
        <v>0</v>
      </c>
      <c r="Q71" s="402">
        <f>TREND(Q57:Q58,$B57:$B58,$B71)</f>
        <v>0</v>
      </c>
      <c r="R71" s="802">
        <f>IF(Induced="N",0,(IF(B51=Hwy,M71*(I71*ValTimeTruck+(1-I71)*ValTimeAuto)-N71*(J71*ValTimeTruck+(1-J71)*ValTimeAuto),(IF(INDEX($P$157:$X$160,MATCH(B51,$O$157:$O$160,0),7)&gt;0,INDEX($P$157:$X$160,MATCH(B51,$O$157:$O$160,0),7)/IF(INDEX($P$157:$X$160,MATCH(B51,$O$157:$O$160,0),6)=0,1,INDEX($P$157:$X$160,MATCH(B51,$O$157:$O$160,0),6)),M71)-N71)*ValTimeAuto)+O71-P71)*(H71-Q71)*0.5*(1+TTUprater)^($B71-YearCurrent))</f>
        <v>0</v>
      </c>
      <c r="S71" s="780">
        <f t="shared" si="7"/>
        <v>0</v>
      </c>
      <c r="T71" s="370">
        <f t="shared" si="8"/>
        <v>0</v>
      </c>
    </row>
    <row r="72" spans="1:20" x14ac:dyDescent="0.25">
      <c r="A72" s="1"/>
      <c r="B72" s="375">
        <f t="shared" si="9"/>
        <v>2038</v>
      </c>
      <c r="C72" s="401">
        <f>MAX(TREND(C57:C58,B57:B58,B72),0)</f>
        <v>0</v>
      </c>
      <c r="D72" s="402">
        <f>MAX(TREND(D57:D58,B57:B58,B72),0)</f>
        <v>0</v>
      </c>
      <c r="E72" s="986"/>
      <c r="F72" s="987"/>
      <c r="G72" s="401">
        <f>MAX(TREND(G57:G58,$B57:$B58,$B72),0)</f>
        <v>0</v>
      </c>
      <c r="H72" s="402">
        <f>MAX(TREND(H57:H58,$B57:$B58,$B72),0)</f>
        <v>0</v>
      </c>
      <c r="I72" s="986"/>
      <c r="J72" s="987"/>
      <c r="K72" s="401">
        <f>MAX(TREND(K57:K58,B57:B58,B72),0)</f>
        <v>0</v>
      </c>
      <c r="L72" s="402">
        <f>MAX(TREND(L57:L58,B57:B58,B72),0)</f>
        <v>0</v>
      </c>
      <c r="M72" s="403">
        <f>IFERROR(IF(B51=Hwy,C72*E72/G72,K72/G72),0)</f>
        <v>0</v>
      </c>
      <c r="N72" s="404">
        <f>IFERROR(IF(B51=Hwy,D72*F72/H72,L72/H72),0)</f>
        <v>0</v>
      </c>
      <c r="O72" s="403">
        <f>MAX(TREND(O57:O58,$B57:$B58,$B72),0)</f>
        <v>0</v>
      </c>
      <c r="P72" s="404">
        <f>MAX(TREND(P57:P58,$B57:$B58,$B72),0)</f>
        <v>0</v>
      </c>
      <c r="Q72" s="402">
        <f>TREND(Q57:Q58,$B57:$B58,$B72)</f>
        <v>0</v>
      </c>
      <c r="R72" s="802">
        <f>IF(Induced="N",0,(IF(B51=Hwy,M72*(I72*ValTimeTruck+(1-I72)*ValTimeAuto)-N72*(J72*ValTimeTruck+(1-J72)*ValTimeAuto),(IF(INDEX($P$157:$X$160,MATCH(B51,$O$157:$O$160,0),7)&gt;0,INDEX($P$157:$X$160,MATCH(B51,$O$157:$O$160,0),7)/IF(INDEX($P$157:$X$160,MATCH(B51,$O$157:$O$160,0),6)=0,1,INDEX($P$157:$X$160,MATCH(B51,$O$157:$O$160,0),6)),M72)-N72)*ValTimeAuto)+O72-P72)*(H72-Q72)*0.5*(1+TTUprater)^($B72-YearCurrent))</f>
        <v>0</v>
      </c>
      <c r="S72" s="780">
        <f t="shared" si="7"/>
        <v>0</v>
      </c>
      <c r="T72" s="370">
        <f t="shared" si="8"/>
        <v>0</v>
      </c>
    </row>
    <row r="73" spans="1:20" x14ac:dyDescent="0.25">
      <c r="A73" s="1"/>
      <c r="B73" s="375">
        <f t="shared" si="9"/>
        <v>2039</v>
      </c>
      <c r="C73" s="401">
        <f>MAX(TREND(C57:C58,B57:B58,B73),0)</f>
        <v>0</v>
      </c>
      <c r="D73" s="402">
        <f>MAX(TREND(D57:D58,B57:B58,B73),0)</f>
        <v>0</v>
      </c>
      <c r="E73" s="986"/>
      <c r="F73" s="987"/>
      <c r="G73" s="401">
        <f>MAX(TREND(G57:G58,$B57:$B58,$B73),0)</f>
        <v>0</v>
      </c>
      <c r="H73" s="402">
        <f>MAX(TREND(H57:H58,$B57:$B58,$B73),0)</f>
        <v>0</v>
      </c>
      <c r="I73" s="986"/>
      <c r="J73" s="987"/>
      <c r="K73" s="401">
        <f>MAX(TREND(K57:K58,B57:B58,B73),0)</f>
        <v>0</v>
      </c>
      <c r="L73" s="402">
        <f>MAX(TREND(L57:L58,B57:B58,B73),0)</f>
        <v>0</v>
      </c>
      <c r="M73" s="403">
        <f>IFERROR(IF(B51=Hwy,C73*E73/G73,K73/G73),0)</f>
        <v>0</v>
      </c>
      <c r="N73" s="404">
        <f>IFERROR(IF(B51=Hwy,D73*F73/H73,L73/H73),0)</f>
        <v>0</v>
      </c>
      <c r="O73" s="403">
        <f>MAX(TREND(O57:O58,$B57:$B58,$B73),0)</f>
        <v>0</v>
      </c>
      <c r="P73" s="404">
        <f>MAX(TREND(P57:P58,$B57:$B58,$B73),0)</f>
        <v>0</v>
      </c>
      <c r="Q73" s="402">
        <f>TREND(Q57:Q58,$B57:$B58,$B73)</f>
        <v>0</v>
      </c>
      <c r="R73" s="802">
        <f>IF(Induced="N",0,(IF(B51=Hwy,M73*(I73*ValTimeTruck+(1-I73)*ValTimeAuto)-N73*(J73*ValTimeTruck+(1-J73)*ValTimeAuto),(IF(INDEX($P$157:$X$160,MATCH(B51,$O$157:$O$160,0),7)&gt;0,INDEX($P$157:$X$160,MATCH(B51,$O$157:$O$160,0),7)/IF(INDEX($P$157:$X$160,MATCH(B51,$O$157:$O$160,0),6)=0,1,INDEX($P$157:$X$160,MATCH(B51,$O$157:$O$160,0),6)),M73)-N73)*ValTimeAuto)+O73-P73)*(H73-Q73)*0.5*(1+TTUprater)^($B73-YearCurrent))</f>
        <v>0</v>
      </c>
      <c r="S73" s="780">
        <f t="shared" si="7"/>
        <v>0</v>
      </c>
      <c r="T73" s="370">
        <f t="shared" si="8"/>
        <v>0</v>
      </c>
    </row>
    <row r="74" spans="1:20" x14ac:dyDescent="0.25">
      <c r="A74" s="1"/>
      <c r="B74" s="375">
        <f t="shared" si="9"/>
        <v>2040</v>
      </c>
      <c r="C74" s="401">
        <f>MAX(TREND(C57:C58,B57:B58,B74),0)</f>
        <v>0</v>
      </c>
      <c r="D74" s="402">
        <f>MAX(TREND(D57:D58,B57:B58,B74),0)</f>
        <v>0</v>
      </c>
      <c r="E74" s="986"/>
      <c r="F74" s="987"/>
      <c r="G74" s="401">
        <f>MAX(TREND(G57:G58,$B57:$B58,$B74),0)</f>
        <v>0</v>
      </c>
      <c r="H74" s="402">
        <f>MAX(TREND(H57:H58,$B57:$B58,$B74),0)</f>
        <v>0</v>
      </c>
      <c r="I74" s="986"/>
      <c r="J74" s="987"/>
      <c r="K74" s="401">
        <f>MAX(TREND(K57:K58,B57:B58,B74),0)</f>
        <v>0</v>
      </c>
      <c r="L74" s="402">
        <f>MAX(TREND(L57:L58,B57:B58,B74),0)</f>
        <v>0</v>
      </c>
      <c r="M74" s="403">
        <f>IFERROR(IF(B51=Hwy,C74*E74/G74,K74/G74),0)</f>
        <v>0</v>
      </c>
      <c r="N74" s="404">
        <f>IFERROR(IF(B51=Hwy,D74*F74/H74,L74/H74),0)</f>
        <v>0</v>
      </c>
      <c r="O74" s="403">
        <f>MAX(TREND(O57:O58,$B57:$B58,$B74),0)</f>
        <v>0</v>
      </c>
      <c r="P74" s="404">
        <f>MAX(TREND(P57:P58,$B57:$B58,$B74),0)</f>
        <v>0</v>
      </c>
      <c r="Q74" s="402">
        <f>TREND(Q57:Q58,$B57:$B58,$B74)</f>
        <v>0</v>
      </c>
      <c r="R74" s="802">
        <f>IF(Induced="N",0,(IF(B51=Hwy,M74*(I74*ValTimeTruck+(1-I74)*ValTimeAuto)-N74*(J74*ValTimeTruck+(1-J74)*ValTimeAuto),(IF(INDEX($P$157:$X$160,MATCH(B51,$O$157:$O$160,0),7)&gt;0,INDEX($P$157:$X$160,MATCH(B51,$O$157:$O$160,0),7)/IF(INDEX($P$157:$X$160,MATCH(B51,$O$157:$O$160,0),6)=0,1,INDEX($P$157:$X$160,MATCH(B51,$O$157:$O$160,0),6)),M74)-N74)*ValTimeAuto)+O74-P74)*(H74-Q74)*0.5*(1+TTUprater)^($B74-YearCurrent))</f>
        <v>0</v>
      </c>
      <c r="S74" s="780">
        <f t="shared" si="7"/>
        <v>0</v>
      </c>
      <c r="T74" s="370">
        <f t="shared" si="8"/>
        <v>0</v>
      </c>
    </row>
    <row r="75" spans="1:20" x14ac:dyDescent="0.25">
      <c r="A75" s="1"/>
      <c r="B75" s="375">
        <f t="shared" si="9"/>
        <v>2041</v>
      </c>
      <c r="C75" s="401">
        <f>MAX(TREND(C57:C58,B57:B58,B75),0)</f>
        <v>0</v>
      </c>
      <c r="D75" s="402">
        <f>MAX(TREND(D57:D58,B57:B58,B75),0)</f>
        <v>0</v>
      </c>
      <c r="E75" s="986"/>
      <c r="F75" s="987"/>
      <c r="G75" s="401">
        <f>MAX(TREND(G57:G58,$B57:$B58,$B75),0)</f>
        <v>0</v>
      </c>
      <c r="H75" s="402">
        <f>MAX(TREND(H57:H58,$B57:$B58,$B75),0)</f>
        <v>0</v>
      </c>
      <c r="I75" s="986"/>
      <c r="J75" s="987"/>
      <c r="K75" s="401">
        <f>MAX(TREND(K57:K58,B57:B58,B75),0)</f>
        <v>0</v>
      </c>
      <c r="L75" s="402">
        <f>MAX(TREND(L57:L58,B57:B58,B75),0)</f>
        <v>0</v>
      </c>
      <c r="M75" s="403">
        <f>IFERROR(IF(B51=Hwy,C75*E75/G75,K75/G75),0)</f>
        <v>0</v>
      </c>
      <c r="N75" s="404">
        <f>IFERROR(IF(B51=Hwy,D75*F75/H75,L75/H75),0)</f>
        <v>0</v>
      </c>
      <c r="O75" s="403">
        <f>MAX(TREND(O57:O58,$B57:$B58,$B75),0)</f>
        <v>0</v>
      </c>
      <c r="P75" s="404">
        <f>MAX(TREND(P57:P58,$B57:$B58,$B75),0)</f>
        <v>0</v>
      </c>
      <c r="Q75" s="402">
        <f>TREND(Q57:Q58,$B57:$B58,$B75)</f>
        <v>0</v>
      </c>
      <c r="R75" s="802">
        <f>IF(Induced="N",0,(IF(B51=Hwy,M75*(I75*ValTimeTruck+(1-I75)*ValTimeAuto)-N75*(J75*ValTimeTruck+(1-J75)*ValTimeAuto),(IF(INDEX($P$157:$X$160,MATCH(B51,$O$157:$O$160,0),7)&gt;0,INDEX($P$157:$X$160,MATCH(B51,$O$157:$O$160,0),7)/IF(INDEX($P$157:$X$160,MATCH(B51,$O$157:$O$160,0),6)=0,1,INDEX($P$157:$X$160,MATCH(B51,$O$157:$O$160,0),6)),M75)-N75)*ValTimeAuto)+O75-P75)*(H75-Q75)*0.5*(1+TTUprater)^($B75-YearCurrent))</f>
        <v>0</v>
      </c>
      <c r="S75" s="780">
        <f t="shared" si="7"/>
        <v>0</v>
      </c>
      <c r="T75" s="370">
        <f t="shared" si="8"/>
        <v>0</v>
      </c>
    </row>
    <row r="76" spans="1:20" x14ac:dyDescent="0.25">
      <c r="A76" s="1"/>
      <c r="B76" s="375">
        <f t="shared" si="9"/>
        <v>2042</v>
      </c>
      <c r="C76" s="401">
        <f>MAX(TREND(C57:C58,B57:B58,B76),0)</f>
        <v>0</v>
      </c>
      <c r="D76" s="402">
        <f>MAX(TREND(D57:D58,B57:B58,B76),0)</f>
        <v>0</v>
      </c>
      <c r="E76" s="986"/>
      <c r="F76" s="987"/>
      <c r="G76" s="401">
        <f>MAX(TREND(G57:G58,$B57:$B58,$B76),0)</f>
        <v>0</v>
      </c>
      <c r="H76" s="402">
        <f>MAX(TREND(H57:H58,$B57:$B58,$B76),0)</f>
        <v>0</v>
      </c>
      <c r="I76" s="986"/>
      <c r="J76" s="987"/>
      <c r="K76" s="401">
        <f>MAX(TREND(K57:K58,B57:B58,B76),0)</f>
        <v>0</v>
      </c>
      <c r="L76" s="402">
        <f>MAX(TREND(L57:L58,B57:B58,B76),0)</f>
        <v>0</v>
      </c>
      <c r="M76" s="403">
        <f>IFERROR(IF(B51=Hwy,C76*E76/G76,K76/G76),0)</f>
        <v>0</v>
      </c>
      <c r="N76" s="404">
        <f>IFERROR(IF(B51=Hwy,D76*F76/H76,L76/H76),0)</f>
        <v>0</v>
      </c>
      <c r="O76" s="403">
        <f>MAX(TREND(O57:O58,$B57:$B58,$B76),0)</f>
        <v>0</v>
      </c>
      <c r="P76" s="404">
        <f>MAX(TREND(P57:P58,$B57:$B58,$B76),0)</f>
        <v>0</v>
      </c>
      <c r="Q76" s="402">
        <f>TREND(Q57:Q58,$B57:$B58,$B76)</f>
        <v>0</v>
      </c>
      <c r="R76" s="802">
        <f>IF(Induced="N",0,(IF(B51=Hwy,M76*(I76*ValTimeTruck+(1-I76)*ValTimeAuto)-N76*(J76*ValTimeTruck+(1-J76)*ValTimeAuto),(IF(INDEX($P$157:$X$160,MATCH(B51,$O$157:$O$160,0),7)&gt;0,INDEX($P$157:$X$160,MATCH(B51,$O$157:$O$160,0),7)/IF(INDEX($P$157:$X$160,MATCH(B51,$O$157:$O$160,0),6)=0,1,INDEX($P$157:$X$160,MATCH(B51,$O$157:$O$160,0),6)),M76)-N76)*ValTimeAuto)+O76-P76)*(H76-Q76)*0.5*(1+TTUprater)^($B76-YearCurrent))</f>
        <v>0</v>
      </c>
      <c r="S76" s="780">
        <f t="shared" si="7"/>
        <v>0</v>
      </c>
      <c r="T76" s="370">
        <f t="shared" si="8"/>
        <v>0</v>
      </c>
    </row>
    <row r="77" spans="1:20" x14ac:dyDescent="0.25">
      <c r="A77" s="1"/>
      <c r="B77" s="375">
        <f t="shared" si="9"/>
        <v>2043</v>
      </c>
      <c r="C77" s="401">
        <f>MAX(TREND(C57:C58,B57:B58,B77),0)</f>
        <v>0</v>
      </c>
      <c r="D77" s="402">
        <f>MAX(TREND(D57:D58,B57:B58,B77),0)</f>
        <v>0</v>
      </c>
      <c r="E77" s="986"/>
      <c r="F77" s="987"/>
      <c r="G77" s="401">
        <f>MAX(TREND(G57:G58,$B57:$B58,$B77),0)</f>
        <v>0</v>
      </c>
      <c r="H77" s="402">
        <f>MAX(TREND(H57:H58,$B57:$B58,$B77),0)</f>
        <v>0</v>
      </c>
      <c r="I77" s="986"/>
      <c r="J77" s="987"/>
      <c r="K77" s="401">
        <f>MAX(TREND(K57:K58,B57:B58,B77),0)</f>
        <v>0</v>
      </c>
      <c r="L77" s="402">
        <f>MAX(TREND(L57:L58,B57:B58,B77),0)</f>
        <v>0</v>
      </c>
      <c r="M77" s="403">
        <f>IFERROR(IF(B51=Hwy,C77*E77/G77,K77/G77),0)</f>
        <v>0</v>
      </c>
      <c r="N77" s="404">
        <f>IFERROR(IF(B51=Hwy,D77*F77/H77,L77/H77),0)</f>
        <v>0</v>
      </c>
      <c r="O77" s="403">
        <f>MAX(TREND(O57:O58,$B57:$B58,$B77),0)</f>
        <v>0</v>
      </c>
      <c r="P77" s="404">
        <f>MAX(TREND(P57:P58,$B57:$B58,$B77),0)</f>
        <v>0</v>
      </c>
      <c r="Q77" s="402">
        <f>TREND(Q57:Q58,$B57:$B58,$B77)</f>
        <v>0</v>
      </c>
      <c r="R77" s="802">
        <f>IF(Induced="N",0,(IF(B51=Hwy,M77*(I77*ValTimeTruck+(1-I77)*ValTimeAuto)-N77*(J77*ValTimeTruck+(1-J77)*ValTimeAuto),(IF(INDEX($P$157:$X$160,MATCH(B51,$O$157:$O$160,0),7)&gt;0,INDEX($P$157:$X$160,MATCH(B51,$O$157:$O$160,0),7)/IF(INDEX($P$157:$X$160,MATCH(B51,$O$157:$O$160,0),6)=0,1,INDEX($P$157:$X$160,MATCH(B51,$O$157:$O$160,0),6)),M77)-N77)*ValTimeAuto)+O77-P77)*(H77-Q77)*0.5*(1+TTUprater)^($B77-YearCurrent))</f>
        <v>0</v>
      </c>
      <c r="S77" s="780">
        <f t="shared" si="7"/>
        <v>0</v>
      </c>
      <c r="T77" s="370">
        <f t="shared" si="8"/>
        <v>0</v>
      </c>
    </row>
    <row r="78" spans="1:20" x14ac:dyDescent="0.25">
      <c r="A78" s="1"/>
      <c r="B78" s="375">
        <f t="shared" si="9"/>
        <v>2044</v>
      </c>
      <c r="C78" s="401">
        <f>MAX(TREND(C57:C58,B57:B58,B78),0)</f>
        <v>0</v>
      </c>
      <c r="D78" s="402">
        <f>MAX(TREND(D57:D58,B57:B58,B78),0)</f>
        <v>0</v>
      </c>
      <c r="E78" s="986"/>
      <c r="F78" s="987"/>
      <c r="G78" s="401">
        <f>MAX(TREND(G57:G58,$B57:$B58,$B78),0)</f>
        <v>0</v>
      </c>
      <c r="H78" s="402">
        <f>MAX(TREND(H57:H58,$B57:$B58,$B78),0)</f>
        <v>0</v>
      </c>
      <c r="I78" s="986"/>
      <c r="J78" s="987"/>
      <c r="K78" s="401">
        <f>MAX(TREND(K57:K58,B57:B58,B78),0)</f>
        <v>0</v>
      </c>
      <c r="L78" s="402">
        <f>MAX(TREND(L57:L58,B57:B58,B78),0)</f>
        <v>0</v>
      </c>
      <c r="M78" s="403">
        <f>IFERROR(IF(B51=Hwy,C78*E78/G78,K78/G78),0)</f>
        <v>0</v>
      </c>
      <c r="N78" s="404">
        <f>IFERROR(IF(B51=Hwy,D78*F78/H78,L78/H78),0)</f>
        <v>0</v>
      </c>
      <c r="O78" s="403">
        <f>MAX(TREND(O57:O58,$B57:$B58,$B78),0)</f>
        <v>0</v>
      </c>
      <c r="P78" s="404">
        <f>MAX(TREND(P57:P58,$B57:$B58,$B78),0)</f>
        <v>0</v>
      </c>
      <c r="Q78" s="402">
        <f>TREND(Q57:Q58,$B57:$B58,$B78)</f>
        <v>0</v>
      </c>
      <c r="R78" s="802">
        <f>IF(Induced="N",0,(IF(B51=Hwy,M78*(I78*ValTimeTruck+(1-I78)*ValTimeAuto)-N78*(J78*ValTimeTruck+(1-J78)*ValTimeAuto),(IF(INDEX($P$157:$X$160,MATCH(B51,$O$157:$O$160,0),7)&gt;0,INDEX($P$157:$X$160,MATCH(B51,$O$157:$O$160,0),7)/IF(INDEX($P$157:$X$160,MATCH(B51,$O$157:$O$160,0),6)=0,1,INDEX($P$157:$X$160,MATCH(B51,$O$157:$O$160,0),6)),M78)-N78)*ValTimeAuto)+O78-P78)*(H78-Q78)*0.5*(1+TTUprater)^($B78-YearCurrent))</f>
        <v>0</v>
      </c>
      <c r="S78" s="780">
        <f t="shared" si="7"/>
        <v>0</v>
      </c>
      <c r="T78" s="370">
        <f t="shared" si="8"/>
        <v>0</v>
      </c>
    </row>
    <row r="79" spans="1:20" x14ac:dyDescent="0.25">
      <c r="A79" s="1"/>
      <c r="B79" s="375">
        <f t="shared" si="9"/>
        <v>2045</v>
      </c>
      <c r="C79" s="401">
        <f>MAX(TREND(C57:C58,B57:B58,B79),0)</f>
        <v>0</v>
      </c>
      <c r="D79" s="402">
        <f>MAX(TREND(D57:D58,B57:B58,B79),0)</f>
        <v>0</v>
      </c>
      <c r="E79" s="986"/>
      <c r="F79" s="987"/>
      <c r="G79" s="401">
        <f>MAX(TREND(G57:G58,$B57:$B58,$B79),0)</f>
        <v>0</v>
      </c>
      <c r="H79" s="402">
        <f>MAX(TREND(H57:H58,$B57:$B58,$B79),0)</f>
        <v>0</v>
      </c>
      <c r="I79" s="986"/>
      <c r="J79" s="987"/>
      <c r="K79" s="401">
        <f>MAX(TREND(K57:K58,B57:B58,B79),0)</f>
        <v>0</v>
      </c>
      <c r="L79" s="402">
        <f>MAX(TREND(L57:L58,B57:B58,B79),0)</f>
        <v>0</v>
      </c>
      <c r="M79" s="403">
        <f>IFERROR(IF(B51=Hwy,C79*E79/G79,K79/G79),0)</f>
        <v>0</v>
      </c>
      <c r="N79" s="404">
        <f>IFERROR(IF(B51=Hwy,D79*F79/H79,L79/H79),0)</f>
        <v>0</v>
      </c>
      <c r="O79" s="403">
        <f>MAX(TREND(O57:O58,$B57:$B58,$B79),0)</f>
        <v>0</v>
      </c>
      <c r="P79" s="404">
        <f>MAX(TREND(P57:P58,$B57:$B58,$B79),0)</f>
        <v>0</v>
      </c>
      <c r="Q79" s="402">
        <f>TREND(Q57:Q58,$B57:$B58,$B79)</f>
        <v>0</v>
      </c>
      <c r="R79" s="802">
        <f>IF(Induced="N",0,(IF(B51=Hwy,M79*(I79*ValTimeTruck+(1-I79)*ValTimeAuto)-N79*(J79*ValTimeTruck+(1-J79)*ValTimeAuto),(IF(INDEX($P$157:$X$160,MATCH(B51,$O$157:$O$160,0),7)&gt;0,INDEX($P$157:$X$160,MATCH(B51,$O$157:$O$160,0),7)/IF(INDEX($P$157:$X$160,MATCH(B51,$O$157:$O$160,0),6)=0,1,INDEX($P$157:$X$160,MATCH(B51,$O$157:$O$160,0),6)),M79)-N79)*ValTimeAuto)+O79-P79)*(H79-Q79)*0.5*(1+TTUprater)^($B79-YearCurrent))</f>
        <v>0</v>
      </c>
      <c r="S79" s="780">
        <f t="shared" si="7"/>
        <v>0</v>
      </c>
      <c r="T79" s="370">
        <f t="shared" si="8"/>
        <v>0</v>
      </c>
    </row>
    <row r="80" spans="1:20" x14ac:dyDescent="0.25">
      <c r="A80" s="1"/>
      <c r="B80" s="385"/>
      <c r="C80" s="386"/>
      <c r="D80" s="386"/>
      <c r="E80" s="386"/>
      <c r="F80" s="386"/>
      <c r="G80" s="386"/>
      <c r="H80" s="386"/>
      <c r="I80" s="386"/>
      <c r="J80" s="386"/>
      <c r="K80" s="386"/>
      <c r="L80" s="386"/>
      <c r="M80" s="386"/>
      <c r="N80" s="386"/>
      <c r="O80" s="386"/>
      <c r="P80" s="386"/>
      <c r="Q80" s="386"/>
      <c r="R80" s="386"/>
      <c r="S80" s="386"/>
      <c r="T80" s="386"/>
    </row>
    <row r="81" spans="1:20" x14ac:dyDescent="0.25">
      <c r="A81" s="1"/>
      <c r="B81" s="407" t="s">
        <v>56</v>
      </c>
      <c r="C81" s="413"/>
      <c r="D81" s="414"/>
      <c r="E81" s="414"/>
      <c r="F81" s="414"/>
      <c r="G81" s="414"/>
      <c r="H81" s="414"/>
      <c r="I81" s="414"/>
      <c r="J81" s="414"/>
      <c r="K81" s="414"/>
      <c r="L81" s="414"/>
      <c r="M81" s="414"/>
      <c r="N81" s="414"/>
      <c r="O81" s="414"/>
      <c r="P81" s="414"/>
      <c r="Q81" s="414"/>
      <c r="R81" s="414"/>
      <c r="S81" s="414"/>
      <c r="T81" s="409">
        <f>SUM(T60:T79)</f>
        <v>0</v>
      </c>
    </row>
    <row r="83" spans="1:20" ht="15.6" customHeight="1" x14ac:dyDescent="0.25"/>
    <row r="84" spans="1:20" x14ac:dyDescent="0.25">
      <c r="A84" s="1">
        <v>3</v>
      </c>
      <c r="B84" s="878" t="str">
        <f>PARAMETERS!$J$11</f>
        <v>Light Rail</v>
      </c>
      <c r="C84" s="763"/>
      <c r="D84" s="2"/>
      <c r="E84" s="2"/>
      <c r="F84" s="2"/>
      <c r="I84" s="320"/>
      <c r="J84" s="320"/>
      <c r="K84" s="320"/>
      <c r="L84" s="320"/>
      <c r="M84" s="320"/>
      <c r="N84" s="320"/>
      <c r="O84" s="320"/>
      <c r="P84" s="320"/>
      <c r="Q84" s="2"/>
      <c r="R84" s="2"/>
    </row>
    <row r="85" spans="1:20" x14ac:dyDescent="0.25">
      <c r="A85" s="1"/>
      <c r="B85" s="2"/>
      <c r="C85" s="38"/>
      <c r="D85" s="877"/>
      <c r="Q85" s="2"/>
      <c r="R85" s="149"/>
    </row>
    <row r="86" spans="1:20" ht="15.75" x14ac:dyDescent="0.25">
      <c r="A86" s="1"/>
      <c r="B86" s="922"/>
      <c r="C86" s="923" t="s">
        <v>190</v>
      </c>
      <c r="D86" s="924"/>
      <c r="E86" s="923" t="s">
        <v>191</v>
      </c>
      <c r="F86" s="924"/>
      <c r="G86" s="923" t="str">
        <f>IF(B84=Hwy,"TOTAL VEHICLE TRIPS","TOTAL PERSON TRIPS")</f>
        <v>TOTAL PERSON TRIPS</v>
      </c>
      <c r="H86" s="924"/>
      <c r="I86" s="923" t="s">
        <v>192</v>
      </c>
      <c r="J86" s="924"/>
      <c r="K86" s="923" t="s">
        <v>193</v>
      </c>
      <c r="L86" s="924"/>
      <c r="M86" s="923" t="s">
        <v>194</v>
      </c>
      <c r="N86" s="924"/>
      <c r="O86" s="325" t="s">
        <v>228</v>
      </c>
      <c r="P86" s="326"/>
      <c r="Q86" s="948" t="str">
        <f>IF(B84=Hwy,"TOTAL VEHICLE TRIPS","TOTAL PERSON TRIPS")</f>
        <v>TOTAL PERSON TRIPS</v>
      </c>
      <c r="R86" s="925" t="s">
        <v>229</v>
      </c>
      <c r="S86" s="329"/>
      <c r="T86" s="330"/>
    </row>
    <row r="87" spans="1:20" x14ac:dyDescent="0.25">
      <c r="A87" s="1"/>
      <c r="B87" s="926"/>
      <c r="C87" s="927" t="s">
        <v>197</v>
      </c>
      <c r="D87" s="928"/>
      <c r="E87" s="929" t="s">
        <v>198</v>
      </c>
      <c r="F87" s="928"/>
      <c r="G87" s="929" t="s">
        <v>199</v>
      </c>
      <c r="H87" s="928"/>
      <c r="I87" s="930" t="s">
        <v>200</v>
      </c>
      <c r="J87" s="931"/>
      <c r="K87" s="932" t="s">
        <v>201</v>
      </c>
      <c r="L87" s="928"/>
      <c r="M87" s="933" t="s">
        <v>202</v>
      </c>
      <c r="N87" s="931"/>
      <c r="O87" s="338" t="s">
        <v>230</v>
      </c>
      <c r="P87" s="339"/>
      <c r="Q87" s="927" t="s">
        <v>199</v>
      </c>
      <c r="R87" s="934" t="s">
        <v>203</v>
      </c>
      <c r="S87" s="342"/>
      <c r="T87" s="343"/>
    </row>
    <row r="88" spans="1:20" x14ac:dyDescent="0.25">
      <c r="A88" s="1"/>
      <c r="B88" s="935" t="s">
        <v>34</v>
      </c>
      <c r="C88" s="936"/>
      <c r="D88" s="937"/>
      <c r="E88" s="936"/>
      <c r="F88" s="937"/>
      <c r="G88" s="936"/>
      <c r="H88" s="937"/>
      <c r="I88" s="936"/>
      <c r="J88" s="937"/>
      <c r="K88" s="936"/>
      <c r="L88" s="937"/>
      <c r="M88" s="936"/>
      <c r="N88" s="937"/>
      <c r="O88" s="723"/>
      <c r="P88" s="349"/>
      <c r="Q88" s="938" t="s">
        <v>206</v>
      </c>
      <c r="R88" s="939" t="s">
        <v>231</v>
      </c>
      <c r="S88" s="351" t="s">
        <v>208</v>
      </c>
      <c r="T88" s="347" t="s">
        <v>39</v>
      </c>
    </row>
    <row r="89" spans="1:20" x14ac:dyDescent="0.25">
      <c r="A89" s="1"/>
      <c r="B89" s="940"/>
      <c r="C89" s="941" t="s">
        <v>74</v>
      </c>
      <c r="D89" s="942" t="s">
        <v>125</v>
      </c>
      <c r="E89" s="941" t="s">
        <v>74</v>
      </c>
      <c r="F89" s="942" t="s">
        <v>125</v>
      </c>
      <c r="G89" s="941" t="s">
        <v>74</v>
      </c>
      <c r="H89" s="942" t="s">
        <v>125</v>
      </c>
      <c r="I89" s="941" t="s">
        <v>74</v>
      </c>
      <c r="J89" s="942" t="s">
        <v>125</v>
      </c>
      <c r="K89" s="941" t="s">
        <v>74</v>
      </c>
      <c r="L89" s="942" t="s">
        <v>125</v>
      </c>
      <c r="M89" s="936" t="s">
        <v>74</v>
      </c>
      <c r="N89" s="937" t="s">
        <v>125</v>
      </c>
      <c r="O89" s="724" t="s">
        <v>74</v>
      </c>
      <c r="P89" s="357" t="s">
        <v>125</v>
      </c>
      <c r="Q89" s="944" t="s">
        <v>125</v>
      </c>
      <c r="R89" s="943" t="s">
        <v>233</v>
      </c>
      <c r="S89" s="359" t="s">
        <v>48</v>
      </c>
      <c r="T89" s="360" t="s">
        <v>49</v>
      </c>
    </row>
    <row r="90" spans="1:20" x14ac:dyDescent="0.25">
      <c r="A90" s="1"/>
      <c r="B90" s="363">
        <f>YearFirst</f>
        <v>2026</v>
      </c>
      <c r="C90" s="364">
        <f>SUMIF(INDEX(HwyTransitModelGroup,,1),B84,INDEX(ModelData1NB,,3))*AnnualFactor</f>
        <v>0</v>
      </c>
      <c r="D90" s="365">
        <f>SUMIF(INDEX(HwyTransitModelGroup,,1),B84,INDEX(ModelData1B,,3))*AnnualFactor</f>
        <v>0</v>
      </c>
      <c r="E90" s="980"/>
      <c r="F90" s="981"/>
      <c r="G90" s="364">
        <f>SUMIF(INDEX(HwyTransitModelGroup,,1),B84,INDEX(ModelData1NB,,1))*AnnualFactor</f>
        <v>0</v>
      </c>
      <c r="H90" s="365">
        <f>SUMIF(INDEX(HwyTransitModelGroup,,1),B84,INDEX(ModelData1B,,1))*AnnualFactor</f>
        <v>0</v>
      </c>
      <c r="I90" s="980"/>
      <c r="J90" s="981"/>
      <c r="K90" s="364">
        <f>SUMIF(INDEX(HwyTransitModelGroup,,1),B84,INDEX(ModelData1NB,,5))*AnnualFactor</f>
        <v>0</v>
      </c>
      <c r="L90" s="365">
        <f>SUMIF(INDEX(HwyTransitModelGroup,,1),B84,INDEX(ModelData1B,,5))*AnnualFactor</f>
        <v>0</v>
      </c>
      <c r="M90" s="366">
        <f>IFERROR(IF(B84=Hwy,C90*E90/G90,K90/G90),0)</f>
        <v>0</v>
      </c>
      <c r="N90" s="778">
        <f>IFERROR(IF(B84=Hwy,D90*F90/H90,L90/H90),0)</f>
        <v>0</v>
      </c>
      <c r="O90" s="949">
        <f>IF(E90=0,0,SUMPRODUCT(--(INDEX(HwyTransitModelGroup,,1)=B84),INDEX(ModelData1NB,,6),INDEX(ModelData1NB,,1))/IF(SUMPRODUCT(--(INDEX(HwyTransitModelGroup,,1)=B84),INDEX(ModelData1NB,,1))=0,1,SUMPRODUCT(--(INDEX(HwyTransitModelGroup,,1)=B84),INDEX(ModelData1NB,,1))))</f>
        <v>0</v>
      </c>
      <c r="P90" s="823">
        <f>IF(F90=0,0,SUMPRODUCT(--(INDEX(HwyTransitModelGroup,,1)=B84),INDEX(ModelData1B,,6),INDEX(ModelData1B,,1))/IF(SUMPRODUCT(--(INDEX(HwyTransitModelGroup,,1)=B84),INDEX(ModelData1B,,1))=0,1,SUMPRODUCT(--(INDEX(HwyTransitModelGroup,,1)=B84),INDEX(ModelData1B,,1))))</f>
        <v>0</v>
      </c>
      <c r="Q90" s="945">
        <f>IFERROR($H90-SUMIF('Consumer Surplus'!$C$157:$C$160,B84,'Consumer Surplus'!$G$157:$G$160),0)</f>
        <v>0</v>
      </c>
      <c r="R90" s="951">
        <f>IF(Induced="N",0,(IF(B84=Hwy,M90*(I90*ValTimeTruck+(1-I90)*ValTimeAuto)-N90*(J90*ValTimeTruck+(1-J90)*ValTimeAuto),(IF(INDEX($P$157:$X$160,MATCH(B84,$O$157:$O$160,0),7)&gt;0,INDEX($P$157:$X$160,MATCH(B84,$O$157:$O$160,0),7)/IF(INDEX($P$157:$X$160,MATCH(B84,$O$157:$O$160,0),6)=0,1,INDEX($P$157:$X$160,MATCH(B84,$O$157:$O$160,0),6)),M90)-N90)*ValTimeAuto)+O90-P90)*(H90-Q90)*0.5*(1+TTUprater)^($B90-YearCurrent))</f>
        <v>0</v>
      </c>
      <c r="S90" s="780">
        <f>SUM(R90:R90)</f>
        <v>0</v>
      </c>
      <c r="T90" s="370">
        <f>S90/(1+DiscRate)^(B90-YearCurrent)</f>
        <v>0</v>
      </c>
    </row>
    <row r="91" spans="1:20" x14ac:dyDescent="0.25">
      <c r="A91" s="1"/>
      <c r="B91" s="379">
        <f>YearLast</f>
        <v>2046</v>
      </c>
      <c r="C91" s="380">
        <f>SUMIF(INDEX(HwyTransitModelGroup,,1),B84,INDEX(ModelData20NB,,3))*AnnualFactor</f>
        <v>0</v>
      </c>
      <c r="D91" s="381">
        <f>SUMIF(INDEX(HwyTransitModelGroup,,1),B84,INDEX(ModelData20B,,3))*AnnualFactor</f>
        <v>0</v>
      </c>
      <c r="E91" s="982"/>
      <c r="F91" s="983"/>
      <c r="G91" s="380">
        <f>SUMIF(INDEX(HwyTransitModelGroup,,1),B84,INDEX(ModelData20NB,,1))*AnnualFactor</f>
        <v>0</v>
      </c>
      <c r="H91" s="381">
        <f>SUMIF(INDEX(HwyTransitModelGroup,,1),B84,INDEX(ModelData20B,,1))*AnnualFactor</f>
        <v>0</v>
      </c>
      <c r="I91" s="982"/>
      <c r="J91" s="983"/>
      <c r="K91" s="380">
        <f>SUMIF(INDEX(HwyTransitModelGroup,,1),B84,INDEX(ModelData20NB,,5))*AnnualFactor</f>
        <v>0</v>
      </c>
      <c r="L91" s="381">
        <f>SUMIF(INDEX(HwyTransitModelGroup,,1),B84,INDEX(ModelData20B,,5))*AnnualFactor</f>
        <v>0</v>
      </c>
      <c r="M91" s="382">
        <f>IFERROR(IF(B84=Hwy,C91*E91/G91,K91/G91),0)</f>
        <v>0</v>
      </c>
      <c r="N91" s="779">
        <f>IFERROR(IF(B84=Hwy,D91*F91/H91,L91/H91),0)</f>
        <v>0</v>
      </c>
      <c r="O91" s="824">
        <f>IF(E91=0,0,SUMPRODUCT(--(INDEX(HwyTransitModelGroup,,1)=B84),INDEX(ModelData20NB,,6),INDEX(ModelData20NB,,1))/IF(SUMPRODUCT(--(INDEX(HwyTransitModelGroup,,1)=B84),INDEX(ModelData20NB,,1))=0,1,SUMPRODUCT(--(INDEX(HwyTransitModelGroup,,1)=B84),INDEX(ModelData20NB,,1))))</f>
        <v>0</v>
      </c>
      <c r="P91" s="825">
        <f>IF(F91=0,0,SUMPRODUCT(--(INDEX(HwyTransitModelGroup,,1)=B84),INDEX(ModelData20B,,6),INDEX(ModelData20B,,1))/IF(SUMPRODUCT(--(INDEX(HwyTransitModelGroup,,1)=B84),INDEX(ModelData20B,,1))=0,1,SUMPRODUCT(--(INDEX(HwyTransitModelGroup,,1)=B84),INDEX(ModelData20B,,1))))</f>
        <v>0</v>
      </c>
      <c r="Q91" s="952">
        <f>IFERROR($H91-SUMIF('Consumer Surplus'!$C$157:$C$160,B84,'Consumer Surplus'!$K$157:$K$160),0)</f>
        <v>0</v>
      </c>
      <c r="R91" s="953">
        <f>IF(Induced="N",0,(IF(B84=Hwy,M91*(I91*ValTimeTruck+(1-I91)*ValTimeAuto)-N91*(J91*ValTimeTruck+(1-J91)*ValTimeAuto),(IF(INDEX($P$157:$X$160,MATCH(B84,$O$157:$O$160,0),9)&gt;0,INDEX($P$157:$X$160,MATCH(B84,$O$157:$O$160,0),9)/IF(INDEX($P$157:$X$160,MATCH(B84,$O$157:$O$160,0),9)=0,1,INDEX($P$157:$X$160,MATCH(B84,$O$157:$O$160,0),8)),M91)-N91)*ValTimeAuto)+O91-P91)*(H91-Q91)*0.5*(1+TTUprater)^($B91-YearCurrent))</f>
        <v>0</v>
      </c>
      <c r="S91" s="780">
        <f>SUM(R91:R91)</f>
        <v>0</v>
      </c>
      <c r="T91" s="370">
        <f>S91/(1+DiscRate)^(B91-YearCurrent)</f>
        <v>0</v>
      </c>
    </row>
    <row r="92" spans="1:20" x14ac:dyDescent="0.25">
      <c r="A92" s="1"/>
      <c r="B92" s="385"/>
      <c r="C92" s="386"/>
      <c r="D92" s="386"/>
      <c r="E92" s="387"/>
      <c r="F92" s="387"/>
      <c r="G92" s="387"/>
      <c r="H92" s="387"/>
      <c r="I92" s="387"/>
      <c r="J92" s="387"/>
      <c r="K92" s="773"/>
      <c r="L92" s="773"/>
      <c r="M92" s="774"/>
      <c r="N92" s="774"/>
      <c r="O92" s="774"/>
      <c r="P92" s="774"/>
      <c r="Q92" s="774"/>
      <c r="R92" s="374"/>
      <c r="S92" s="388"/>
      <c r="T92" s="389"/>
    </row>
    <row r="93" spans="1:20" x14ac:dyDescent="0.25">
      <c r="A93" s="1"/>
      <c r="B93" s="375">
        <f>YearOpen</f>
        <v>2026</v>
      </c>
      <c r="C93" s="393">
        <f>MAX(TREND(C90:C91,B90:B91,B93),0)</f>
        <v>0</v>
      </c>
      <c r="D93" s="394">
        <f>MAX(TREND(D90:D91,B90:B91,B93),0)</f>
        <v>0</v>
      </c>
      <c r="E93" s="984"/>
      <c r="F93" s="985"/>
      <c r="G93" s="393">
        <f>MAX(TREND(G90:G91,$B90:$B91,$B93),0)</f>
        <v>0</v>
      </c>
      <c r="H93" s="394">
        <f>MAX(TREND(H90:H91,$B90:$B91,$B93),0)</f>
        <v>0</v>
      </c>
      <c r="I93" s="984"/>
      <c r="J93" s="985"/>
      <c r="K93" s="393">
        <f>MAX(TREND(K90:K91,B90:B91,B93),0)</f>
        <v>0</v>
      </c>
      <c r="L93" s="394">
        <f>MAX(TREND(L90:L91,B90:B91,B93),0)</f>
        <v>0</v>
      </c>
      <c r="M93" s="395">
        <f>IFERROR(IF(B84=Hwy,C93*E93/G93,K93/G93),0)</f>
        <v>0</v>
      </c>
      <c r="N93" s="396">
        <f>IFERROR(IF(B84=Hwy,D93*F93/H93,L93/H93),0)</f>
        <v>0</v>
      </c>
      <c r="O93" s="395">
        <f>MAX(TREND(O90:O91,$B90:$B91,$B93),0)</f>
        <v>0</v>
      </c>
      <c r="P93" s="396">
        <f>MAX(TREND(P90:P91,$B90:$B91,$B93),0)</f>
        <v>0</v>
      </c>
      <c r="Q93" s="394">
        <f>TREND(Q90:Q91,$B90:$B91,$B93)</f>
        <v>0</v>
      </c>
      <c r="R93" s="801">
        <f>IF(Induced="N",0,(IF(B84=Hwy,M93*(I93*ValTimeTruck+(1-I93)*ValTimeAuto)-N93*(J93*ValTimeTruck+(1-J93)*ValTimeAuto),(IF(INDEX($P$157:$X$160,MATCH(B84,$O$157:$O$160,0),7)&gt;0,INDEX($P$157:$X$160,MATCH(B84,$O$157:$O$160,0),7)/IF(INDEX($P$157:$X$160,MATCH(B84,$O$157:$O$160,0),6)=0,1,INDEX($P$157:$X$160,MATCH(B84,$O$157:$O$160,0),6)),M93)-N93)*ValTimeAuto)+O93-P93)*(H93-Q93)*0.5*(1+TTUprater)^($B93-YearCurrent))</f>
        <v>0</v>
      </c>
      <c r="S93" s="780">
        <f t="shared" ref="S93:S112" si="10">SUM(R93:R93)</f>
        <v>0</v>
      </c>
      <c r="T93" s="370">
        <f t="shared" ref="T93:T112" si="11">S93/(1+DiscRate)^(B93-YearCurrent)</f>
        <v>0</v>
      </c>
    </row>
    <row r="94" spans="1:20" x14ac:dyDescent="0.25">
      <c r="A94" s="1"/>
      <c r="B94" s="375">
        <f>B93+1</f>
        <v>2027</v>
      </c>
      <c r="C94" s="401">
        <f>MAX(TREND(C90:C91,B90:B91,B94),0)</f>
        <v>0</v>
      </c>
      <c r="D94" s="402">
        <f>MAX(TREND(D90:D91,B90:B91,B94),0)</f>
        <v>0</v>
      </c>
      <c r="E94" s="986"/>
      <c r="F94" s="987"/>
      <c r="G94" s="401">
        <f>MAX(TREND(G90:G91,$B90:$B91,$B94),0)</f>
        <v>0</v>
      </c>
      <c r="H94" s="402">
        <f>MAX(TREND(H90:H91,$B90:$B91,$B94),0)</f>
        <v>0</v>
      </c>
      <c r="I94" s="986"/>
      <c r="J94" s="987"/>
      <c r="K94" s="401">
        <f>MAX(TREND(K90:K91,B90:B91,B94),0)</f>
        <v>0</v>
      </c>
      <c r="L94" s="402">
        <f>MAX(TREND(L90:L91,B90:B91,B94),0)</f>
        <v>0</v>
      </c>
      <c r="M94" s="403">
        <f>IFERROR(IF(B84=Hwy,C94*E94/G94,K94/G94),0)</f>
        <v>0</v>
      </c>
      <c r="N94" s="404">
        <f>IFERROR(IF(B84=Hwy,D94*F94/H94,L94/H94),0)</f>
        <v>0</v>
      </c>
      <c r="O94" s="403">
        <f>MAX(TREND(O90:O91,$B90:$B91,$B94),0)</f>
        <v>0</v>
      </c>
      <c r="P94" s="404">
        <f>MAX(TREND(P90:P91,$B90:$B91,$B94),0)</f>
        <v>0</v>
      </c>
      <c r="Q94" s="402">
        <f>TREND(Q90:Q91,$B90:$B91,$B94)</f>
        <v>0</v>
      </c>
      <c r="R94" s="802">
        <f>IF(Induced="N",0,(IF(B84=Hwy,M94*(I94*ValTimeTruck+(1-I94)*ValTimeAuto)-N94*(J94*ValTimeTruck+(1-J94)*ValTimeAuto),(IF(INDEX($P$157:$X$160,MATCH(B84,$O$157:$O$160,0),7)&gt;0,INDEX($P$157:$X$160,MATCH(B84,$O$157:$O$160,0),7)/IF(INDEX($P$157:$X$160,MATCH(B84,$O$157:$O$160,0),6)=0,1,INDEX($P$157:$X$160,MATCH(B84,$O$157:$O$160,0),6)),M94)-N94)*ValTimeAuto)+O94-P94)*(H94-Q94)*0.5*(1+TTUprater)^($B94-YearCurrent))</f>
        <v>0</v>
      </c>
      <c r="S94" s="780">
        <f t="shared" si="10"/>
        <v>0</v>
      </c>
      <c r="T94" s="370">
        <f t="shared" si="11"/>
        <v>0</v>
      </c>
    </row>
    <row r="95" spans="1:20" x14ac:dyDescent="0.25">
      <c r="A95" s="1"/>
      <c r="B95" s="375">
        <f t="shared" ref="B95:B112" si="12">B94+1</f>
        <v>2028</v>
      </c>
      <c r="C95" s="401">
        <f>MAX(TREND(C90:C91,B90:B91,B95),0)</f>
        <v>0</v>
      </c>
      <c r="D95" s="402">
        <f>MAX(TREND(D90:D91,B90:B91,B95),0)</f>
        <v>0</v>
      </c>
      <c r="E95" s="986"/>
      <c r="F95" s="987"/>
      <c r="G95" s="401">
        <f>MAX(TREND(G90:G91,$B90:$B91,$B95),0)</f>
        <v>0</v>
      </c>
      <c r="H95" s="402">
        <f>MAX(TREND(H90:H91,$B90:$B91,$B95),0)</f>
        <v>0</v>
      </c>
      <c r="I95" s="986"/>
      <c r="J95" s="987"/>
      <c r="K95" s="401">
        <f>MAX(TREND(K90:K91,B90:B91,B95),0)</f>
        <v>0</v>
      </c>
      <c r="L95" s="402">
        <f>MAX(TREND(L90:L91,B90:B91,B95),0)</f>
        <v>0</v>
      </c>
      <c r="M95" s="403">
        <f>IFERROR(IF(B84=Hwy,C95*E95/G95,K95/G95),0)</f>
        <v>0</v>
      </c>
      <c r="N95" s="404">
        <f>IFERROR(IF(B84=Hwy,D95*F95/H95,L95/H95),0)</f>
        <v>0</v>
      </c>
      <c r="O95" s="403">
        <f>MAX(TREND(O90:O91,$B90:$B91,$B95),0)</f>
        <v>0</v>
      </c>
      <c r="P95" s="404">
        <f>MAX(TREND(P90:P91,$B90:$B91,$B95),0)</f>
        <v>0</v>
      </c>
      <c r="Q95" s="402">
        <f>TREND(Q90:Q91,$B90:$B91,$B95)</f>
        <v>0</v>
      </c>
      <c r="R95" s="802">
        <f>IF(Induced="N",0,(IF(B84=Hwy,M95*(I95*ValTimeTruck+(1-I95)*ValTimeAuto)-N95*(J95*ValTimeTruck+(1-J95)*ValTimeAuto),(IF(INDEX($P$157:$X$160,MATCH(B84,$O$157:$O$160,0),7)&gt;0,INDEX($P$157:$X$160,MATCH(B84,$O$157:$O$160,0),7)/IF(INDEX($P$157:$X$160,MATCH(B84,$O$157:$O$160,0),6)=0,1,INDEX($P$157:$X$160,MATCH(B84,$O$157:$O$160,0),6)),M95)-N95)*ValTimeAuto)+O95-P95)*(H95-Q95)*0.5*(1+TTUprater)^($B95-YearCurrent))</f>
        <v>0</v>
      </c>
      <c r="S95" s="780">
        <f t="shared" si="10"/>
        <v>0</v>
      </c>
      <c r="T95" s="370">
        <f t="shared" si="11"/>
        <v>0</v>
      </c>
    </row>
    <row r="96" spans="1:20" x14ac:dyDescent="0.25">
      <c r="A96" s="1"/>
      <c r="B96" s="375">
        <f t="shared" si="12"/>
        <v>2029</v>
      </c>
      <c r="C96" s="401">
        <f>MAX(TREND(C90:C91,B90:B91,B96),0)</f>
        <v>0</v>
      </c>
      <c r="D96" s="402">
        <f>MAX(TREND(D90:D91,B90:B91,B96),0)</f>
        <v>0</v>
      </c>
      <c r="E96" s="986"/>
      <c r="F96" s="987"/>
      <c r="G96" s="401">
        <f>MAX(TREND(G90:G91,$B90:$B91,$B96),0)</f>
        <v>0</v>
      </c>
      <c r="H96" s="402">
        <f>MAX(TREND(H90:H91,$B90:$B91,$B96),0)</f>
        <v>0</v>
      </c>
      <c r="I96" s="986"/>
      <c r="J96" s="987"/>
      <c r="K96" s="401">
        <f>MAX(TREND(K90:K91,B90:B91,B96),0)</f>
        <v>0</v>
      </c>
      <c r="L96" s="402">
        <f>MAX(TREND(L90:L91,B90:B91,B96),0)</f>
        <v>0</v>
      </c>
      <c r="M96" s="403">
        <f>IFERROR(IF(B84=Hwy,C96*E96/G96,K96/G96),0)</f>
        <v>0</v>
      </c>
      <c r="N96" s="404">
        <f>IFERROR(IF(B84=Hwy,D96*F96/H96,L96/H96),0)</f>
        <v>0</v>
      </c>
      <c r="O96" s="403">
        <f>MAX(TREND(O90:O91,$B90:$B91,$B96),0)</f>
        <v>0</v>
      </c>
      <c r="P96" s="404">
        <f>MAX(TREND(P90:P91,$B90:$B91,$B96),0)</f>
        <v>0</v>
      </c>
      <c r="Q96" s="402">
        <f>TREND(Q90:Q91,$B90:$B91,$B96)</f>
        <v>0</v>
      </c>
      <c r="R96" s="802">
        <f>IF(Induced="N",0,(IF(B84=Hwy,M96*(I96*ValTimeTruck+(1-I96)*ValTimeAuto)-N96*(J96*ValTimeTruck+(1-J96)*ValTimeAuto),(IF(INDEX($P$157:$X$160,MATCH(B84,$O$157:$O$160,0),7)&gt;0,INDEX($P$157:$X$160,MATCH(B84,$O$157:$O$160,0),7)/IF(INDEX($P$157:$X$160,MATCH(B84,$O$157:$O$160,0),6)=0,1,INDEX($P$157:$X$160,MATCH(B84,$O$157:$O$160,0),6)),M96)-N96)*ValTimeAuto)+O96-P96)*(H96-Q96)*0.5*(1+TTUprater)^($B96-YearCurrent))</f>
        <v>0</v>
      </c>
      <c r="S96" s="780">
        <f t="shared" si="10"/>
        <v>0</v>
      </c>
      <c r="T96" s="370">
        <f t="shared" si="11"/>
        <v>0</v>
      </c>
    </row>
    <row r="97" spans="1:20" x14ac:dyDescent="0.25">
      <c r="A97" s="1"/>
      <c r="B97" s="375">
        <f t="shared" si="12"/>
        <v>2030</v>
      </c>
      <c r="C97" s="401">
        <f>MAX(TREND(C90:C91,B90:B91,B97),0)</f>
        <v>0</v>
      </c>
      <c r="D97" s="402">
        <f>MAX(TREND(D90:D91,B90:B91,B97),0)</f>
        <v>0</v>
      </c>
      <c r="E97" s="986"/>
      <c r="F97" s="987"/>
      <c r="G97" s="401">
        <f>MAX(TREND(G90:G91,$B90:$B91,$B97),0)</f>
        <v>0</v>
      </c>
      <c r="H97" s="402">
        <f>MAX(TREND(H90:H91,$B90:$B91,$B97),0)</f>
        <v>0</v>
      </c>
      <c r="I97" s="986"/>
      <c r="J97" s="987"/>
      <c r="K97" s="401">
        <f>MAX(TREND(K90:K91,B90:B91,B97),0)</f>
        <v>0</v>
      </c>
      <c r="L97" s="402">
        <f>MAX(TREND(L90:L91,B90:B91,B97),0)</f>
        <v>0</v>
      </c>
      <c r="M97" s="403">
        <f>IFERROR(IF(B84=Hwy,C97*E97/G97,K97/G97),0)</f>
        <v>0</v>
      </c>
      <c r="N97" s="404">
        <f>IFERROR(IF(B84=Hwy,D97*F97/H97,L97/H97),0)</f>
        <v>0</v>
      </c>
      <c r="O97" s="403">
        <f>MAX(TREND(O90:O91,$B90:$B91,$B97),0)</f>
        <v>0</v>
      </c>
      <c r="P97" s="404">
        <f>MAX(TREND(P90:P91,$B90:$B91,$B97),0)</f>
        <v>0</v>
      </c>
      <c r="Q97" s="402">
        <f>TREND(Q90:Q91,$B90:$B91,$B97)</f>
        <v>0</v>
      </c>
      <c r="R97" s="802">
        <f>IF(Induced="N",0,(IF(B84=Hwy,M97*(I97*ValTimeTruck+(1-I97)*ValTimeAuto)-N97*(J97*ValTimeTruck+(1-J97)*ValTimeAuto),(IF(INDEX($P$157:$X$160,MATCH(B84,$O$157:$O$160,0),7)&gt;0,INDEX($P$157:$X$160,MATCH(B84,$O$157:$O$160,0),7)/IF(INDEX($P$157:$X$160,MATCH(B84,$O$157:$O$160,0),6)=0,1,INDEX($P$157:$X$160,MATCH(B84,$O$157:$O$160,0),6)),M97)-N97)*ValTimeAuto)+O97-P97)*(H97-Q97)*0.5*(1+TTUprater)^($B97-YearCurrent))</f>
        <v>0</v>
      </c>
      <c r="S97" s="780">
        <f t="shared" si="10"/>
        <v>0</v>
      </c>
      <c r="T97" s="370">
        <f t="shared" si="11"/>
        <v>0</v>
      </c>
    </row>
    <row r="98" spans="1:20" x14ac:dyDescent="0.25">
      <c r="A98" s="1"/>
      <c r="B98" s="375">
        <f t="shared" si="12"/>
        <v>2031</v>
      </c>
      <c r="C98" s="401">
        <f>MAX(TREND(C90:C91,B90:B91,B98),0)</f>
        <v>0</v>
      </c>
      <c r="D98" s="402">
        <f>MAX(TREND(D90:D91,B90:B91,B98),0)</f>
        <v>0</v>
      </c>
      <c r="E98" s="986"/>
      <c r="F98" s="987"/>
      <c r="G98" s="401">
        <f>MAX(TREND(G90:G91,$B90:$B91,$B98),0)</f>
        <v>0</v>
      </c>
      <c r="H98" s="402">
        <f>MAX(TREND(H90:H91,$B90:$B91,$B98),0)</f>
        <v>0</v>
      </c>
      <c r="I98" s="986"/>
      <c r="J98" s="987"/>
      <c r="K98" s="401">
        <f>MAX(TREND(K90:K91,B90:B91,B98),0)</f>
        <v>0</v>
      </c>
      <c r="L98" s="402">
        <f>MAX(TREND(L90:L91,B90:B91,B98),0)</f>
        <v>0</v>
      </c>
      <c r="M98" s="403">
        <f>IFERROR(IF(B84=Hwy,C98*E98/G98,K98/G98),0)</f>
        <v>0</v>
      </c>
      <c r="N98" s="404">
        <f>IFERROR(IF(B84=Hwy,D98*F98/H98,L98/H98),0)</f>
        <v>0</v>
      </c>
      <c r="O98" s="403">
        <f>MAX(TREND(O90:O91,$B90:$B91,$B98),0)</f>
        <v>0</v>
      </c>
      <c r="P98" s="404">
        <f>MAX(TREND(P90:P91,$B90:$B91,$B98),0)</f>
        <v>0</v>
      </c>
      <c r="Q98" s="402">
        <f>TREND(Q90:Q91,$B90:$B91,$B98)</f>
        <v>0</v>
      </c>
      <c r="R98" s="802">
        <f>IF(Induced="N",0,(IF(B84=Hwy,M98*(I98*ValTimeTruck+(1-I98)*ValTimeAuto)-N98*(J98*ValTimeTruck+(1-J98)*ValTimeAuto),(IF(INDEX($P$157:$X$160,MATCH(B84,$O$157:$O$160,0),7)&gt;0,INDEX($P$157:$X$160,MATCH(B84,$O$157:$O$160,0),7)/IF(INDEX($P$157:$X$160,MATCH(B84,$O$157:$O$160,0),6)=0,1,INDEX($P$157:$X$160,MATCH(B84,$O$157:$O$160,0),6)),M98)-N98)*ValTimeAuto)+O98-P98)*(H98-Q98)*0.5*(1+TTUprater)^($B98-YearCurrent))</f>
        <v>0</v>
      </c>
      <c r="S98" s="780">
        <f t="shared" si="10"/>
        <v>0</v>
      </c>
      <c r="T98" s="370">
        <f t="shared" si="11"/>
        <v>0</v>
      </c>
    </row>
    <row r="99" spans="1:20" x14ac:dyDescent="0.25">
      <c r="A99" s="1"/>
      <c r="B99" s="375">
        <f t="shared" si="12"/>
        <v>2032</v>
      </c>
      <c r="C99" s="401">
        <f>MAX(TREND(C90:C91,B90:B91,B99),0)</f>
        <v>0</v>
      </c>
      <c r="D99" s="402">
        <f>MAX(TREND(D90:D91,B90:B91,B99),0)</f>
        <v>0</v>
      </c>
      <c r="E99" s="986"/>
      <c r="F99" s="987"/>
      <c r="G99" s="401">
        <f>MAX(TREND(G90:G91,$B90:$B91,$B99),0)</f>
        <v>0</v>
      </c>
      <c r="H99" s="402">
        <f>MAX(TREND(H90:H91,$B90:$B91,$B99),0)</f>
        <v>0</v>
      </c>
      <c r="I99" s="986"/>
      <c r="J99" s="987"/>
      <c r="K99" s="401">
        <f>MAX(TREND(K90:K91,B90:B91,B99),0)</f>
        <v>0</v>
      </c>
      <c r="L99" s="402">
        <f>MAX(TREND(L90:L91,B90:B91,B99),0)</f>
        <v>0</v>
      </c>
      <c r="M99" s="403">
        <f>IFERROR(IF(B84=Hwy,C99*E99/G99,K99/G99),0)</f>
        <v>0</v>
      </c>
      <c r="N99" s="404">
        <f>IFERROR(IF(B84=Hwy,D99*F99/H99,L99/H99),0)</f>
        <v>0</v>
      </c>
      <c r="O99" s="403">
        <f>MAX(TREND(O90:O91,$B90:$B91,$B99),0)</f>
        <v>0</v>
      </c>
      <c r="P99" s="404">
        <f>MAX(TREND(P90:P91,$B90:$B91,$B99),0)</f>
        <v>0</v>
      </c>
      <c r="Q99" s="402">
        <f>TREND(Q90:Q91,$B90:$B91,$B99)</f>
        <v>0</v>
      </c>
      <c r="R99" s="802">
        <f>IF(Induced="N",0,(IF(B84=Hwy,M99*(I99*ValTimeTruck+(1-I99)*ValTimeAuto)-N99*(J99*ValTimeTruck+(1-J99)*ValTimeAuto),(IF(INDEX($P$157:$X$160,MATCH(B84,$O$157:$O$160,0),7)&gt;0,INDEX($P$157:$X$160,MATCH(B84,$O$157:$O$160,0),7)/IF(INDEX($P$157:$X$160,MATCH(B84,$O$157:$O$160,0),6)=0,1,INDEX($P$157:$X$160,MATCH(B84,$O$157:$O$160,0),6)),M99)-N99)*ValTimeAuto)+O99-P99)*(H99-Q99)*0.5*(1+TTUprater)^($B99-YearCurrent))</f>
        <v>0</v>
      </c>
      <c r="S99" s="780">
        <f t="shared" si="10"/>
        <v>0</v>
      </c>
      <c r="T99" s="370">
        <f t="shared" si="11"/>
        <v>0</v>
      </c>
    </row>
    <row r="100" spans="1:20" x14ac:dyDescent="0.25">
      <c r="A100" s="1"/>
      <c r="B100" s="375">
        <f t="shared" si="12"/>
        <v>2033</v>
      </c>
      <c r="C100" s="401">
        <f>MAX(TREND(C90:C91,B90:B91,B100),0)</f>
        <v>0</v>
      </c>
      <c r="D100" s="402">
        <f>MAX(TREND(D90:D91,B90:B91,B100),0)</f>
        <v>0</v>
      </c>
      <c r="E100" s="986"/>
      <c r="F100" s="987"/>
      <c r="G100" s="401">
        <f>MAX(TREND(G90:G91,$B90:$B91,$B100),0)</f>
        <v>0</v>
      </c>
      <c r="H100" s="402">
        <f>MAX(TREND(H90:H91,$B90:$B91,$B100),0)</f>
        <v>0</v>
      </c>
      <c r="I100" s="986"/>
      <c r="J100" s="987"/>
      <c r="K100" s="401">
        <f>MAX(TREND(K90:K91,B90:B91,B100),0)</f>
        <v>0</v>
      </c>
      <c r="L100" s="402">
        <f>MAX(TREND(L90:L91,B90:B91,B100),0)</f>
        <v>0</v>
      </c>
      <c r="M100" s="403">
        <f>IFERROR(IF(B84=Hwy,C100*E100/G100,K100/G100),0)</f>
        <v>0</v>
      </c>
      <c r="N100" s="404">
        <f>IFERROR(IF(B84=Hwy,D100*F100/H100,L100/H100),0)</f>
        <v>0</v>
      </c>
      <c r="O100" s="403">
        <f>MAX(TREND(O90:O91,$B90:$B91,$B100),0)</f>
        <v>0</v>
      </c>
      <c r="P100" s="404">
        <f>MAX(TREND(P90:P91,$B90:$B91,$B100),0)</f>
        <v>0</v>
      </c>
      <c r="Q100" s="402">
        <f>TREND(Q90:Q91,$B90:$B91,$B100)</f>
        <v>0</v>
      </c>
      <c r="R100" s="802">
        <f>IF(Induced="N",0,(IF(B84=Hwy,M100*(I100*ValTimeTruck+(1-I100)*ValTimeAuto)-N100*(J100*ValTimeTruck+(1-J100)*ValTimeAuto),(IF(INDEX($P$157:$X$160,MATCH(B84,$O$157:$O$160,0),7)&gt;0,INDEX($P$157:$X$160,MATCH(B84,$O$157:$O$160,0),7)/IF(INDEX($P$157:$X$160,MATCH(B84,$O$157:$O$160,0),6)=0,1,INDEX($P$157:$X$160,MATCH(B84,$O$157:$O$160,0),6)),M100)-N100)*ValTimeAuto)+O100-P100)*(H100-Q100)*0.5*(1+TTUprater)^($B100-YearCurrent))</f>
        <v>0</v>
      </c>
      <c r="S100" s="780">
        <f t="shared" si="10"/>
        <v>0</v>
      </c>
      <c r="T100" s="370">
        <f t="shared" si="11"/>
        <v>0</v>
      </c>
    </row>
    <row r="101" spans="1:20" x14ac:dyDescent="0.25">
      <c r="A101" s="1"/>
      <c r="B101" s="375">
        <f t="shared" si="12"/>
        <v>2034</v>
      </c>
      <c r="C101" s="401">
        <f>MAX(TREND(C90:C91,B90:B91,B101),0)</f>
        <v>0</v>
      </c>
      <c r="D101" s="402">
        <f>MAX(TREND(D90:D91,B90:B91,B101),0)</f>
        <v>0</v>
      </c>
      <c r="E101" s="986"/>
      <c r="F101" s="987"/>
      <c r="G101" s="401">
        <f>MAX(TREND(G90:G91,$B90:$B91,$B101),0)</f>
        <v>0</v>
      </c>
      <c r="H101" s="402">
        <f>MAX(TREND(H90:H91,$B90:$B91,$B101),0)</f>
        <v>0</v>
      </c>
      <c r="I101" s="986"/>
      <c r="J101" s="987"/>
      <c r="K101" s="401">
        <f>MAX(TREND(K90:K91,B90:B91,B101),0)</f>
        <v>0</v>
      </c>
      <c r="L101" s="402">
        <f>MAX(TREND(L90:L91,B90:B91,B101),0)</f>
        <v>0</v>
      </c>
      <c r="M101" s="403">
        <f>IFERROR(IF(B84=Hwy,C101*E101/G101,K101/G101),0)</f>
        <v>0</v>
      </c>
      <c r="N101" s="404">
        <f>IFERROR(IF(B84=Hwy,D101*F101/H101,L101/H101),0)</f>
        <v>0</v>
      </c>
      <c r="O101" s="403">
        <f>MAX(TREND(O90:O91,$B90:$B91,$B101),0)</f>
        <v>0</v>
      </c>
      <c r="P101" s="404">
        <f>MAX(TREND(P90:P91,$B90:$B91,$B101),0)</f>
        <v>0</v>
      </c>
      <c r="Q101" s="402">
        <f>TREND(Q90:Q91,$B90:$B91,$B101)</f>
        <v>0</v>
      </c>
      <c r="R101" s="802">
        <f>IF(Induced="N",0,(IF(B84=Hwy,M101*(I101*ValTimeTruck+(1-I101)*ValTimeAuto)-N101*(J101*ValTimeTruck+(1-J101)*ValTimeAuto),(IF(INDEX($P$157:$X$160,MATCH(B84,$O$157:$O$160,0),7)&gt;0,INDEX($P$157:$X$160,MATCH(B84,$O$157:$O$160,0),7)/IF(INDEX($P$157:$X$160,MATCH(B84,$O$157:$O$160,0),6)=0,1,INDEX($P$157:$X$160,MATCH(B84,$O$157:$O$160,0),6)),M101)-N101)*ValTimeAuto)+O101-P101)*(H101-Q101)*0.5*(1+TTUprater)^($B101-YearCurrent))</f>
        <v>0</v>
      </c>
      <c r="S101" s="780">
        <f t="shared" si="10"/>
        <v>0</v>
      </c>
      <c r="T101" s="370">
        <f t="shared" si="11"/>
        <v>0</v>
      </c>
    </row>
    <row r="102" spans="1:20" x14ac:dyDescent="0.25">
      <c r="A102" s="1"/>
      <c r="B102" s="375">
        <f t="shared" si="12"/>
        <v>2035</v>
      </c>
      <c r="C102" s="401">
        <f>MAX(TREND(C90:C91,B90:B91,B102),0)</f>
        <v>0</v>
      </c>
      <c r="D102" s="402">
        <f>MAX(TREND(D90:D91,B90:B91,B102),0)</f>
        <v>0</v>
      </c>
      <c r="E102" s="986"/>
      <c r="F102" s="987"/>
      <c r="G102" s="401">
        <f>MAX(TREND(G90:G91,$B90:$B91,$B102),0)</f>
        <v>0</v>
      </c>
      <c r="H102" s="402">
        <f>MAX(TREND(H90:H91,$B90:$B91,$B102),0)</f>
        <v>0</v>
      </c>
      <c r="I102" s="986"/>
      <c r="J102" s="987"/>
      <c r="K102" s="401">
        <f>MAX(TREND(K90:K91,B90:B91,B102),0)</f>
        <v>0</v>
      </c>
      <c r="L102" s="402">
        <f>MAX(TREND(L90:L91,B90:B91,B102),0)</f>
        <v>0</v>
      </c>
      <c r="M102" s="403">
        <f>IFERROR(IF(B84=Hwy,C102*E102/G102,K102/G102),0)</f>
        <v>0</v>
      </c>
      <c r="N102" s="404">
        <f>IFERROR(IF(B84=Hwy,D102*F102/H102,L102/H102),0)</f>
        <v>0</v>
      </c>
      <c r="O102" s="403">
        <f>MAX(TREND(O90:O91,$B90:$B91,$B102),0)</f>
        <v>0</v>
      </c>
      <c r="P102" s="404">
        <f>MAX(TREND(P90:P91,$B90:$B91,$B102),0)</f>
        <v>0</v>
      </c>
      <c r="Q102" s="402">
        <f>TREND(Q90:Q91,$B90:$B91,$B102)</f>
        <v>0</v>
      </c>
      <c r="R102" s="802">
        <f>IF(Induced="N",0,(IF(B84=Hwy,M102*(I102*ValTimeTruck+(1-I102)*ValTimeAuto)-N102*(J102*ValTimeTruck+(1-J102)*ValTimeAuto),(IF(INDEX($P$157:$X$160,MATCH(B84,$O$157:$O$160,0),7)&gt;0,INDEX($P$157:$X$160,MATCH(B84,$O$157:$O$160,0),7)/IF(INDEX($P$157:$X$160,MATCH(B84,$O$157:$O$160,0),6)=0,1,INDEX($P$157:$X$160,MATCH(B84,$O$157:$O$160,0),6)),M102)-N102)*ValTimeAuto)+O102-P102)*(H102-Q102)*0.5*(1+TTUprater)^($B102-YearCurrent))</f>
        <v>0</v>
      </c>
      <c r="S102" s="780">
        <f t="shared" si="10"/>
        <v>0</v>
      </c>
      <c r="T102" s="370">
        <f t="shared" si="11"/>
        <v>0</v>
      </c>
    </row>
    <row r="103" spans="1:20" x14ac:dyDescent="0.25">
      <c r="A103" s="1"/>
      <c r="B103" s="375">
        <f t="shared" si="12"/>
        <v>2036</v>
      </c>
      <c r="C103" s="401">
        <f>MAX(TREND(C90:C91,B90:B91,B103),0)</f>
        <v>0</v>
      </c>
      <c r="D103" s="402">
        <f>MAX(TREND(D90:D91,B90:B91,B103),0)</f>
        <v>0</v>
      </c>
      <c r="E103" s="986"/>
      <c r="F103" s="987"/>
      <c r="G103" s="401">
        <f>MAX(TREND(G90:G91,$B90:$B91,$B103),0)</f>
        <v>0</v>
      </c>
      <c r="H103" s="402">
        <f>MAX(TREND(H90:H91,$B90:$B91,$B103),0)</f>
        <v>0</v>
      </c>
      <c r="I103" s="986"/>
      <c r="J103" s="987"/>
      <c r="K103" s="401">
        <f>MAX(TREND(K90:K91,B90:B91,B103),0)</f>
        <v>0</v>
      </c>
      <c r="L103" s="402">
        <f>MAX(TREND(L90:L91,B90:B91,B103),0)</f>
        <v>0</v>
      </c>
      <c r="M103" s="403">
        <f>IFERROR(IF(B84=Hwy,C103*E103/G103,K103/G103),0)</f>
        <v>0</v>
      </c>
      <c r="N103" s="404">
        <f>IFERROR(IF(B84=Hwy,D103*F103/H103,L103/H103),0)</f>
        <v>0</v>
      </c>
      <c r="O103" s="403">
        <f>MAX(TREND(O90:O91,$B90:$B91,$B103),0)</f>
        <v>0</v>
      </c>
      <c r="P103" s="404">
        <f>MAX(TREND(P90:P91,$B90:$B91,$B103),0)</f>
        <v>0</v>
      </c>
      <c r="Q103" s="402">
        <f>TREND(Q90:Q91,$B90:$B91,$B103)</f>
        <v>0</v>
      </c>
      <c r="R103" s="802">
        <f>IF(Induced="N",0,(IF(B84=Hwy,M103*(I103*ValTimeTruck+(1-I103)*ValTimeAuto)-N103*(J103*ValTimeTruck+(1-J103)*ValTimeAuto),(IF(INDEX($P$157:$X$160,MATCH(B84,$O$157:$O$160,0),7)&gt;0,INDEX($P$157:$X$160,MATCH(B84,$O$157:$O$160,0),7)/IF(INDEX($P$157:$X$160,MATCH(B84,$O$157:$O$160,0),6)=0,1,INDEX($P$157:$X$160,MATCH(B84,$O$157:$O$160,0),6)),M103)-N103)*ValTimeAuto)+O103-P103)*(H103-Q103)*0.5*(1+TTUprater)^($B103-YearCurrent))</f>
        <v>0</v>
      </c>
      <c r="S103" s="780">
        <f t="shared" si="10"/>
        <v>0</v>
      </c>
      <c r="T103" s="370">
        <f t="shared" si="11"/>
        <v>0</v>
      </c>
    </row>
    <row r="104" spans="1:20" x14ac:dyDescent="0.25">
      <c r="A104" s="1"/>
      <c r="B104" s="375">
        <f t="shared" si="12"/>
        <v>2037</v>
      </c>
      <c r="C104" s="401">
        <f>MAX(TREND(C90:C91,B90:B91,B104),0)</f>
        <v>0</v>
      </c>
      <c r="D104" s="402">
        <f>MAX(TREND(D90:D91,B90:B91,B104),0)</f>
        <v>0</v>
      </c>
      <c r="E104" s="986"/>
      <c r="F104" s="987"/>
      <c r="G104" s="401">
        <f>MAX(TREND(G90:G91,$B90:$B91,$B104),0)</f>
        <v>0</v>
      </c>
      <c r="H104" s="402">
        <f>MAX(TREND(H90:H91,$B90:$B91,$B104),0)</f>
        <v>0</v>
      </c>
      <c r="I104" s="986"/>
      <c r="J104" s="987"/>
      <c r="K104" s="401">
        <f>MAX(TREND(K90:K91,B90:B91,B104),0)</f>
        <v>0</v>
      </c>
      <c r="L104" s="402">
        <f>MAX(TREND(L90:L91,B90:B91,B104),0)</f>
        <v>0</v>
      </c>
      <c r="M104" s="403">
        <f>IFERROR(IF(B84=Hwy,C104*E104/G104,K104/G104),0)</f>
        <v>0</v>
      </c>
      <c r="N104" s="404">
        <f>IFERROR(IF(B84=Hwy,D104*F104/H104,L104/H104),0)</f>
        <v>0</v>
      </c>
      <c r="O104" s="403">
        <f>MAX(TREND(O90:O91,$B90:$B91,$B104),0)</f>
        <v>0</v>
      </c>
      <c r="P104" s="404">
        <f>MAX(TREND(P90:P91,$B90:$B91,$B104),0)</f>
        <v>0</v>
      </c>
      <c r="Q104" s="402">
        <f>TREND(Q90:Q91,$B90:$B91,$B104)</f>
        <v>0</v>
      </c>
      <c r="R104" s="802">
        <f>IF(Induced="N",0,(IF(B84=Hwy,M104*(I104*ValTimeTruck+(1-I104)*ValTimeAuto)-N104*(J104*ValTimeTruck+(1-J104)*ValTimeAuto),(IF(INDEX($P$157:$X$160,MATCH(B84,$O$157:$O$160,0),7)&gt;0,INDEX($P$157:$X$160,MATCH(B84,$O$157:$O$160,0),7)/IF(INDEX($P$157:$X$160,MATCH(B84,$O$157:$O$160,0),6)=0,1,INDEX($P$157:$X$160,MATCH(B84,$O$157:$O$160,0),6)),M104)-N104)*ValTimeAuto)+O104-P104)*(H104-Q104)*0.5*(1+TTUprater)^($B104-YearCurrent))</f>
        <v>0</v>
      </c>
      <c r="S104" s="780">
        <f t="shared" si="10"/>
        <v>0</v>
      </c>
      <c r="T104" s="370">
        <f t="shared" si="11"/>
        <v>0</v>
      </c>
    </row>
    <row r="105" spans="1:20" x14ac:dyDescent="0.25">
      <c r="A105" s="1"/>
      <c r="B105" s="375">
        <f t="shared" si="12"/>
        <v>2038</v>
      </c>
      <c r="C105" s="401">
        <f>MAX(TREND(C90:C91,B90:B91,B105),0)</f>
        <v>0</v>
      </c>
      <c r="D105" s="402">
        <f>MAX(TREND(D90:D91,B90:B91,B105),0)</f>
        <v>0</v>
      </c>
      <c r="E105" s="986"/>
      <c r="F105" s="987"/>
      <c r="G105" s="401">
        <f>MAX(TREND(G90:G91,$B90:$B91,$B105),0)</f>
        <v>0</v>
      </c>
      <c r="H105" s="402">
        <f>MAX(TREND(H90:H91,$B90:$B91,$B105),0)</f>
        <v>0</v>
      </c>
      <c r="I105" s="986"/>
      <c r="J105" s="987"/>
      <c r="K105" s="401">
        <f>MAX(TREND(K90:K91,B90:B91,B105),0)</f>
        <v>0</v>
      </c>
      <c r="L105" s="402">
        <f>MAX(TREND(L90:L91,B90:B91,B105),0)</f>
        <v>0</v>
      </c>
      <c r="M105" s="403">
        <f>IFERROR(IF(B84=Hwy,C105*E105/G105,K105/G105),0)</f>
        <v>0</v>
      </c>
      <c r="N105" s="404">
        <f>IFERROR(IF(B84=Hwy,D105*F105/H105,L105/H105),0)</f>
        <v>0</v>
      </c>
      <c r="O105" s="403">
        <f>MAX(TREND(O90:O91,$B90:$B91,$B105),0)</f>
        <v>0</v>
      </c>
      <c r="P105" s="404">
        <f>MAX(TREND(P90:P91,$B90:$B91,$B105),0)</f>
        <v>0</v>
      </c>
      <c r="Q105" s="402">
        <f>TREND(Q90:Q91,$B90:$B91,$B105)</f>
        <v>0</v>
      </c>
      <c r="R105" s="802">
        <f>IF(Induced="N",0,(IF(B84=Hwy,M105*(I105*ValTimeTruck+(1-I105)*ValTimeAuto)-N105*(J105*ValTimeTruck+(1-J105)*ValTimeAuto),(IF(INDEX($P$157:$X$160,MATCH(B84,$O$157:$O$160,0),7)&gt;0,INDEX($P$157:$X$160,MATCH(B84,$O$157:$O$160,0),7)/IF(INDEX($P$157:$X$160,MATCH(B84,$O$157:$O$160,0),6)=0,1,INDEX($P$157:$X$160,MATCH(B84,$O$157:$O$160,0),6)),M105)-N105)*ValTimeAuto)+O105-P105)*(H105-Q105)*0.5*(1+TTUprater)^($B105-YearCurrent))</f>
        <v>0</v>
      </c>
      <c r="S105" s="780">
        <f t="shared" si="10"/>
        <v>0</v>
      </c>
      <c r="T105" s="370">
        <f t="shared" si="11"/>
        <v>0</v>
      </c>
    </row>
    <row r="106" spans="1:20" x14ac:dyDescent="0.25">
      <c r="A106" s="1"/>
      <c r="B106" s="375">
        <f t="shared" si="12"/>
        <v>2039</v>
      </c>
      <c r="C106" s="401">
        <f>MAX(TREND(C90:C91,B90:B91,B106),0)</f>
        <v>0</v>
      </c>
      <c r="D106" s="402">
        <f>MAX(TREND(D90:D91,B90:B91,B106),0)</f>
        <v>0</v>
      </c>
      <c r="E106" s="986"/>
      <c r="F106" s="987"/>
      <c r="G106" s="401">
        <f>MAX(TREND(G90:G91,$B90:$B91,$B106),0)</f>
        <v>0</v>
      </c>
      <c r="H106" s="402">
        <f>MAX(TREND(H90:H91,$B90:$B91,$B106),0)</f>
        <v>0</v>
      </c>
      <c r="I106" s="986"/>
      <c r="J106" s="987"/>
      <c r="K106" s="401">
        <f>MAX(TREND(K90:K91,B90:B91,B106),0)</f>
        <v>0</v>
      </c>
      <c r="L106" s="402">
        <f>MAX(TREND(L90:L91,B90:B91,B106),0)</f>
        <v>0</v>
      </c>
      <c r="M106" s="403">
        <f>IFERROR(IF(B84=Hwy,C106*E106/G106,K106/G106),0)</f>
        <v>0</v>
      </c>
      <c r="N106" s="404">
        <f>IFERROR(IF(B84=Hwy,D106*F106/H106,L106/H106),0)</f>
        <v>0</v>
      </c>
      <c r="O106" s="403">
        <f>MAX(TREND(O90:O91,$B90:$B91,$B106),0)</f>
        <v>0</v>
      </c>
      <c r="P106" s="404">
        <f>MAX(TREND(P90:P91,$B90:$B91,$B106),0)</f>
        <v>0</v>
      </c>
      <c r="Q106" s="402">
        <f>TREND(Q90:Q91,$B90:$B91,$B106)</f>
        <v>0</v>
      </c>
      <c r="R106" s="802">
        <f>IF(Induced="N",0,(IF(B84=Hwy,M106*(I106*ValTimeTruck+(1-I106)*ValTimeAuto)-N106*(J106*ValTimeTruck+(1-J106)*ValTimeAuto),(IF(INDEX($P$157:$X$160,MATCH(B84,$O$157:$O$160,0),7)&gt;0,INDEX($P$157:$X$160,MATCH(B84,$O$157:$O$160,0),7)/IF(INDEX($P$157:$X$160,MATCH(B84,$O$157:$O$160,0),6)=0,1,INDEX($P$157:$X$160,MATCH(B84,$O$157:$O$160,0),6)),M106)-N106)*ValTimeAuto)+O106-P106)*(H106-Q106)*0.5*(1+TTUprater)^($B106-YearCurrent))</f>
        <v>0</v>
      </c>
      <c r="S106" s="780">
        <f t="shared" si="10"/>
        <v>0</v>
      </c>
      <c r="T106" s="370">
        <f t="shared" si="11"/>
        <v>0</v>
      </c>
    </row>
    <row r="107" spans="1:20" x14ac:dyDescent="0.25">
      <c r="A107" s="1"/>
      <c r="B107" s="375">
        <f t="shared" si="12"/>
        <v>2040</v>
      </c>
      <c r="C107" s="401">
        <f>MAX(TREND(C90:C91,B90:B91,B107),0)</f>
        <v>0</v>
      </c>
      <c r="D107" s="402">
        <f>MAX(TREND(D90:D91,B90:B91,B107),0)</f>
        <v>0</v>
      </c>
      <c r="E107" s="986"/>
      <c r="F107" s="987"/>
      <c r="G107" s="401">
        <f>MAX(TREND(G90:G91,$B90:$B91,$B107),0)</f>
        <v>0</v>
      </c>
      <c r="H107" s="402">
        <f>MAX(TREND(H90:H91,$B90:$B91,$B107),0)</f>
        <v>0</v>
      </c>
      <c r="I107" s="986"/>
      <c r="J107" s="987"/>
      <c r="K107" s="401">
        <f>MAX(TREND(K90:K91,B90:B91,B107),0)</f>
        <v>0</v>
      </c>
      <c r="L107" s="402">
        <f>MAX(TREND(L90:L91,B90:B91,B107),0)</f>
        <v>0</v>
      </c>
      <c r="M107" s="403">
        <f>IFERROR(IF(B84=Hwy,C107*E107/G107,K107/G107),0)</f>
        <v>0</v>
      </c>
      <c r="N107" s="404">
        <f>IFERROR(IF(B84=Hwy,D107*F107/H107,L107/H107),0)</f>
        <v>0</v>
      </c>
      <c r="O107" s="403">
        <f>MAX(TREND(O90:O91,$B90:$B91,$B107),0)</f>
        <v>0</v>
      </c>
      <c r="P107" s="404">
        <f>MAX(TREND(P90:P91,$B90:$B91,$B107),0)</f>
        <v>0</v>
      </c>
      <c r="Q107" s="402">
        <f>TREND(Q90:Q91,$B90:$B91,$B107)</f>
        <v>0</v>
      </c>
      <c r="R107" s="802">
        <f>IF(Induced="N",0,(IF(B84=Hwy,M107*(I107*ValTimeTruck+(1-I107)*ValTimeAuto)-N107*(J107*ValTimeTruck+(1-J107)*ValTimeAuto),(IF(INDEX($P$157:$X$160,MATCH(B84,$O$157:$O$160,0),7)&gt;0,INDEX($P$157:$X$160,MATCH(B84,$O$157:$O$160,0),7)/IF(INDEX($P$157:$X$160,MATCH(B84,$O$157:$O$160,0),6)=0,1,INDEX($P$157:$X$160,MATCH(B84,$O$157:$O$160,0),6)),M107)-N107)*ValTimeAuto)+O107-P107)*(H107-Q107)*0.5*(1+TTUprater)^($B107-YearCurrent))</f>
        <v>0</v>
      </c>
      <c r="S107" s="780">
        <f t="shared" si="10"/>
        <v>0</v>
      </c>
      <c r="T107" s="370">
        <f t="shared" si="11"/>
        <v>0</v>
      </c>
    </row>
    <row r="108" spans="1:20" x14ac:dyDescent="0.25">
      <c r="A108" s="1"/>
      <c r="B108" s="375">
        <f t="shared" si="12"/>
        <v>2041</v>
      </c>
      <c r="C108" s="401">
        <f>MAX(TREND(C90:C91,B90:B91,B108),0)</f>
        <v>0</v>
      </c>
      <c r="D108" s="402">
        <f>MAX(TREND(D90:D91,B90:B91,B108),0)</f>
        <v>0</v>
      </c>
      <c r="E108" s="986"/>
      <c r="F108" s="987"/>
      <c r="G108" s="401">
        <f>MAX(TREND(G90:G91,$B90:$B91,$B108),0)</f>
        <v>0</v>
      </c>
      <c r="H108" s="402">
        <f>MAX(TREND(H90:H91,$B90:$B91,$B108),0)</f>
        <v>0</v>
      </c>
      <c r="I108" s="986"/>
      <c r="J108" s="987"/>
      <c r="K108" s="401">
        <f>MAX(TREND(K90:K91,B90:B91,B108),0)</f>
        <v>0</v>
      </c>
      <c r="L108" s="402">
        <f>MAX(TREND(L90:L91,B90:B91,B108),0)</f>
        <v>0</v>
      </c>
      <c r="M108" s="403">
        <f>IFERROR(IF(B84=Hwy,C108*E108/G108,K108/G108),0)</f>
        <v>0</v>
      </c>
      <c r="N108" s="404">
        <f>IFERROR(IF(B84=Hwy,D108*F108/H108,L108/H108),0)</f>
        <v>0</v>
      </c>
      <c r="O108" s="403">
        <f>MAX(TREND(O90:O91,$B90:$B91,$B108),0)</f>
        <v>0</v>
      </c>
      <c r="P108" s="404">
        <f>MAX(TREND(P90:P91,$B90:$B91,$B108),0)</f>
        <v>0</v>
      </c>
      <c r="Q108" s="402">
        <f>TREND(Q90:Q91,$B90:$B91,$B108)</f>
        <v>0</v>
      </c>
      <c r="R108" s="802">
        <f>IF(Induced="N",0,(IF(B84=Hwy,M108*(I108*ValTimeTruck+(1-I108)*ValTimeAuto)-N108*(J108*ValTimeTruck+(1-J108)*ValTimeAuto),(IF(INDEX($P$157:$X$160,MATCH(B84,$O$157:$O$160,0),7)&gt;0,INDEX($P$157:$X$160,MATCH(B84,$O$157:$O$160,0),7)/IF(INDEX($P$157:$X$160,MATCH(B84,$O$157:$O$160,0),6)=0,1,INDEX($P$157:$X$160,MATCH(B84,$O$157:$O$160,0),6)),M108)-N108)*ValTimeAuto)+O108-P108)*(H108-Q108)*0.5*(1+TTUprater)^($B108-YearCurrent))</f>
        <v>0</v>
      </c>
      <c r="S108" s="780">
        <f t="shared" si="10"/>
        <v>0</v>
      </c>
      <c r="T108" s="370">
        <f t="shared" si="11"/>
        <v>0</v>
      </c>
    </row>
    <row r="109" spans="1:20" x14ac:dyDescent="0.25">
      <c r="A109" s="1"/>
      <c r="B109" s="375">
        <f t="shared" si="12"/>
        <v>2042</v>
      </c>
      <c r="C109" s="401">
        <f>MAX(TREND(C90:C91,B90:B91,B109),0)</f>
        <v>0</v>
      </c>
      <c r="D109" s="402">
        <f>MAX(TREND(D90:D91,B90:B91,B109),0)</f>
        <v>0</v>
      </c>
      <c r="E109" s="986"/>
      <c r="F109" s="987"/>
      <c r="G109" s="401">
        <f>MAX(TREND(G90:G91,$B90:$B91,$B109),0)</f>
        <v>0</v>
      </c>
      <c r="H109" s="402">
        <f>MAX(TREND(H90:H91,$B90:$B91,$B109),0)</f>
        <v>0</v>
      </c>
      <c r="I109" s="986"/>
      <c r="J109" s="987"/>
      <c r="K109" s="401">
        <f>MAX(TREND(K90:K91,B90:B91,B109),0)</f>
        <v>0</v>
      </c>
      <c r="L109" s="402">
        <f>MAX(TREND(L90:L91,B90:B91,B109),0)</f>
        <v>0</v>
      </c>
      <c r="M109" s="403">
        <f>IFERROR(IF(B84=Hwy,C109*E109/G109,K109/G109),0)</f>
        <v>0</v>
      </c>
      <c r="N109" s="404">
        <f>IFERROR(IF(B84=Hwy,D109*F109/H109,L109/H109),0)</f>
        <v>0</v>
      </c>
      <c r="O109" s="403">
        <f>MAX(TREND(O90:O91,$B90:$B91,$B109),0)</f>
        <v>0</v>
      </c>
      <c r="P109" s="404">
        <f>MAX(TREND(P90:P91,$B90:$B91,$B109),0)</f>
        <v>0</v>
      </c>
      <c r="Q109" s="402">
        <f>TREND(Q90:Q91,$B90:$B91,$B109)</f>
        <v>0</v>
      </c>
      <c r="R109" s="802">
        <f>IF(Induced="N",0,(IF(B84=Hwy,M109*(I109*ValTimeTruck+(1-I109)*ValTimeAuto)-N109*(J109*ValTimeTruck+(1-J109)*ValTimeAuto),(IF(INDEX($P$157:$X$160,MATCH(B84,$O$157:$O$160,0),7)&gt;0,INDEX($P$157:$X$160,MATCH(B84,$O$157:$O$160,0),7)/IF(INDEX($P$157:$X$160,MATCH(B84,$O$157:$O$160,0),6)=0,1,INDEX($P$157:$X$160,MATCH(B84,$O$157:$O$160,0),6)),M109)-N109)*ValTimeAuto)+O109-P109)*(H109-Q109)*0.5*(1+TTUprater)^($B109-YearCurrent))</f>
        <v>0</v>
      </c>
      <c r="S109" s="780">
        <f t="shared" si="10"/>
        <v>0</v>
      </c>
      <c r="T109" s="370">
        <f t="shared" si="11"/>
        <v>0</v>
      </c>
    </row>
    <row r="110" spans="1:20" x14ac:dyDescent="0.25">
      <c r="A110" s="1"/>
      <c r="B110" s="375">
        <f t="shared" si="12"/>
        <v>2043</v>
      </c>
      <c r="C110" s="401">
        <f>MAX(TREND(C90:C91,B90:B91,B110),0)</f>
        <v>0</v>
      </c>
      <c r="D110" s="402">
        <f>MAX(TREND(D90:D91,B90:B91,B110),0)</f>
        <v>0</v>
      </c>
      <c r="E110" s="986"/>
      <c r="F110" s="987"/>
      <c r="G110" s="401">
        <f>MAX(TREND(G90:G91,$B90:$B91,$B110),0)</f>
        <v>0</v>
      </c>
      <c r="H110" s="402">
        <f>MAX(TREND(H90:H91,$B90:$B91,$B110),0)</f>
        <v>0</v>
      </c>
      <c r="I110" s="986"/>
      <c r="J110" s="987"/>
      <c r="K110" s="401">
        <f>MAX(TREND(K90:K91,B90:B91,B110),0)</f>
        <v>0</v>
      </c>
      <c r="L110" s="402">
        <f>MAX(TREND(L90:L91,B90:B91,B110),0)</f>
        <v>0</v>
      </c>
      <c r="M110" s="403">
        <f>IFERROR(IF(B84=Hwy,C110*E110/G110,K110/G110),0)</f>
        <v>0</v>
      </c>
      <c r="N110" s="404">
        <f>IFERROR(IF(B84=Hwy,D110*F110/H110,L110/H110),0)</f>
        <v>0</v>
      </c>
      <c r="O110" s="403">
        <f>MAX(TREND(O90:O91,$B90:$B91,$B110),0)</f>
        <v>0</v>
      </c>
      <c r="P110" s="404">
        <f>MAX(TREND(P90:P91,$B90:$B91,$B110),0)</f>
        <v>0</v>
      </c>
      <c r="Q110" s="402">
        <f>TREND(Q90:Q91,$B90:$B91,$B110)</f>
        <v>0</v>
      </c>
      <c r="R110" s="802">
        <f>IF(Induced="N",0,(IF(B84=Hwy,M110*(I110*ValTimeTruck+(1-I110)*ValTimeAuto)-N110*(J110*ValTimeTruck+(1-J110)*ValTimeAuto),(IF(INDEX($P$157:$X$160,MATCH(B84,$O$157:$O$160,0),7)&gt;0,INDEX($P$157:$X$160,MATCH(B84,$O$157:$O$160,0),7)/IF(INDEX($P$157:$X$160,MATCH(B84,$O$157:$O$160,0),6)=0,1,INDEX($P$157:$X$160,MATCH(B84,$O$157:$O$160,0),6)),M110)-N110)*ValTimeAuto)+O110-P110)*(H110-Q110)*0.5*(1+TTUprater)^($B110-YearCurrent))</f>
        <v>0</v>
      </c>
      <c r="S110" s="780">
        <f t="shared" si="10"/>
        <v>0</v>
      </c>
      <c r="T110" s="370">
        <f t="shared" si="11"/>
        <v>0</v>
      </c>
    </row>
    <row r="111" spans="1:20" x14ac:dyDescent="0.25">
      <c r="A111" s="1"/>
      <c r="B111" s="375">
        <f t="shared" si="12"/>
        <v>2044</v>
      </c>
      <c r="C111" s="401">
        <f>MAX(TREND(C90:C91,B90:B91,B111),0)</f>
        <v>0</v>
      </c>
      <c r="D111" s="402">
        <f>MAX(TREND(D90:D91,B90:B91,B111),0)</f>
        <v>0</v>
      </c>
      <c r="E111" s="986"/>
      <c r="F111" s="987"/>
      <c r="G111" s="401">
        <f>MAX(TREND(G90:G91,$B90:$B91,$B111),0)</f>
        <v>0</v>
      </c>
      <c r="H111" s="402">
        <f>MAX(TREND(H90:H91,$B90:$B91,$B111),0)</f>
        <v>0</v>
      </c>
      <c r="I111" s="986"/>
      <c r="J111" s="987"/>
      <c r="K111" s="401">
        <f>MAX(TREND(K90:K91,B90:B91,B111),0)</f>
        <v>0</v>
      </c>
      <c r="L111" s="402">
        <f>MAX(TREND(L90:L91,B90:B91,B111),0)</f>
        <v>0</v>
      </c>
      <c r="M111" s="403">
        <f>IFERROR(IF(B84=Hwy,C111*E111/G111,K111/G111),0)</f>
        <v>0</v>
      </c>
      <c r="N111" s="404">
        <f>IFERROR(IF(B84=Hwy,D111*F111/H111,L111/H111),0)</f>
        <v>0</v>
      </c>
      <c r="O111" s="403">
        <f>MAX(TREND(O90:O91,$B90:$B91,$B111),0)</f>
        <v>0</v>
      </c>
      <c r="P111" s="404">
        <f>MAX(TREND(P90:P91,$B90:$B91,$B111),0)</f>
        <v>0</v>
      </c>
      <c r="Q111" s="402">
        <f>TREND(Q90:Q91,$B90:$B91,$B111)</f>
        <v>0</v>
      </c>
      <c r="R111" s="802">
        <f>IF(Induced="N",0,(IF(B84=Hwy,M111*(I111*ValTimeTruck+(1-I111)*ValTimeAuto)-N111*(J111*ValTimeTruck+(1-J111)*ValTimeAuto),(IF(INDEX($P$157:$X$160,MATCH(B84,$O$157:$O$160,0),7)&gt;0,INDEX($P$157:$X$160,MATCH(B84,$O$157:$O$160,0),7)/IF(INDEX($P$157:$X$160,MATCH(B84,$O$157:$O$160,0),6)=0,1,INDEX($P$157:$X$160,MATCH(B84,$O$157:$O$160,0),6)),M111)-N111)*ValTimeAuto)+O111-P111)*(H111-Q111)*0.5*(1+TTUprater)^($B111-YearCurrent))</f>
        <v>0</v>
      </c>
      <c r="S111" s="780">
        <f t="shared" si="10"/>
        <v>0</v>
      </c>
      <c r="T111" s="370">
        <f t="shared" si="11"/>
        <v>0</v>
      </c>
    </row>
    <row r="112" spans="1:20" x14ac:dyDescent="0.25">
      <c r="A112" s="1"/>
      <c r="B112" s="375">
        <f t="shared" si="12"/>
        <v>2045</v>
      </c>
      <c r="C112" s="401">
        <f>MAX(TREND(C90:C91,B90:B91,B112),0)</f>
        <v>0</v>
      </c>
      <c r="D112" s="402">
        <f>MAX(TREND(D90:D91,B90:B91,B112),0)</f>
        <v>0</v>
      </c>
      <c r="E112" s="986"/>
      <c r="F112" s="987"/>
      <c r="G112" s="401">
        <f>MAX(TREND(G90:G91,$B90:$B91,$B112),0)</f>
        <v>0</v>
      </c>
      <c r="H112" s="402">
        <f>MAX(TREND(H90:H91,$B90:$B91,$B112),0)</f>
        <v>0</v>
      </c>
      <c r="I112" s="986"/>
      <c r="J112" s="987"/>
      <c r="K112" s="401">
        <f>MAX(TREND(K90:K91,B90:B91,B112),0)</f>
        <v>0</v>
      </c>
      <c r="L112" s="402">
        <f>MAX(TREND(L90:L91,B90:B91,B112),0)</f>
        <v>0</v>
      </c>
      <c r="M112" s="403">
        <f>IFERROR(IF(B84=Hwy,C112*E112/G112,K112/G112),0)</f>
        <v>0</v>
      </c>
      <c r="N112" s="404">
        <f>IFERROR(IF(B84=Hwy,D112*F112/H112,L112/H112),0)</f>
        <v>0</v>
      </c>
      <c r="O112" s="403">
        <f>MAX(TREND(O90:O91,$B90:$B91,$B112),0)</f>
        <v>0</v>
      </c>
      <c r="P112" s="404">
        <f>MAX(TREND(P90:P91,$B90:$B91,$B112),0)</f>
        <v>0</v>
      </c>
      <c r="Q112" s="402">
        <f>TREND(Q90:Q91,$B90:$B91,$B112)</f>
        <v>0</v>
      </c>
      <c r="R112" s="802">
        <f>IF(Induced="N",0,(IF(B84=Hwy,M112*(I112*ValTimeTruck+(1-I112)*ValTimeAuto)-N112*(J112*ValTimeTruck+(1-J112)*ValTimeAuto),(IF(INDEX($P$157:$X$160,MATCH(B84,$O$157:$O$160,0),7)&gt;0,INDEX($P$157:$X$160,MATCH(B84,$O$157:$O$160,0),7)/IF(INDEX($P$157:$X$160,MATCH(B84,$O$157:$O$160,0),6)=0,1,INDEX($P$157:$X$160,MATCH(B84,$O$157:$O$160,0),6)),M112)-N112)*ValTimeAuto)+O112-P112)*(H112-Q112)*0.5*(1+TTUprater)^($B112-YearCurrent))</f>
        <v>0</v>
      </c>
      <c r="S112" s="780">
        <f t="shared" si="10"/>
        <v>0</v>
      </c>
      <c r="T112" s="370">
        <f t="shared" si="11"/>
        <v>0</v>
      </c>
    </row>
    <row r="113" spans="1:20" x14ac:dyDescent="0.25">
      <c r="A113" s="1"/>
      <c r="B113" s="385"/>
      <c r="C113" s="386"/>
      <c r="D113" s="386"/>
      <c r="E113" s="386"/>
      <c r="F113" s="386"/>
      <c r="G113" s="386"/>
      <c r="H113" s="386"/>
      <c r="I113" s="386"/>
      <c r="J113" s="386"/>
      <c r="K113" s="386"/>
      <c r="L113" s="386"/>
      <c r="M113" s="386"/>
      <c r="N113" s="386"/>
      <c r="O113" s="386"/>
      <c r="P113" s="386"/>
      <c r="Q113" s="386"/>
      <c r="R113" s="386"/>
      <c r="S113" s="386"/>
      <c r="T113" s="386"/>
    </row>
    <row r="114" spans="1:20" x14ac:dyDescent="0.25">
      <c r="A114" s="1"/>
      <c r="B114" s="407" t="s">
        <v>56</v>
      </c>
      <c r="C114" s="413"/>
      <c r="D114" s="414"/>
      <c r="E114" s="414"/>
      <c r="F114" s="414"/>
      <c r="G114" s="414"/>
      <c r="H114" s="414"/>
      <c r="I114" s="414"/>
      <c r="J114" s="414"/>
      <c r="K114" s="414"/>
      <c r="L114" s="414"/>
      <c r="M114" s="414"/>
      <c r="N114" s="414"/>
      <c r="O114" s="414"/>
      <c r="P114" s="414"/>
      <c r="Q114" s="414"/>
      <c r="R114" s="414"/>
      <c r="S114" s="414"/>
      <c r="T114" s="409">
        <f>SUM(T93:T112)</f>
        <v>0</v>
      </c>
    </row>
    <row r="117" spans="1:20" x14ac:dyDescent="0.25">
      <c r="A117" s="1">
        <v>4</v>
      </c>
      <c r="B117" s="878" t="str">
        <f>PARAMETERS!$J$12</f>
        <v>Highway</v>
      </c>
      <c r="C117" s="763"/>
      <c r="D117" s="2"/>
      <c r="E117" s="2"/>
      <c r="F117" s="2"/>
      <c r="G117" s="2"/>
      <c r="H117" s="2"/>
      <c r="I117" s="2"/>
      <c r="J117" s="2"/>
      <c r="K117" s="320"/>
      <c r="L117" s="320"/>
      <c r="M117" s="320"/>
      <c r="N117" s="320"/>
      <c r="O117" s="320"/>
      <c r="P117" s="320"/>
      <c r="Q117" s="2"/>
      <c r="R117" s="2"/>
    </row>
    <row r="118" spans="1:20" x14ac:dyDescent="0.25">
      <c r="A118" s="1"/>
      <c r="B118" s="2"/>
      <c r="C118" s="38"/>
      <c r="D118" s="877"/>
      <c r="Q118" s="2"/>
      <c r="R118" s="149"/>
    </row>
    <row r="119" spans="1:20" ht="15.75" x14ac:dyDescent="0.25">
      <c r="A119" s="1"/>
      <c r="B119" s="922"/>
      <c r="C119" s="923" t="s">
        <v>190</v>
      </c>
      <c r="D119" s="924"/>
      <c r="E119" s="923" t="s">
        <v>191</v>
      </c>
      <c r="F119" s="924"/>
      <c r="G119" s="923" t="str">
        <f>IF(B117=Hwy,"TOTAL VEHICLE TRIPS","TOTAL PERSON TRIPS")</f>
        <v>TOTAL VEHICLE TRIPS</v>
      </c>
      <c r="H119" s="924"/>
      <c r="I119" s="923" t="s">
        <v>192</v>
      </c>
      <c r="J119" s="924"/>
      <c r="K119" s="923" t="s">
        <v>193</v>
      </c>
      <c r="L119" s="924"/>
      <c r="M119" s="923" t="s">
        <v>194</v>
      </c>
      <c r="N119" s="924"/>
      <c r="O119" s="325" t="s">
        <v>228</v>
      </c>
      <c r="P119" s="326"/>
      <c r="Q119" s="948" t="str">
        <f>IF(B117=Hwy,"TOTAL VEHICLE TRIPS","TOTAL PERSON TRIPS")</f>
        <v>TOTAL VEHICLE TRIPS</v>
      </c>
      <c r="R119" s="925" t="s">
        <v>229</v>
      </c>
      <c r="S119" s="329"/>
      <c r="T119" s="330"/>
    </row>
    <row r="120" spans="1:20" x14ac:dyDescent="0.25">
      <c r="A120" s="1"/>
      <c r="B120" s="926"/>
      <c r="C120" s="927" t="s">
        <v>197</v>
      </c>
      <c r="D120" s="928"/>
      <c r="E120" s="929" t="s">
        <v>198</v>
      </c>
      <c r="F120" s="928"/>
      <c r="G120" s="929" t="s">
        <v>199</v>
      </c>
      <c r="H120" s="928"/>
      <c r="I120" s="930" t="s">
        <v>200</v>
      </c>
      <c r="J120" s="931"/>
      <c r="K120" s="932" t="s">
        <v>201</v>
      </c>
      <c r="L120" s="928"/>
      <c r="M120" s="933" t="s">
        <v>202</v>
      </c>
      <c r="N120" s="931"/>
      <c r="O120" s="338" t="s">
        <v>230</v>
      </c>
      <c r="P120" s="339"/>
      <c r="Q120" s="927" t="s">
        <v>199</v>
      </c>
      <c r="R120" s="934" t="s">
        <v>203</v>
      </c>
      <c r="S120" s="342"/>
      <c r="T120" s="343"/>
    </row>
    <row r="121" spans="1:20" x14ac:dyDescent="0.25">
      <c r="A121" s="1"/>
      <c r="B121" s="935" t="s">
        <v>34</v>
      </c>
      <c r="C121" s="936"/>
      <c r="D121" s="937"/>
      <c r="E121" s="936"/>
      <c r="F121" s="937"/>
      <c r="G121" s="936"/>
      <c r="H121" s="937"/>
      <c r="I121" s="936"/>
      <c r="J121" s="937"/>
      <c r="K121" s="936"/>
      <c r="L121" s="937"/>
      <c r="M121" s="936"/>
      <c r="N121" s="937"/>
      <c r="O121" s="723"/>
      <c r="P121" s="349"/>
      <c r="Q121" s="938" t="s">
        <v>206</v>
      </c>
      <c r="R121" s="939" t="s">
        <v>231</v>
      </c>
      <c r="S121" s="351" t="s">
        <v>208</v>
      </c>
      <c r="T121" s="347" t="s">
        <v>39</v>
      </c>
    </row>
    <row r="122" spans="1:20" x14ac:dyDescent="0.25">
      <c r="A122" s="1"/>
      <c r="B122" s="940"/>
      <c r="C122" s="941" t="s">
        <v>74</v>
      </c>
      <c r="D122" s="942" t="s">
        <v>125</v>
      </c>
      <c r="E122" s="941" t="s">
        <v>74</v>
      </c>
      <c r="F122" s="942" t="s">
        <v>125</v>
      </c>
      <c r="G122" s="941" t="s">
        <v>74</v>
      </c>
      <c r="H122" s="942" t="s">
        <v>125</v>
      </c>
      <c r="I122" s="941" t="s">
        <v>74</v>
      </c>
      <c r="J122" s="942" t="s">
        <v>125</v>
      </c>
      <c r="K122" s="941" t="s">
        <v>74</v>
      </c>
      <c r="L122" s="942" t="s">
        <v>125</v>
      </c>
      <c r="M122" s="936" t="s">
        <v>74</v>
      </c>
      <c r="N122" s="937" t="s">
        <v>125</v>
      </c>
      <c r="O122" s="724" t="s">
        <v>74</v>
      </c>
      <c r="P122" s="357" t="s">
        <v>125</v>
      </c>
      <c r="Q122" s="944" t="s">
        <v>125</v>
      </c>
      <c r="R122" s="943" t="s">
        <v>233</v>
      </c>
      <c r="S122" s="359" t="s">
        <v>48</v>
      </c>
      <c r="T122" s="360" t="s">
        <v>49</v>
      </c>
    </row>
    <row r="123" spans="1:20" x14ac:dyDescent="0.25">
      <c r="A123" s="1"/>
      <c r="B123" s="363">
        <f>YearFirst</f>
        <v>2026</v>
      </c>
      <c r="C123" s="364">
        <f>SUMIF(INDEX(HwyTransitModelGroup,,1),B117,INDEX(ModelData1NB,,3))*AnnualFactor</f>
        <v>585095</v>
      </c>
      <c r="D123" s="365">
        <f>SUMIF(INDEX(HwyTransitModelGroup,,1),B117,INDEX(ModelData1B,,3))*AnnualFactor</f>
        <v>523410</v>
      </c>
      <c r="E123" s="767">
        <f>IFERROR(IF(B117=Hwy,SUMPRODUCT(--(INDEX(HwyTransitModelGroup,,1)=B117),INDEX(ModelData1NB,,8),INDEX(ModelData1NB,,3))/SUMPRODUCT(--(INDEX(HwyTransitModelGroup,,1)=B117),INDEX(ModelData1NB,,3)),0),0)</f>
        <v>1.45</v>
      </c>
      <c r="F123" s="768">
        <f>IFERROR(IF(B117=Hwy,SUMPRODUCT(--(INDEX(HwyTransitModelGroup,,1)=B117),INDEX(ModelData1B,,8),INDEX(ModelData1B,,3))/SUMPRODUCT(--(INDEX(HwyTransitModelGroup,,1)=B117),INDEX(ModelData1B,,3)),0),0)</f>
        <v>1.4500000000000002</v>
      </c>
      <c r="G123" s="364">
        <f>SUMIF(INDEX(HwyTransitModelGroup,,1),B117,INDEX(ModelData1NB,,1))*AnnualFactor</f>
        <v>0</v>
      </c>
      <c r="H123" s="365">
        <f>SUMIF(INDEX(HwyTransitModelGroup,,1),B117,INDEX(ModelData1B,,1))*AnnualFactor</f>
        <v>0</v>
      </c>
      <c r="I123" s="803">
        <f>IFERROR(IF(B117=Hwy,SUMPRODUCT(--(INDEX(HwyTransitModelGroup,,1)=B117),INDEX(ModelData1NB,,9),INDEX(ModelData1NB,,3))/SUMPRODUCT(--(INDEX(HwyTransitModelGroup,,1)=B117),INDEX(ModelData1NB,,3)),0),0)</f>
        <v>0.24000000000000002</v>
      </c>
      <c r="J123" s="804">
        <f>IFERROR(IF(B117=Hwy,SUMPRODUCT(--(INDEX(HwyTransitModelGroup,,1)=B117),INDEX(ModelData1B,,9),INDEX(ModelData1B,,3))/SUMPRODUCT(--(INDEX(HwyTransitModelGroup,,1)=B117),INDEX(ModelData1B,,3)),0),0)</f>
        <v>0.24</v>
      </c>
      <c r="K123" s="364">
        <f>SUMIF(INDEX(HwyTransitModelGroup,,1),B117,INDEX(ModelData1NB,,5))*AnnualFactor</f>
        <v>0</v>
      </c>
      <c r="L123" s="365">
        <f>SUMIF(INDEX(HwyTransitModelGroup,,1),B117,INDEX(ModelData1B,,5))*AnnualFactor</f>
        <v>0</v>
      </c>
      <c r="M123" s="366">
        <f>IFERROR(IF(B117=Hwy,C123*E123/G123,K123/G123),0)</f>
        <v>0</v>
      </c>
      <c r="N123" s="778">
        <f>IFERROR(IF(B117=Hwy,D123*F123/H123,L123/H123),0)</f>
        <v>0</v>
      </c>
      <c r="O123" s="949">
        <f>IFERROR(IF(E123=0,0,SUMPRODUCT(--(INDEX(HwyTransitModelGroup,,1)=B117),INDEX(ModelData1NB,,6),INDEX(ModelData1NB,,1))/IF(SUMPRODUCT(--(INDEX(HwyTransitModelGroup,,1)=B117),INDEX(ModelData1NB,,1))=0,1,SUMPRODUCT(--(INDEX(HwyTransitModelGroup,,1)=B117),INDEX(ModelData1NB,,1)))),0)</f>
        <v>0</v>
      </c>
      <c r="P123" s="823">
        <f>IFERROR(IF(F123=0,0,SUMPRODUCT(--(INDEX(HwyTransitModelGroup,,1)=B117),INDEX(ModelData1B,,6),INDEX(ModelData1B,,1))/IF(SUMPRODUCT(--(INDEX(HwyTransitModelGroup,,1)=B117),INDEX(ModelData1B,,1))=0,1,SUMPRODUCT(--(INDEX(HwyTransitModelGroup,,1)=B117),INDEX(ModelData1B,,1)))),0)</f>
        <v>0</v>
      </c>
      <c r="Q123" s="945">
        <f>IFERROR($H123-SUMIF('Consumer Surplus'!$C$157:$C$160,B117,'Consumer Surplus'!$G$157:$G$160),0)</f>
        <v>0</v>
      </c>
      <c r="R123" s="951">
        <f>IF(Induced="N",0,(IF(B117=Hwy,M123*(I123*ValTimeTruck+(1-I123)*ValTimeAuto)-N123*(J123*ValTimeTruck+(1-J123)*ValTimeAuto),(IF(INDEX($P$157:$X$160,MATCH(B117,$O$157:$O$160,0),7)&gt;0,INDEX($P$157:$X$160,MATCH(B117,$O$157:$O$160,0),7)/IF(INDEX($P$157:$X$160,MATCH(B117,$O$157:$O$160,0),6)=0,1,INDEX($P$157:$X$160,MATCH(B117,$O$157:$O$160,0),6)),M123)-N123)*ValTimeAuto)+O123-P123)*(H123-Q123)*0.5*(1+TTUprater)^($B123-YearCurrent))</f>
        <v>0</v>
      </c>
      <c r="S123" s="780">
        <f>SUM(R123:R123)</f>
        <v>0</v>
      </c>
      <c r="T123" s="370">
        <f>S123/(1+DiscRate)^(B123-YearCurrent)</f>
        <v>0</v>
      </c>
    </row>
    <row r="124" spans="1:20" x14ac:dyDescent="0.25">
      <c r="A124" s="1"/>
      <c r="B124" s="379">
        <f>YearLast</f>
        <v>2046</v>
      </c>
      <c r="C124" s="380">
        <f>SUMIF(INDEX(HwyTransitModelGroup,,1),B117,INDEX(ModelData20NB,,3))*AnnualFactor</f>
        <v>749710</v>
      </c>
      <c r="D124" s="381">
        <f>SUMIF(INDEX(HwyTransitModelGroup,,1),B117,INDEX(ModelData20B,,3))*AnnualFactor</f>
        <v>646780</v>
      </c>
      <c r="E124" s="769">
        <f>IFERROR(IF(B117=Hwy,SUMPRODUCT(--(INDEX(HwyTransitModelGroup,,1)=B117),INDEX(ModelData20NB,,8),INDEX(ModelData20NB,,3))/SUMPRODUCT(--(INDEX(HwyTransitModelGroup,,1)=B117),INDEX(ModelData20NB,,3)),0),0)</f>
        <v>1.45</v>
      </c>
      <c r="F124" s="770">
        <f>IFERROR(IF(B117=Hwy,SUMPRODUCT(--(INDEX(HwyTransitModelGroup,,1)=B117),INDEX(ModelData20B,,8),INDEX(ModelData20B,,3))/SUMPRODUCT(--(INDEX(HwyTransitModelGroup,,1)=B117),INDEX(ModelData20B,,3)),0),0)</f>
        <v>1.4499999999999997</v>
      </c>
      <c r="G124" s="380">
        <f>SUMIF(INDEX(HwyTransitModelGroup,,1),B117,INDEX(ModelData20NB,,1))*AnnualFactor</f>
        <v>0</v>
      </c>
      <c r="H124" s="381">
        <f>SUMIF(INDEX(HwyTransitModelGroup,,1),B117,INDEX(ModelData20B,,1))*AnnualFactor</f>
        <v>0</v>
      </c>
      <c r="I124" s="805">
        <f>IFERROR(IF(B117=Hwy,SUMPRODUCT(--(INDEX(HwyTransitModelGroup,,1)=B117),INDEX(ModelData20NB,,9),INDEX(ModelData20NB,,3))/SUMPRODUCT(--(INDEX(HwyTransitModelGroup,,1)=B117),INDEX(ModelData20NB,,3)),0),0)</f>
        <v>0.24</v>
      </c>
      <c r="J124" s="806">
        <f>IFERROR(IF(B117=Hwy,SUMPRODUCT(--(INDEX(HwyTransitModelGroup,,1)=B117),INDEX(ModelData20B,,9),INDEX(ModelData20B,,3))/SUMPRODUCT(--(INDEX(HwyTransitModelGroup,,1)=B117),INDEX(ModelData20B,,3)),0),0)</f>
        <v>0.24</v>
      </c>
      <c r="K124" s="380">
        <f>SUMIF(INDEX(HwyTransitModelGroup,,1),B117,INDEX(ModelData20NB,,5))*AnnualFactor</f>
        <v>0</v>
      </c>
      <c r="L124" s="381">
        <f>SUMIF(INDEX(HwyTransitModelGroup,,1),B117,INDEX(ModelData20B,,5))*AnnualFactor</f>
        <v>0</v>
      </c>
      <c r="M124" s="382">
        <f>IFERROR(IF(B117=Hwy,C124*E124/G124,K124/G124),0)</f>
        <v>0</v>
      </c>
      <c r="N124" s="779">
        <f>IFERROR(IF(B117=Hwy,D124*F124/H124,L124/H124),0)</f>
        <v>0</v>
      </c>
      <c r="O124" s="824">
        <f>IFERROR(IF(E124=0,0,SUMPRODUCT(--(INDEX(HwyTransitModelGroup,,1)=B117),INDEX(ModelData20NB,,6),INDEX(ModelData20NB,,1))/IF(SUMPRODUCT(--(INDEX(HwyTransitModelGroup,,1)=B117),INDEX(ModelData20NB,,1))=0,1,SUMPRODUCT(--(INDEX(HwyTransitModelGroup,,1)=B117),INDEX(ModelData20NB,,1)))),0)</f>
        <v>0</v>
      </c>
      <c r="P124" s="825">
        <f>IFERROR(IF(F124=0,0,SUMPRODUCT(--(INDEX(HwyTransitModelGroup,,1)=B117),INDEX(ModelData20B,,6),INDEX(ModelData20B,,1))/IF(SUMPRODUCT(--(INDEX(HwyTransitModelGroup,,1)=B117),INDEX(ModelData20B,,1))=0,1,SUMPRODUCT(--(INDEX(HwyTransitModelGroup,,1)=B117),INDEX(ModelData20B,,1)))),0)</f>
        <v>0</v>
      </c>
      <c r="Q124" s="952">
        <f>IFERROR($H124-SUMIF('Consumer Surplus'!$C$157:$C$160,B117,'Consumer Surplus'!$K$157:$K$160),0)</f>
        <v>0</v>
      </c>
      <c r="R124" s="953">
        <f>IF(Induced="N",0,(IF(B117=Hwy,M124*(I124*ValTimeTruck+(1-I124)*ValTimeAuto)-N124*(J124*ValTimeTruck+(1-J124)*ValTimeAuto),(IF(INDEX($P$157:$X$160,MATCH(B117,$O$157:$O$160,0),9)&gt;0,INDEX($P$157:$X$160,MATCH(B117,$O$157:$O$160,0),9)/IF(INDEX($P$157:$X$160,MATCH(B117,$O$157:$O$160,0),9)=0,1,INDEX($P$157:$X$160,MATCH(B117,$O$157:$O$160,0),8)),M124)-N124)*ValTimeAuto)+O124-P124)*(H124-Q124)*0.5*(1+TTUprater)^($B124-YearCurrent))</f>
        <v>0</v>
      </c>
      <c r="S124" s="780">
        <f>SUM(R124:R124)</f>
        <v>0</v>
      </c>
      <c r="T124" s="370">
        <f>S124/(1+DiscRate)^(B124-YearCurrent)</f>
        <v>0</v>
      </c>
    </row>
    <row r="125" spans="1:20" x14ac:dyDescent="0.25">
      <c r="A125" s="1"/>
      <c r="B125" s="385"/>
      <c r="C125" s="386"/>
      <c r="D125" s="386"/>
      <c r="E125" s="387"/>
      <c r="F125" s="387"/>
      <c r="G125" s="387"/>
      <c r="H125" s="387"/>
      <c r="I125" s="388"/>
      <c r="J125" s="388"/>
      <c r="K125" s="773"/>
      <c r="L125" s="773"/>
      <c r="M125" s="774"/>
      <c r="N125" s="774"/>
      <c r="O125" s="774"/>
      <c r="P125" s="774"/>
      <c r="Q125" s="774"/>
      <c r="R125" s="374"/>
      <c r="S125" s="388"/>
      <c r="T125" s="389"/>
    </row>
    <row r="126" spans="1:20" x14ac:dyDescent="0.25">
      <c r="A126" s="1"/>
      <c r="B126" s="375">
        <f>YearOpen</f>
        <v>2026</v>
      </c>
      <c r="C126" s="393">
        <f>MAX(TREND(C123:C124,B123:B124,B126),0)</f>
        <v>585095</v>
      </c>
      <c r="D126" s="394">
        <f>MAX(TREND(D123:D124,B123:B124,B126),0)</f>
        <v>523410</v>
      </c>
      <c r="E126" s="395">
        <f>MAX(TREND(E123:E124,B123:B124,B126),0)</f>
        <v>1.45</v>
      </c>
      <c r="F126" s="396">
        <f>MAX(TREND(F123:F124,B123:B124,B126),0)</f>
        <v>1.4500000000000002</v>
      </c>
      <c r="G126" s="393">
        <f>MAX(TREND(G123:G124,$B123:$B124,$B126),0)</f>
        <v>0</v>
      </c>
      <c r="H126" s="394">
        <f>MAX(TREND(H123:H124,$B123:$B124,$B126),0)</f>
        <v>0</v>
      </c>
      <c r="I126" s="397">
        <f>MIN(MAX(TREND(I123:I124,B123:B124,B126),0),1)</f>
        <v>0.24000000000000002</v>
      </c>
      <c r="J126" s="771">
        <f>MIN(MAX(TREND(J123:J124,B123:B124,B126),0),1)</f>
        <v>0.24</v>
      </c>
      <c r="K126" s="393">
        <f>MAX(TREND(K123:K124,B123:B124,B126),0)</f>
        <v>0</v>
      </c>
      <c r="L126" s="394">
        <f>MAX(TREND(L123:L124,B123:B124,B126),0)</f>
        <v>0</v>
      </c>
      <c r="M126" s="395">
        <f>IFERROR(IF(B117=Hwy,C126*E126/G126,K126/G126),0)</f>
        <v>0</v>
      </c>
      <c r="N126" s="396">
        <f>IFERROR(IF(B117=Hwy,D126*F126/H126,L126/H126),0)</f>
        <v>0</v>
      </c>
      <c r="O126" s="395">
        <f>MAX(TREND(O123:O124,$B123:$B124,$B126),0)</f>
        <v>0</v>
      </c>
      <c r="P126" s="396">
        <f>MAX(TREND(P123:P124,$B123:$B124,$B126),0)</f>
        <v>0</v>
      </c>
      <c r="Q126" s="394">
        <f>TREND(Q123:Q124,$B123:$B124,$B126)</f>
        <v>0</v>
      </c>
      <c r="R126" s="801">
        <f>IF(Induced="N",0,(IF(B117=Hwy,M126*(I126*ValTimeTruck+(1-I126)*ValTimeAuto)-N126*(J126*ValTimeTruck+(1-J126)*ValTimeAuto),(IF(INDEX($P$157:$X$160,MATCH(B117,$O$157:$O$160,0),7)&gt;0,INDEX($P$157:$X$160,MATCH(B117,$O$157:$O$160,0),7)/IF(INDEX($P$157:$X$160,MATCH(B117,$O$157:$O$160,0),6)=0,1,INDEX($P$157:$X$160,MATCH(B117,$O$157:$O$160,0),6)),M126)-N126)*ValTimeAuto)+O126-P126)*(H126-Q126)*0.5*(1+TTUprater)^($B126-YearCurrent))</f>
        <v>0</v>
      </c>
      <c r="S126" s="780">
        <f t="shared" ref="S126:S145" si="13">SUM(R126:R126)</f>
        <v>0</v>
      </c>
      <c r="T126" s="370">
        <f t="shared" ref="T126:T145" si="14">S126/(1+DiscRate)^(B126-YearCurrent)</f>
        <v>0</v>
      </c>
    </row>
    <row r="127" spans="1:20" x14ac:dyDescent="0.25">
      <c r="A127" s="1"/>
      <c r="B127" s="375">
        <f>B126+1</f>
        <v>2027</v>
      </c>
      <c r="C127" s="401">
        <f>MAX(TREND(C123:C124,B123:B124,B127),0)</f>
        <v>593325.75</v>
      </c>
      <c r="D127" s="402">
        <f>MAX(TREND(D123:D124,B123:B124,B127),0)</f>
        <v>529578.5</v>
      </c>
      <c r="E127" s="403">
        <f>MAX(TREND(E123:E124,B123:B124,B127),0)</f>
        <v>1.45</v>
      </c>
      <c r="F127" s="404">
        <f>MAX(TREND(F123:F124,B123:B124,B127),0)</f>
        <v>1.4500000000000002</v>
      </c>
      <c r="G127" s="401">
        <f>MAX(TREND(G123:G124,$B123:$B124,$B127),0)</f>
        <v>0</v>
      </c>
      <c r="H127" s="402">
        <f>MAX(TREND(H123:H124,$B123:$B124,$B127),0)</f>
        <v>0</v>
      </c>
      <c r="I127" s="405">
        <f>MIN(MAX(TREND(I123:I124,B123:B124,B127),0),1)</f>
        <v>0.24000000000000002</v>
      </c>
      <c r="J127" s="772">
        <f>MIN(MAX(TREND(J123:J124,B123:B124,B127),0),1)</f>
        <v>0.24</v>
      </c>
      <c r="K127" s="401">
        <f>MAX(TREND(K123:K124,B123:B124,B127),0)</f>
        <v>0</v>
      </c>
      <c r="L127" s="402">
        <f>MAX(TREND(L123:L124,B123:B124,B127),0)</f>
        <v>0</v>
      </c>
      <c r="M127" s="403">
        <f>IFERROR(IF(B117=Hwy,C127*E127/G127,K127/G127),0)</f>
        <v>0</v>
      </c>
      <c r="N127" s="404">
        <f>IFERROR(IF(B117=Hwy,D127*F127/H127,L127/H127),0)</f>
        <v>0</v>
      </c>
      <c r="O127" s="403">
        <f>MAX(TREND(O123:O124,$B123:$B124,$B127),0)</f>
        <v>0</v>
      </c>
      <c r="P127" s="404">
        <f>MAX(TREND(P123:P124,$B123:$B124,$B127),0)</f>
        <v>0</v>
      </c>
      <c r="Q127" s="402">
        <f>TREND(Q123:Q124,$B123:$B124,$B127)</f>
        <v>0</v>
      </c>
      <c r="R127" s="802">
        <f>IF(Induced="N",0,(IF(B117=Hwy,M127*(I127*ValTimeTruck+(1-I127)*ValTimeAuto)-N127*(J127*ValTimeTruck+(1-J127)*ValTimeAuto),(IF(INDEX($P$157:$X$160,MATCH(B117,$O$157:$O$160,0),7)&gt;0,INDEX($P$157:$X$160,MATCH(B117,$O$157:$O$160,0),7)/IF(INDEX($P$157:$X$160,MATCH(B117,$O$157:$O$160,0),6)=0,1,INDEX($P$157:$X$160,MATCH(B117,$O$157:$O$160,0),6)),M127)-N127)*ValTimeAuto)+O127-P127)*(H127-Q127)*0.5*(1+TTUprater)^($B127-YearCurrent))</f>
        <v>0</v>
      </c>
      <c r="S127" s="780">
        <f t="shared" si="13"/>
        <v>0</v>
      </c>
      <c r="T127" s="370">
        <f t="shared" si="14"/>
        <v>0</v>
      </c>
    </row>
    <row r="128" spans="1:20" x14ac:dyDescent="0.25">
      <c r="A128" s="1"/>
      <c r="B128" s="375">
        <f t="shared" ref="B128:B145" si="15">B127+1</f>
        <v>2028</v>
      </c>
      <c r="C128" s="401">
        <f>MAX(TREND(C123:C124,B123:B124,B128),0)</f>
        <v>601556.5</v>
      </c>
      <c r="D128" s="402">
        <f>MAX(TREND(D123:D124,B123:B124,B128),0)</f>
        <v>535747</v>
      </c>
      <c r="E128" s="403">
        <f>MAX(TREND(E123:E124,B123:B124,B128),0)</f>
        <v>1.45</v>
      </c>
      <c r="F128" s="404">
        <f>MAX(TREND(F123:F124,B123:B124,B128),0)</f>
        <v>1.4500000000000002</v>
      </c>
      <c r="G128" s="401">
        <f>MAX(TREND(G123:G124,$B123:$B124,$B128),0)</f>
        <v>0</v>
      </c>
      <c r="H128" s="402">
        <f>MAX(TREND(H123:H124,$B123:$B124,$B128),0)</f>
        <v>0</v>
      </c>
      <c r="I128" s="405">
        <f>MIN(MAX(TREND(I123:I124,B123:B124,B128),0),1)</f>
        <v>0.24000000000000002</v>
      </c>
      <c r="J128" s="772">
        <f>MIN(MAX(TREND(J123:J124,B123:B124,B128),0),1)</f>
        <v>0.24</v>
      </c>
      <c r="K128" s="401">
        <f>MAX(TREND(K123:K124,B123:B124,B128),0)</f>
        <v>0</v>
      </c>
      <c r="L128" s="402">
        <f>MAX(TREND(L123:L124,B123:B124,B128),0)</f>
        <v>0</v>
      </c>
      <c r="M128" s="403">
        <f>IFERROR(IF(B117=Hwy,C128*E128/G128,K128/G128),0)</f>
        <v>0</v>
      </c>
      <c r="N128" s="404">
        <f>IFERROR(IF(B117=Hwy,D128*F128/H128,L128/H128),0)</f>
        <v>0</v>
      </c>
      <c r="O128" s="403">
        <f>MAX(TREND(O123:O124,$B123:$B124,$B128),0)</f>
        <v>0</v>
      </c>
      <c r="P128" s="404">
        <f>MAX(TREND(P123:P124,$B123:$B124,$B128),0)</f>
        <v>0</v>
      </c>
      <c r="Q128" s="402">
        <f>TREND(Q123:Q124,$B123:$B124,$B128)</f>
        <v>0</v>
      </c>
      <c r="R128" s="802">
        <f>IF(Induced="N",0,(IF(B117=Hwy,M128*(I128*ValTimeTruck+(1-I128)*ValTimeAuto)-N128*(J128*ValTimeTruck+(1-J128)*ValTimeAuto),(IF(INDEX($P$157:$X$160,MATCH(B117,$O$157:$O$160,0),7)&gt;0,INDEX($P$157:$X$160,MATCH(B117,$O$157:$O$160,0),7)/IF(INDEX($P$157:$X$160,MATCH(B117,$O$157:$O$160,0),6)=0,1,INDEX($P$157:$X$160,MATCH(B117,$O$157:$O$160,0),6)),M128)-N128)*ValTimeAuto)+O128-P128)*(H128-Q128)*0.5*(1+TTUprater)^($B128-YearCurrent))</f>
        <v>0</v>
      </c>
      <c r="S128" s="780">
        <f t="shared" si="13"/>
        <v>0</v>
      </c>
      <c r="T128" s="370">
        <f t="shared" si="14"/>
        <v>0</v>
      </c>
    </row>
    <row r="129" spans="1:20" x14ac:dyDescent="0.25">
      <c r="A129" s="1"/>
      <c r="B129" s="375">
        <f t="shared" si="15"/>
        <v>2029</v>
      </c>
      <c r="C129" s="401">
        <f>MAX(TREND(C123:C124,B123:B124,B129),0)</f>
        <v>609787.25</v>
      </c>
      <c r="D129" s="402">
        <f>MAX(TREND(D123:D124,B123:B124,B129),0)</f>
        <v>541915.5</v>
      </c>
      <c r="E129" s="403">
        <f>MAX(TREND(E123:E124,B123:B124,B129),0)</f>
        <v>1.45</v>
      </c>
      <c r="F129" s="404">
        <f>MAX(TREND(F123:F124,B123:B124,B129),0)</f>
        <v>1.4500000000000002</v>
      </c>
      <c r="G129" s="401">
        <f>MAX(TREND(G123:G124,$B123:$B124,$B129),0)</f>
        <v>0</v>
      </c>
      <c r="H129" s="402">
        <f>MAX(TREND(H123:H124,$B123:$B124,$B129),0)</f>
        <v>0</v>
      </c>
      <c r="I129" s="405">
        <f>MIN(MAX(TREND(I123:I124,B123:B124,B129),0),1)</f>
        <v>0.24000000000000002</v>
      </c>
      <c r="J129" s="772">
        <f>MIN(MAX(TREND(J123:J124,B123:B124,B129),0),1)</f>
        <v>0.24</v>
      </c>
      <c r="K129" s="401">
        <f>MAX(TREND(K123:K124,B123:B124,B129),0)</f>
        <v>0</v>
      </c>
      <c r="L129" s="402">
        <f>MAX(TREND(L123:L124,B123:B124,B129),0)</f>
        <v>0</v>
      </c>
      <c r="M129" s="403">
        <f>IFERROR(IF(B117=Hwy,C129*E129/G129,K129/G129),0)</f>
        <v>0</v>
      </c>
      <c r="N129" s="404">
        <f>IFERROR(IF(B117=Hwy,D129*F129/H129,L129/H129),0)</f>
        <v>0</v>
      </c>
      <c r="O129" s="403">
        <f>MAX(TREND(O123:O124,$B123:$B124,$B129),0)</f>
        <v>0</v>
      </c>
      <c r="P129" s="404">
        <f>MAX(TREND(P123:P124,$B123:$B124,$B129),0)</f>
        <v>0</v>
      </c>
      <c r="Q129" s="402">
        <f>TREND(Q123:Q124,$B123:$B124,$B129)</f>
        <v>0</v>
      </c>
      <c r="R129" s="802">
        <f>IF(Induced="N",0,(IF(B117=Hwy,M129*(I129*ValTimeTruck+(1-I129)*ValTimeAuto)-N129*(J129*ValTimeTruck+(1-J129)*ValTimeAuto),(IF(INDEX($P$157:$X$160,MATCH(B117,$O$157:$O$160,0),7)&gt;0,INDEX($P$157:$X$160,MATCH(B117,$O$157:$O$160,0),7)/IF(INDEX($P$157:$X$160,MATCH(B117,$O$157:$O$160,0),6)=0,1,INDEX($P$157:$X$160,MATCH(B117,$O$157:$O$160,0),6)),M129)-N129)*ValTimeAuto)+O129-P129)*(H129-Q129)*0.5*(1+TTUprater)^($B129-YearCurrent))</f>
        <v>0</v>
      </c>
      <c r="S129" s="780">
        <f t="shared" si="13"/>
        <v>0</v>
      </c>
      <c r="T129" s="370">
        <f t="shared" si="14"/>
        <v>0</v>
      </c>
    </row>
    <row r="130" spans="1:20" x14ac:dyDescent="0.25">
      <c r="A130" s="1"/>
      <c r="B130" s="375">
        <f t="shared" si="15"/>
        <v>2030</v>
      </c>
      <c r="C130" s="401">
        <f>MAX(TREND(C123:C124,B123:B124,B130),0)</f>
        <v>618018</v>
      </c>
      <c r="D130" s="402">
        <f>MAX(TREND(D123:D124,B123:B124,B130),0)</f>
        <v>548084</v>
      </c>
      <c r="E130" s="403">
        <f>MAX(TREND(E123:E124,B123:B124,B130),0)</f>
        <v>1.45</v>
      </c>
      <c r="F130" s="404">
        <f>MAX(TREND(F123:F124,B123:B124,B130),0)</f>
        <v>1.4500000000000002</v>
      </c>
      <c r="G130" s="401">
        <f>MAX(TREND(G123:G124,$B123:$B124,$B130),0)</f>
        <v>0</v>
      </c>
      <c r="H130" s="402">
        <f>MAX(TREND(H123:H124,$B123:$B124,$B130),0)</f>
        <v>0</v>
      </c>
      <c r="I130" s="405">
        <f>MIN(MAX(TREND(I123:I124,B123:B124,B130),0),1)</f>
        <v>0.24</v>
      </c>
      <c r="J130" s="772">
        <f>MIN(MAX(TREND(J123:J124,B123:B124,B130),0),1)</f>
        <v>0.24</v>
      </c>
      <c r="K130" s="401">
        <f>MAX(TREND(K123:K124,B123:B124,B130),0)</f>
        <v>0</v>
      </c>
      <c r="L130" s="402">
        <f>MAX(TREND(L123:L124,B123:B124,B130),0)</f>
        <v>0</v>
      </c>
      <c r="M130" s="403">
        <f>IFERROR(IF(B117=Hwy,C130*E130/G130,K130/G130),0)</f>
        <v>0</v>
      </c>
      <c r="N130" s="404">
        <f>IFERROR(IF(B117=Hwy,D130*F130/H130,L130/H130),0)</f>
        <v>0</v>
      </c>
      <c r="O130" s="403">
        <f>MAX(TREND(O123:O124,$B123:$B124,$B130),0)</f>
        <v>0</v>
      </c>
      <c r="P130" s="404">
        <f>MAX(TREND(P123:P124,$B123:$B124,$B130),0)</f>
        <v>0</v>
      </c>
      <c r="Q130" s="402">
        <f>TREND(Q123:Q124,$B123:$B124,$B130)</f>
        <v>0</v>
      </c>
      <c r="R130" s="802">
        <f>IF(Induced="N",0,(IF(B117=Hwy,M130*(I130*ValTimeTruck+(1-I130)*ValTimeAuto)-N130*(J130*ValTimeTruck+(1-J130)*ValTimeAuto),(IF(INDEX($P$157:$X$160,MATCH(B117,$O$157:$O$160,0),7)&gt;0,INDEX($P$157:$X$160,MATCH(B117,$O$157:$O$160,0),7)/IF(INDEX($P$157:$X$160,MATCH(B117,$O$157:$O$160,0),6)=0,1,INDEX($P$157:$X$160,MATCH(B117,$O$157:$O$160,0),6)),M130)-N130)*ValTimeAuto)+O130-P130)*(H130-Q130)*0.5*(1+TTUprater)^($B130-YearCurrent))</f>
        <v>0</v>
      </c>
      <c r="S130" s="780">
        <f t="shared" si="13"/>
        <v>0</v>
      </c>
      <c r="T130" s="370">
        <f t="shared" si="14"/>
        <v>0</v>
      </c>
    </row>
    <row r="131" spans="1:20" x14ac:dyDescent="0.25">
      <c r="A131" s="1"/>
      <c r="B131" s="375">
        <f t="shared" si="15"/>
        <v>2031</v>
      </c>
      <c r="C131" s="401">
        <f>MAX(TREND(C123:C124,B123:B124,B131),0)</f>
        <v>626248.75</v>
      </c>
      <c r="D131" s="402">
        <f>MAX(TREND(D123:D124,B123:B124,B131),0)</f>
        <v>554252.5</v>
      </c>
      <c r="E131" s="403">
        <f>MAX(TREND(E123:E124,B123:B124,B131),0)</f>
        <v>1.45</v>
      </c>
      <c r="F131" s="404">
        <f>MAX(TREND(F123:F124,B123:B124,B131),0)</f>
        <v>1.4500000000000002</v>
      </c>
      <c r="G131" s="401">
        <f>MAX(TREND(G123:G124,$B123:$B124,$B131),0)</f>
        <v>0</v>
      </c>
      <c r="H131" s="402">
        <f>MAX(TREND(H123:H124,$B123:$B124,$B131),0)</f>
        <v>0</v>
      </c>
      <c r="I131" s="405">
        <f>MIN(MAX(TREND(I123:I124,B123:B124,B131),0),1)</f>
        <v>0.24</v>
      </c>
      <c r="J131" s="772">
        <f>MIN(MAX(TREND(J123:J124,B123:B124,B131),0),1)</f>
        <v>0.24</v>
      </c>
      <c r="K131" s="401">
        <f>MAX(TREND(K123:K124,B123:B124,B131),0)</f>
        <v>0</v>
      </c>
      <c r="L131" s="402">
        <f>MAX(TREND(L123:L124,B123:B124,B131),0)</f>
        <v>0</v>
      </c>
      <c r="M131" s="403">
        <f>IFERROR(IF(B117=Hwy,C131*E131/G131,K131/G131),0)</f>
        <v>0</v>
      </c>
      <c r="N131" s="404">
        <f>IFERROR(IF(B117=Hwy,D131*F131/H131,L131/H131),0)</f>
        <v>0</v>
      </c>
      <c r="O131" s="403">
        <f>MAX(TREND(O123:O124,$B123:$B124,$B131),0)</f>
        <v>0</v>
      </c>
      <c r="P131" s="404">
        <f>MAX(TREND(P123:P124,$B123:$B124,$B131),0)</f>
        <v>0</v>
      </c>
      <c r="Q131" s="402">
        <f>TREND(Q123:Q124,$B123:$B124,$B131)</f>
        <v>0</v>
      </c>
      <c r="R131" s="802">
        <f>IF(Induced="N",0,(IF(B117=Hwy,M131*(I131*ValTimeTruck+(1-I131)*ValTimeAuto)-N131*(J131*ValTimeTruck+(1-J131)*ValTimeAuto),(IF(INDEX($P$157:$X$160,MATCH(B117,$O$157:$O$160,0),7)&gt;0,INDEX($P$157:$X$160,MATCH(B117,$O$157:$O$160,0),7)/IF(INDEX($P$157:$X$160,MATCH(B117,$O$157:$O$160,0),6)=0,1,INDEX($P$157:$X$160,MATCH(B117,$O$157:$O$160,0),6)),M131)-N131)*ValTimeAuto)+O131-P131)*(H131-Q131)*0.5*(1+TTUprater)^($B131-YearCurrent))</f>
        <v>0</v>
      </c>
      <c r="S131" s="780">
        <f t="shared" si="13"/>
        <v>0</v>
      </c>
      <c r="T131" s="370">
        <f t="shared" si="14"/>
        <v>0</v>
      </c>
    </row>
    <row r="132" spans="1:20" x14ac:dyDescent="0.25">
      <c r="A132" s="1"/>
      <c r="B132" s="375">
        <f t="shared" si="15"/>
        <v>2032</v>
      </c>
      <c r="C132" s="401">
        <f>MAX(TREND(C123:C124,B123:B124,B132),0)</f>
        <v>634479.5</v>
      </c>
      <c r="D132" s="402">
        <f>MAX(TREND(D123:D124,B123:B124,B132),0)</f>
        <v>560421</v>
      </c>
      <c r="E132" s="403">
        <f>MAX(TREND(E123:E124,B123:B124,B132),0)</f>
        <v>1.45</v>
      </c>
      <c r="F132" s="404">
        <f>MAX(TREND(F123:F124,B123:B124,B132),0)</f>
        <v>1.4500000000000002</v>
      </c>
      <c r="G132" s="401">
        <f>MAX(TREND(G123:G124,$B123:$B124,$B132),0)</f>
        <v>0</v>
      </c>
      <c r="H132" s="402">
        <f>MAX(TREND(H123:H124,$B123:$B124,$B132),0)</f>
        <v>0</v>
      </c>
      <c r="I132" s="405">
        <f>MIN(MAX(TREND(I123:I124,B123:B124,B132),0),1)</f>
        <v>0.24</v>
      </c>
      <c r="J132" s="772">
        <f>MIN(MAX(TREND(J123:J124,B123:B124,B132),0),1)</f>
        <v>0.24</v>
      </c>
      <c r="K132" s="401">
        <f>MAX(TREND(K123:K124,B123:B124,B132),0)</f>
        <v>0</v>
      </c>
      <c r="L132" s="402">
        <f>MAX(TREND(L123:L124,B123:B124,B132),0)</f>
        <v>0</v>
      </c>
      <c r="M132" s="403">
        <f>IFERROR(IF(B117=Hwy,C132*E132/G132,K132/G132),0)</f>
        <v>0</v>
      </c>
      <c r="N132" s="404">
        <f>IFERROR(IF(B117=Hwy,D132*F132/H132,L132/H132),0)</f>
        <v>0</v>
      </c>
      <c r="O132" s="403">
        <f>MAX(TREND(O123:O124,$B123:$B124,$B132),0)</f>
        <v>0</v>
      </c>
      <c r="P132" s="404">
        <f>MAX(TREND(P123:P124,$B123:$B124,$B132),0)</f>
        <v>0</v>
      </c>
      <c r="Q132" s="402">
        <f>TREND(Q123:Q124,$B123:$B124,$B132)</f>
        <v>0</v>
      </c>
      <c r="R132" s="802">
        <f>IF(Induced="N",0,(IF(B117=Hwy,M132*(I132*ValTimeTruck+(1-I132)*ValTimeAuto)-N132*(J132*ValTimeTruck+(1-J132)*ValTimeAuto),(IF(INDEX($P$157:$X$160,MATCH(B117,$O$157:$O$160,0),7)&gt;0,INDEX($P$157:$X$160,MATCH(B117,$O$157:$O$160,0),7)/IF(INDEX($P$157:$X$160,MATCH(B117,$O$157:$O$160,0),6)=0,1,INDEX($P$157:$X$160,MATCH(B117,$O$157:$O$160,0),6)),M132)-N132)*ValTimeAuto)+O132-P132)*(H132-Q132)*0.5*(1+TTUprater)^($B132-YearCurrent))</f>
        <v>0</v>
      </c>
      <c r="S132" s="780">
        <f t="shared" si="13"/>
        <v>0</v>
      </c>
      <c r="T132" s="370">
        <f t="shared" si="14"/>
        <v>0</v>
      </c>
    </row>
    <row r="133" spans="1:20" x14ac:dyDescent="0.25">
      <c r="A133" s="1"/>
      <c r="B133" s="375">
        <f t="shared" si="15"/>
        <v>2033</v>
      </c>
      <c r="C133" s="401">
        <f>MAX(TREND(C123:C124,B123:B124,B133),0)</f>
        <v>642710.25</v>
      </c>
      <c r="D133" s="402">
        <f>MAX(TREND(D123:D124,B123:B124,B133),0)</f>
        <v>566589.5</v>
      </c>
      <c r="E133" s="403">
        <f>MAX(TREND(E123:E124,B123:B124,B133),0)</f>
        <v>1.45</v>
      </c>
      <c r="F133" s="404">
        <f>MAX(TREND(F123:F124,B123:B124,B133),0)</f>
        <v>1.4500000000000002</v>
      </c>
      <c r="G133" s="401">
        <f>MAX(TREND(G123:G124,$B123:$B124,$B133),0)</f>
        <v>0</v>
      </c>
      <c r="H133" s="402">
        <f>MAX(TREND(H123:H124,$B123:$B124,$B133),0)</f>
        <v>0</v>
      </c>
      <c r="I133" s="405">
        <f>MIN(MAX(TREND(I123:I124,B123:B124,B133),0),1)</f>
        <v>0.24</v>
      </c>
      <c r="J133" s="772">
        <f>MIN(MAX(TREND(J123:J124,B123:B124,B133),0),1)</f>
        <v>0.24</v>
      </c>
      <c r="K133" s="401">
        <f>MAX(TREND(K123:K124,B123:B124,B133),0)</f>
        <v>0</v>
      </c>
      <c r="L133" s="402">
        <f>MAX(TREND(L123:L124,B123:B124,B133),0)</f>
        <v>0</v>
      </c>
      <c r="M133" s="403">
        <f>IFERROR(IF(B117=Hwy,C133*E133/G133,K133/G133),0)</f>
        <v>0</v>
      </c>
      <c r="N133" s="404">
        <f>IFERROR(IF(B117=Hwy,D133*F133/H133,L133/H133),0)</f>
        <v>0</v>
      </c>
      <c r="O133" s="403">
        <f>MAX(TREND(O123:O124,$B123:$B124,$B133),0)</f>
        <v>0</v>
      </c>
      <c r="P133" s="404">
        <f>MAX(TREND(P123:P124,$B123:$B124,$B133),0)</f>
        <v>0</v>
      </c>
      <c r="Q133" s="402">
        <f>TREND(Q123:Q124,$B123:$B124,$B133)</f>
        <v>0</v>
      </c>
      <c r="R133" s="802">
        <f>IF(Induced="N",0,(IF(B117=Hwy,M133*(I133*ValTimeTruck+(1-I133)*ValTimeAuto)-N133*(J133*ValTimeTruck+(1-J133)*ValTimeAuto),(IF(INDEX($P$157:$X$160,MATCH(B117,$O$157:$O$160,0),7)&gt;0,INDEX($P$157:$X$160,MATCH(B117,$O$157:$O$160,0),7)/IF(INDEX($P$157:$X$160,MATCH(B117,$O$157:$O$160,0),6)=0,1,INDEX($P$157:$X$160,MATCH(B117,$O$157:$O$160,0),6)),M133)-N133)*ValTimeAuto)+O133-P133)*(H133-Q133)*0.5*(1+TTUprater)^($B133-YearCurrent))</f>
        <v>0</v>
      </c>
      <c r="S133" s="780">
        <f t="shared" si="13"/>
        <v>0</v>
      </c>
      <c r="T133" s="370">
        <f t="shared" si="14"/>
        <v>0</v>
      </c>
    </row>
    <row r="134" spans="1:20" x14ac:dyDescent="0.25">
      <c r="A134" s="1"/>
      <c r="B134" s="375">
        <f t="shared" si="15"/>
        <v>2034</v>
      </c>
      <c r="C134" s="401">
        <f>MAX(TREND(C123:C124,B123:B124,B134),0)</f>
        <v>650941</v>
      </c>
      <c r="D134" s="402">
        <f>MAX(TREND(D123:D124,B123:B124,B134),0)</f>
        <v>572758</v>
      </c>
      <c r="E134" s="403">
        <f>MAX(TREND(E123:E124,B123:B124,B134),0)</f>
        <v>1.45</v>
      </c>
      <c r="F134" s="404">
        <f>MAX(TREND(F123:F124,B123:B124,B134),0)</f>
        <v>1.4500000000000002</v>
      </c>
      <c r="G134" s="401">
        <f>MAX(TREND(G123:G124,$B123:$B124,$B134),0)</f>
        <v>0</v>
      </c>
      <c r="H134" s="402">
        <f>MAX(TREND(H123:H124,$B123:$B124,$B134),0)</f>
        <v>0</v>
      </c>
      <c r="I134" s="405">
        <f>MIN(MAX(TREND(I123:I124,B123:B124,B134),0),1)</f>
        <v>0.24</v>
      </c>
      <c r="J134" s="772">
        <f>MIN(MAX(TREND(J123:J124,B123:B124,B134),0),1)</f>
        <v>0.24</v>
      </c>
      <c r="K134" s="401">
        <f>MAX(TREND(K123:K124,B123:B124,B134),0)</f>
        <v>0</v>
      </c>
      <c r="L134" s="402">
        <f>MAX(TREND(L123:L124,B123:B124,B134),0)</f>
        <v>0</v>
      </c>
      <c r="M134" s="403">
        <f>IFERROR(IF(B117=Hwy,C134*E134/G134,K134/G134),0)</f>
        <v>0</v>
      </c>
      <c r="N134" s="404">
        <f>IFERROR(IF(B117=Hwy,D134*F134/H134,L134/H134),0)</f>
        <v>0</v>
      </c>
      <c r="O134" s="403">
        <f>MAX(TREND(O123:O124,$B123:$B124,$B134),0)</f>
        <v>0</v>
      </c>
      <c r="P134" s="404">
        <f>MAX(TREND(P123:P124,$B123:$B124,$B134),0)</f>
        <v>0</v>
      </c>
      <c r="Q134" s="402">
        <f>TREND(Q123:Q124,$B123:$B124,$B134)</f>
        <v>0</v>
      </c>
      <c r="R134" s="802">
        <f>IF(Induced="N",0,(IF(B117=Hwy,M134*(I134*ValTimeTruck+(1-I134)*ValTimeAuto)-N134*(J134*ValTimeTruck+(1-J134)*ValTimeAuto),(IF(INDEX($P$157:$X$160,MATCH(B117,$O$157:$O$160,0),7)&gt;0,INDEX($P$157:$X$160,MATCH(B117,$O$157:$O$160,0),7)/IF(INDEX($P$157:$X$160,MATCH(B117,$O$157:$O$160,0),6)=0,1,INDEX($P$157:$X$160,MATCH(B117,$O$157:$O$160,0),6)),M134)-N134)*ValTimeAuto)+O134-P134)*(H134-Q134)*0.5*(1+TTUprater)^($B134-YearCurrent))</f>
        <v>0</v>
      </c>
      <c r="S134" s="780">
        <f t="shared" si="13"/>
        <v>0</v>
      </c>
      <c r="T134" s="370">
        <f t="shared" si="14"/>
        <v>0</v>
      </c>
    </row>
    <row r="135" spans="1:20" x14ac:dyDescent="0.25">
      <c r="A135" s="1"/>
      <c r="B135" s="375">
        <f t="shared" si="15"/>
        <v>2035</v>
      </c>
      <c r="C135" s="401">
        <f>MAX(TREND(C123:C124,B123:B124,B135),0)</f>
        <v>659171.75</v>
      </c>
      <c r="D135" s="402">
        <f>MAX(TREND(D123:D124,B123:B124,B135),0)</f>
        <v>578926.5</v>
      </c>
      <c r="E135" s="403">
        <f>MAX(TREND(E123:E124,B123:B124,B135),0)</f>
        <v>1.45</v>
      </c>
      <c r="F135" s="404">
        <f>MAX(TREND(F123:F124,B123:B124,B135),0)</f>
        <v>1.4500000000000002</v>
      </c>
      <c r="G135" s="401">
        <f>MAX(TREND(G123:G124,$B123:$B124,$B135),0)</f>
        <v>0</v>
      </c>
      <c r="H135" s="402">
        <f>MAX(TREND(H123:H124,$B123:$B124,$B135),0)</f>
        <v>0</v>
      </c>
      <c r="I135" s="405">
        <f>MIN(MAX(TREND(I123:I124,B123:B124,B135),0),1)</f>
        <v>0.24</v>
      </c>
      <c r="J135" s="772">
        <f>MIN(MAX(TREND(J123:J124,B123:B124,B135),0),1)</f>
        <v>0.24</v>
      </c>
      <c r="K135" s="401">
        <f>MAX(TREND(K123:K124,B123:B124,B135),0)</f>
        <v>0</v>
      </c>
      <c r="L135" s="402">
        <f>MAX(TREND(L123:L124,B123:B124,B135),0)</f>
        <v>0</v>
      </c>
      <c r="M135" s="403">
        <f>IFERROR(IF(B117=Hwy,C135*E135/G135,K135/G135),0)</f>
        <v>0</v>
      </c>
      <c r="N135" s="404">
        <f>IFERROR(IF(B117=Hwy,D135*F135/H135,L135/H135),0)</f>
        <v>0</v>
      </c>
      <c r="O135" s="403">
        <f>MAX(TREND(O123:O124,$B123:$B124,$B135),0)</f>
        <v>0</v>
      </c>
      <c r="P135" s="404">
        <f>MAX(TREND(P123:P124,$B123:$B124,$B135),0)</f>
        <v>0</v>
      </c>
      <c r="Q135" s="402">
        <f>TREND(Q123:Q124,$B123:$B124,$B135)</f>
        <v>0</v>
      </c>
      <c r="R135" s="802">
        <f>IF(Induced="N",0,(IF(B117=Hwy,M135*(I135*ValTimeTruck+(1-I135)*ValTimeAuto)-N135*(J135*ValTimeTruck+(1-J135)*ValTimeAuto),(IF(INDEX($P$157:$X$160,MATCH(B117,$O$157:$O$160,0),7)&gt;0,INDEX($P$157:$X$160,MATCH(B117,$O$157:$O$160,0),7)/IF(INDEX($P$157:$X$160,MATCH(B117,$O$157:$O$160,0),6)=0,1,INDEX($P$157:$X$160,MATCH(B117,$O$157:$O$160,0),6)),M135)-N135)*ValTimeAuto)+O135-P135)*(H135-Q135)*0.5*(1+TTUprater)^($B135-YearCurrent))</f>
        <v>0</v>
      </c>
      <c r="S135" s="780">
        <f t="shared" si="13"/>
        <v>0</v>
      </c>
      <c r="T135" s="370">
        <f t="shared" si="14"/>
        <v>0</v>
      </c>
    </row>
    <row r="136" spans="1:20" x14ac:dyDescent="0.25">
      <c r="A136" s="1"/>
      <c r="B136" s="375">
        <f t="shared" si="15"/>
        <v>2036</v>
      </c>
      <c r="C136" s="401">
        <f>MAX(TREND(C123:C124,B123:B124,B136),0)</f>
        <v>667402.5</v>
      </c>
      <c r="D136" s="402">
        <f>MAX(TREND(D123:D124,B123:B124,B136),0)</f>
        <v>585095</v>
      </c>
      <c r="E136" s="403">
        <f>MAX(TREND(E123:E124,B123:B124,B136),0)</f>
        <v>1.45</v>
      </c>
      <c r="F136" s="404">
        <f>MAX(TREND(F123:F124,B123:B124,B136),0)</f>
        <v>1.45</v>
      </c>
      <c r="G136" s="401">
        <f>MAX(TREND(G123:G124,$B123:$B124,$B136),0)</f>
        <v>0</v>
      </c>
      <c r="H136" s="402">
        <f>MAX(TREND(H123:H124,$B123:$B124,$B136),0)</f>
        <v>0</v>
      </c>
      <c r="I136" s="405">
        <f>MIN(MAX(TREND(I123:I124,B123:B124,B136),0),1)</f>
        <v>0.24</v>
      </c>
      <c r="J136" s="772">
        <f>MIN(MAX(TREND(J123:J124,B123:B124,B136),0),1)</f>
        <v>0.24</v>
      </c>
      <c r="K136" s="401">
        <f>MAX(TREND(K123:K124,B123:B124,B136),0)</f>
        <v>0</v>
      </c>
      <c r="L136" s="402">
        <f>MAX(TREND(L123:L124,B123:B124,B136),0)</f>
        <v>0</v>
      </c>
      <c r="M136" s="403">
        <f>IFERROR(IF(B117=Hwy,C136*E136/G136,K136/G136),0)</f>
        <v>0</v>
      </c>
      <c r="N136" s="404">
        <f>IFERROR(IF(B117=Hwy,D136*F136/H136,L136/H136),0)</f>
        <v>0</v>
      </c>
      <c r="O136" s="403">
        <f>MAX(TREND(O123:O124,$B123:$B124,$B136),0)</f>
        <v>0</v>
      </c>
      <c r="P136" s="404">
        <f>MAX(TREND(P123:P124,$B123:$B124,$B136),0)</f>
        <v>0</v>
      </c>
      <c r="Q136" s="402">
        <f>TREND(Q123:Q124,$B123:$B124,$B136)</f>
        <v>0</v>
      </c>
      <c r="R136" s="802">
        <f>IF(Induced="N",0,(IF(B117=Hwy,M136*(I136*ValTimeTruck+(1-I136)*ValTimeAuto)-N136*(J136*ValTimeTruck+(1-J136)*ValTimeAuto),(IF(INDEX($P$157:$X$160,MATCH(B117,$O$157:$O$160,0),7)&gt;0,INDEX($P$157:$X$160,MATCH(B117,$O$157:$O$160,0),7)/IF(INDEX($P$157:$X$160,MATCH(B117,$O$157:$O$160,0),6)=0,1,INDEX($P$157:$X$160,MATCH(B117,$O$157:$O$160,0),6)),M136)-N136)*ValTimeAuto)+O136-P136)*(H136-Q136)*0.5*(1+TTUprater)^($B136-YearCurrent))</f>
        <v>0</v>
      </c>
      <c r="S136" s="780">
        <f t="shared" si="13"/>
        <v>0</v>
      </c>
      <c r="T136" s="370">
        <f t="shared" si="14"/>
        <v>0</v>
      </c>
    </row>
    <row r="137" spans="1:20" x14ac:dyDescent="0.25">
      <c r="A137" s="1"/>
      <c r="B137" s="375">
        <f t="shared" si="15"/>
        <v>2037</v>
      </c>
      <c r="C137" s="401">
        <f>MAX(TREND(C123:C124,B123:B124,B137),0)</f>
        <v>675633.25</v>
      </c>
      <c r="D137" s="402">
        <f>MAX(TREND(D123:D124,B123:B124,B137),0)</f>
        <v>591263.5</v>
      </c>
      <c r="E137" s="403">
        <f>MAX(TREND(E123:E124,B123:B124,B137),0)</f>
        <v>1.45</v>
      </c>
      <c r="F137" s="404">
        <f>MAX(TREND(F123:F124,B123:B124,B137),0)</f>
        <v>1.45</v>
      </c>
      <c r="G137" s="401">
        <f>MAX(TREND(G123:G124,$B123:$B124,$B137),0)</f>
        <v>0</v>
      </c>
      <c r="H137" s="402">
        <f>MAX(TREND(H123:H124,$B123:$B124,$B137),0)</f>
        <v>0</v>
      </c>
      <c r="I137" s="405">
        <f>MIN(MAX(TREND(I123:I124,B123:B124,B137),0),1)</f>
        <v>0.24</v>
      </c>
      <c r="J137" s="772">
        <f>MIN(MAX(TREND(J123:J124,B123:B124,B137),0),1)</f>
        <v>0.24</v>
      </c>
      <c r="K137" s="401">
        <f>MAX(TREND(K123:K124,B123:B124,B137),0)</f>
        <v>0</v>
      </c>
      <c r="L137" s="402">
        <f>MAX(TREND(L123:L124,B123:B124,B137),0)</f>
        <v>0</v>
      </c>
      <c r="M137" s="403">
        <f>IFERROR(IF(B117=Hwy,C137*E137/G137,K137/G137),0)</f>
        <v>0</v>
      </c>
      <c r="N137" s="404">
        <f>IFERROR(IF(B117=Hwy,D137*F137/H137,L137/H137),0)</f>
        <v>0</v>
      </c>
      <c r="O137" s="403">
        <f>MAX(TREND(O123:O124,$B123:$B124,$B137),0)</f>
        <v>0</v>
      </c>
      <c r="P137" s="404">
        <f>MAX(TREND(P123:P124,$B123:$B124,$B137),0)</f>
        <v>0</v>
      </c>
      <c r="Q137" s="402">
        <f>TREND(Q123:Q124,$B123:$B124,$B137)</f>
        <v>0</v>
      </c>
      <c r="R137" s="802">
        <f>IF(Induced="N",0,(IF(B117=Hwy,M137*(I137*ValTimeTruck+(1-I137)*ValTimeAuto)-N137*(J137*ValTimeTruck+(1-J137)*ValTimeAuto),(IF(INDEX($P$157:$X$160,MATCH(B117,$O$157:$O$160,0),7)&gt;0,INDEX($P$157:$X$160,MATCH(B117,$O$157:$O$160,0),7)/IF(INDEX($P$157:$X$160,MATCH(B117,$O$157:$O$160,0),6)=0,1,INDEX($P$157:$X$160,MATCH(B117,$O$157:$O$160,0),6)),M137)-N137)*ValTimeAuto)+O137-P137)*(H137-Q137)*0.5*(1+TTUprater)^($B137-YearCurrent))</f>
        <v>0</v>
      </c>
      <c r="S137" s="780">
        <f t="shared" si="13"/>
        <v>0</v>
      </c>
      <c r="T137" s="370">
        <f t="shared" si="14"/>
        <v>0</v>
      </c>
    </row>
    <row r="138" spans="1:20" x14ac:dyDescent="0.25">
      <c r="A138" s="1"/>
      <c r="B138" s="375">
        <f t="shared" si="15"/>
        <v>2038</v>
      </c>
      <c r="C138" s="401">
        <f>MAX(TREND(C123:C124,B123:B124,B138),0)</f>
        <v>683864</v>
      </c>
      <c r="D138" s="402">
        <f>MAX(TREND(D123:D124,B123:B124,B138),0)</f>
        <v>597432</v>
      </c>
      <c r="E138" s="403">
        <f>MAX(TREND(E123:E124,B123:B124,B138),0)</f>
        <v>1.45</v>
      </c>
      <c r="F138" s="404">
        <f>MAX(TREND(F123:F124,B123:B124,B138),0)</f>
        <v>1.45</v>
      </c>
      <c r="G138" s="401">
        <f>MAX(TREND(G123:G124,$B123:$B124,$B138),0)</f>
        <v>0</v>
      </c>
      <c r="H138" s="402">
        <f>MAX(TREND(H123:H124,$B123:$B124,$B138),0)</f>
        <v>0</v>
      </c>
      <c r="I138" s="405">
        <f>MIN(MAX(TREND(I123:I124,B123:B124,B138),0),1)</f>
        <v>0.24</v>
      </c>
      <c r="J138" s="772">
        <f>MIN(MAX(TREND(J123:J124,B123:B124,B138),0),1)</f>
        <v>0.24</v>
      </c>
      <c r="K138" s="401">
        <f>MAX(TREND(K123:K124,B123:B124,B138),0)</f>
        <v>0</v>
      </c>
      <c r="L138" s="402">
        <f>MAX(TREND(L123:L124,B123:B124,B138),0)</f>
        <v>0</v>
      </c>
      <c r="M138" s="403">
        <f>IFERROR(IF(B117=Hwy,C138*E138/G138,K138/G138),0)</f>
        <v>0</v>
      </c>
      <c r="N138" s="404">
        <f>IFERROR(IF(B117=Hwy,D138*F138/H138,L138/H138),0)</f>
        <v>0</v>
      </c>
      <c r="O138" s="403">
        <f>MAX(TREND(O123:O124,$B123:$B124,$B138),0)</f>
        <v>0</v>
      </c>
      <c r="P138" s="404">
        <f>MAX(TREND(P123:P124,$B123:$B124,$B138),0)</f>
        <v>0</v>
      </c>
      <c r="Q138" s="402">
        <f>TREND(Q123:Q124,$B123:$B124,$B138)</f>
        <v>0</v>
      </c>
      <c r="R138" s="802">
        <f>IF(Induced="N",0,(IF(B117=Hwy,M138*(I138*ValTimeTruck+(1-I138)*ValTimeAuto)-N138*(J138*ValTimeTruck+(1-J138)*ValTimeAuto),(IF(INDEX($P$157:$X$160,MATCH(B117,$O$157:$O$160,0),7)&gt;0,INDEX($P$157:$X$160,MATCH(B117,$O$157:$O$160,0),7)/IF(INDEX($P$157:$X$160,MATCH(B117,$O$157:$O$160,0),6)=0,1,INDEX($P$157:$X$160,MATCH(B117,$O$157:$O$160,0),6)),M138)-N138)*ValTimeAuto)+O138-P138)*(H138-Q138)*0.5*(1+TTUprater)^($B138-YearCurrent))</f>
        <v>0</v>
      </c>
      <c r="S138" s="780">
        <f t="shared" si="13"/>
        <v>0</v>
      </c>
      <c r="T138" s="370">
        <f t="shared" si="14"/>
        <v>0</v>
      </c>
    </row>
    <row r="139" spans="1:20" x14ac:dyDescent="0.25">
      <c r="A139" s="1"/>
      <c r="B139" s="375">
        <f t="shared" si="15"/>
        <v>2039</v>
      </c>
      <c r="C139" s="401">
        <f>MAX(TREND(C123:C124,B123:B124,B139),0)</f>
        <v>692094.75</v>
      </c>
      <c r="D139" s="402">
        <f>MAX(TREND(D123:D124,B123:B124,B139),0)</f>
        <v>603600.5</v>
      </c>
      <c r="E139" s="403">
        <f>MAX(TREND(E123:E124,B123:B124,B139),0)</f>
        <v>1.45</v>
      </c>
      <c r="F139" s="404">
        <f>MAX(TREND(F123:F124,B123:B124,B139),0)</f>
        <v>1.45</v>
      </c>
      <c r="G139" s="401">
        <f>MAX(TREND(G123:G124,$B123:$B124,$B139),0)</f>
        <v>0</v>
      </c>
      <c r="H139" s="402">
        <f>MAX(TREND(H123:H124,$B123:$B124,$B139),0)</f>
        <v>0</v>
      </c>
      <c r="I139" s="405">
        <f>MIN(MAX(TREND(I123:I124,B123:B124,B139),0),1)</f>
        <v>0.24</v>
      </c>
      <c r="J139" s="772">
        <f>MIN(MAX(TREND(J123:J124,B123:B124,B139),0),1)</f>
        <v>0.24</v>
      </c>
      <c r="K139" s="401">
        <f>MAX(TREND(K123:K124,B123:B124,B139),0)</f>
        <v>0</v>
      </c>
      <c r="L139" s="402">
        <f>MAX(TREND(L123:L124,B123:B124,B139),0)</f>
        <v>0</v>
      </c>
      <c r="M139" s="403">
        <f>IFERROR(IF(B117=Hwy,C139*E139/G139,K139/G139),0)</f>
        <v>0</v>
      </c>
      <c r="N139" s="404">
        <f>IFERROR(IF(B117=Hwy,D139*F139/H139,L139/H139),0)</f>
        <v>0</v>
      </c>
      <c r="O139" s="403">
        <f>MAX(TREND(O123:O124,$B123:$B124,$B139),0)</f>
        <v>0</v>
      </c>
      <c r="P139" s="404">
        <f>MAX(TREND(P123:P124,$B123:$B124,$B139),0)</f>
        <v>0</v>
      </c>
      <c r="Q139" s="402">
        <f>TREND(Q123:Q124,$B123:$B124,$B139)</f>
        <v>0</v>
      </c>
      <c r="R139" s="802">
        <f>IF(Induced="N",0,(IF(B117=Hwy,M139*(I139*ValTimeTruck+(1-I139)*ValTimeAuto)-N139*(J139*ValTimeTruck+(1-J139)*ValTimeAuto),(IF(INDEX($P$157:$X$160,MATCH(B117,$O$157:$O$160,0),7)&gt;0,INDEX($P$157:$X$160,MATCH(B117,$O$157:$O$160,0),7)/IF(INDEX($P$157:$X$160,MATCH(B117,$O$157:$O$160,0),6)=0,1,INDEX($P$157:$X$160,MATCH(B117,$O$157:$O$160,0),6)),M139)-N139)*ValTimeAuto)+O139-P139)*(H139-Q139)*0.5*(1+TTUprater)^($B139-YearCurrent))</f>
        <v>0</v>
      </c>
      <c r="S139" s="780">
        <f t="shared" si="13"/>
        <v>0</v>
      </c>
      <c r="T139" s="370">
        <f t="shared" si="14"/>
        <v>0</v>
      </c>
    </row>
    <row r="140" spans="1:20" x14ac:dyDescent="0.25">
      <c r="A140" s="1"/>
      <c r="B140" s="375">
        <f t="shared" si="15"/>
        <v>2040</v>
      </c>
      <c r="C140" s="401">
        <f>MAX(TREND(C123:C124,B123:B124,B140),0)</f>
        <v>700325.5</v>
      </c>
      <c r="D140" s="402">
        <f>MAX(TREND(D123:D124,B123:B124,B140),0)</f>
        <v>609769</v>
      </c>
      <c r="E140" s="403">
        <f>MAX(TREND(E123:E124,B123:B124,B140),0)</f>
        <v>1.45</v>
      </c>
      <c r="F140" s="404">
        <f>MAX(TREND(F123:F124,B123:B124,B140),0)</f>
        <v>1.45</v>
      </c>
      <c r="G140" s="401">
        <f>MAX(TREND(G123:G124,$B123:$B124,$B140),0)</f>
        <v>0</v>
      </c>
      <c r="H140" s="402">
        <f>MAX(TREND(H123:H124,$B123:$B124,$B140),0)</f>
        <v>0</v>
      </c>
      <c r="I140" s="405">
        <f>MIN(MAX(TREND(I123:I124,B123:B124,B140),0),1)</f>
        <v>0.24</v>
      </c>
      <c r="J140" s="772">
        <f>MIN(MAX(TREND(J123:J124,B123:B124,B140),0),1)</f>
        <v>0.24</v>
      </c>
      <c r="K140" s="401">
        <f>MAX(TREND(K123:K124,B123:B124,B140),0)</f>
        <v>0</v>
      </c>
      <c r="L140" s="402">
        <f>MAX(TREND(L123:L124,B123:B124,B140),0)</f>
        <v>0</v>
      </c>
      <c r="M140" s="403">
        <f>IFERROR(IF(B117=Hwy,C140*E140/G140,K140/G140),0)</f>
        <v>0</v>
      </c>
      <c r="N140" s="404">
        <f>IFERROR(IF(B117=Hwy,D140*F140/H140,L140/H140),0)</f>
        <v>0</v>
      </c>
      <c r="O140" s="403">
        <f>MAX(TREND(O123:O124,$B123:$B124,$B140),0)</f>
        <v>0</v>
      </c>
      <c r="P140" s="404">
        <f>MAX(TREND(P123:P124,$B123:$B124,$B140),0)</f>
        <v>0</v>
      </c>
      <c r="Q140" s="402">
        <f>TREND(Q123:Q124,$B123:$B124,$B140)</f>
        <v>0</v>
      </c>
      <c r="R140" s="802">
        <f>IF(Induced="N",0,(IF(B117=Hwy,M140*(I140*ValTimeTruck+(1-I140)*ValTimeAuto)-N140*(J140*ValTimeTruck+(1-J140)*ValTimeAuto),(IF(INDEX($P$157:$X$160,MATCH(B117,$O$157:$O$160,0),7)&gt;0,INDEX($P$157:$X$160,MATCH(B117,$O$157:$O$160,0),7)/IF(INDEX($P$157:$X$160,MATCH(B117,$O$157:$O$160,0),6)=0,1,INDEX($P$157:$X$160,MATCH(B117,$O$157:$O$160,0),6)),M140)-N140)*ValTimeAuto)+O140-P140)*(H140-Q140)*0.5*(1+TTUprater)^($B140-YearCurrent))</f>
        <v>0</v>
      </c>
      <c r="S140" s="780">
        <f t="shared" si="13"/>
        <v>0</v>
      </c>
      <c r="T140" s="370">
        <f t="shared" si="14"/>
        <v>0</v>
      </c>
    </row>
    <row r="141" spans="1:20" x14ac:dyDescent="0.25">
      <c r="A141" s="1"/>
      <c r="B141" s="375">
        <f t="shared" si="15"/>
        <v>2041</v>
      </c>
      <c r="C141" s="401">
        <f>MAX(TREND(C123:C124,B123:B124,B141),0)</f>
        <v>708556.25</v>
      </c>
      <c r="D141" s="402">
        <f>MAX(TREND(D123:D124,B123:B124,B141),0)</f>
        <v>615937.5</v>
      </c>
      <c r="E141" s="403">
        <f>MAX(TREND(E123:E124,B123:B124,B141),0)</f>
        <v>1.45</v>
      </c>
      <c r="F141" s="404">
        <f>MAX(TREND(F123:F124,B123:B124,B141),0)</f>
        <v>1.45</v>
      </c>
      <c r="G141" s="401">
        <f>MAX(TREND(G123:G124,$B123:$B124,$B141),0)</f>
        <v>0</v>
      </c>
      <c r="H141" s="402">
        <f>MAX(TREND(H123:H124,$B123:$B124,$B141),0)</f>
        <v>0</v>
      </c>
      <c r="I141" s="405">
        <f>MIN(MAX(TREND(I123:I124,B123:B124,B141),0),1)</f>
        <v>0.24</v>
      </c>
      <c r="J141" s="772">
        <f>MIN(MAX(TREND(J123:J124,B123:B124,B141),0),1)</f>
        <v>0.24</v>
      </c>
      <c r="K141" s="401">
        <f>MAX(TREND(K123:K124,B123:B124,B141),0)</f>
        <v>0</v>
      </c>
      <c r="L141" s="402">
        <f>MAX(TREND(L123:L124,B123:B124,B141),0)</f>
        <v>0</v>
      </c>
      <c r="M141" s="403">
        <f>IFERROR(IF(B117=Hwy,C141*E141/G141,K141/G141),0)</f>
        <v>0</v>
      </c>
      <c r="N141" s="404">
        <f>IFERROR(IF(B117=Hwy,D141*F141/H141,L141/H141),0)</f>
        <v>0</v>
      </c>
      <c r="O141" s="403">
        <f>MAX(TREND(O123:O124,$B123:$B124,$B141),0)</f>
        <v>0</v>
      </c>
      <c r="P141" s="404">
        <f>MAX(TREND(P123:P124,$B123:$B124,$B141),0)</f>
        <v>0</v>
      </c>
      <c r="Q141" s="402">
        <f>TREND(Q123:Q124,$B123:$B124,$B141)</f>
        <v>0</v>
      </c>
      <c r="R141" s="802">
        <f>IF(Induced="N",0,(IF(B117=Hwy,M141*(I141*ValTimeTruck+(1-I141)*ValTimeAuto)-N141*(J141*ValTimeTruck+(1-J141)*ValTimeAuto),(IF(INDEX($P$157:$X$160,MATCH(B117,$O$157:$O$160,0),7)&gt;0,INDEX($P$157:$X$160,MATCH(B117,$O$157:$O$160,0),7)/IF(INDEX($P$157:$X$160,MATCH(B117,$O$157:$O$160,0),6)=0,1,INDEX($P$157:$X$160,MATCH(B117,$O$157:$O$160,0),6)),M141)-N141)*ValTimeAuto)+O141-P141)*(H141-Q141)*0.5*(1+TTUprater)^($B141-YearCurrent))</f>
        <v>0</v>
      </c>
      <c r="S141" s="780">
        <f t="shared" si="13"/>
        <v>0</v>
      </c>
      <c r="T141" s="370">
        <f t="shared" si="14"/>
        <v>0</v>
      </c>
    </row>
    <row r="142" spans="1:20" x14ac:dyDescent="0.25">
      <c r="A142" s="1"/>
      <c r="B142" s="375">
        <f t="shared" si="15"/>
        <v>2042</v>
      </c>
      <c r="C142" s="401">
        <f>MAX(TREND(C123:C124,B123:B124,B142),0)</f>
        <v>716787</v>
      </c>
      <c r="D142" s="402">
        <f>MAX(TREND(D123:D124,B123:B124,B142),0)</f>
        <v>622106</v>
      </c>
      <c r="E142" s="403">
        <f>MAX(TREND(E123:E124,B123:B124,B142),0)</f>
        <v>1.45</v>
      </c>
      <c r="F142" s="404">
        <f>MAX(TREND(F123:F124,B123:B124,B142),0)</f>
        <v>1.45</v>
      </c>
      <c r="G142" s="401">
        <f>MAX(TREND(G123:G124,$B123:$B124,$B142),0)</f>
        <v>0</v>
      </c>
      <c r="H142" s="402">
        <f>MAX(TREND(H123:H124,$B123:$B124,$B142),0)</f>
        <v>0</v>
      </c>
      <c r="I142" s="405">
        <f>MIN(MAX(TREND(I123:I124,B123:B124,B142),0),1)</f>
        <v>0.24</v>
      </c>
      <c r="J142" s="772">
        <f>MIN(MAX(TREND(J123:J124,B123:B124,B142),0),1)</f>
        <v>0.24</v>
      </c>
      <c r="K142" s="401">
        <f>MAX(TREND(K123:K124,B123:B124,B142),0)</f>
        <v>0</v>
      </c>
      <c r="L142" s="402">
        <f>MAX(TREND(L123:L124,B123:B124,B142),0)</f>
        <v>0</v>
      </c>
      <c r="M142" s="403">
        <f>IFERROR(IF(B117=Hwy,C142*E142/G142,K142/G142),0)</f>
        <v>0</v>
      </c>
      <c r="N142" s="404">
        <f>IFERROR(IF(B117=Hwy,D142*F142/H142,L142/H142),0)</f>
        <v>0</v>
      </c>
      <c r="O142" s="403">
        <f>MAX(TREND(O123:O124,$B123:$B124,$B142),0)</f>
        <v>0</v>
      </c>
      <c r="P142" s="404">
        <f>MAX(TREND(P123:P124,$B123:$B124,$B142),0)</f>
        <v>0</v>
      </c>
      <c r="Q142" s="402">
        <f>TREND(Q123:Q124,$B123:$B124,$B142)</f>
        <v>0</v>
      </c>
      <c r="R142" s="802">
        <f>IF(Induced="N",0,(IF(B117=Hwy,M142*(I142*ValTimeTruck+(1-I142)*ValTimeAuto)-N142*(J142*ValTimeTruck+(1-J142)*ValTimeAuto),(IF(INDEX($P$157:$X$160,MATCH(B117,$O$157:$O$160,0),7)&gt;0,INDEX($P$157:$X$160,MATCH(B117,$O$157:$O$160,0),7)/IF(INDEX($P$157:$X$160,MATCH(B117,$O$157:$O$160,0),6)=0,1,INDEX($P$157:$X$160,MATCH(B117,$O$157:$O$160,0),6)),M142)-N142)*ValTimeAuto)+O142-P142)*(H142-Q142)*0.5*(1+TTUprater)^($B142-YearCurrent))</f>
        <v>0</v>
      </c>
      <c r="S142" s="780">
        <f t="shared" si="13"/>
        <v>0</v>
      </c>
      <c r="T142" s="370">
        <f t="shared" si="14"/>
        <v>0</v>
      </c>
    </row>
    <row r="143" spans="1:20" x14ac:dyDescent="0.25">
      <c r="A143" s="1"/>
      <c r="B143" s="375">
        <f t="shared" si="15"/>
        <v>2043</v>
      </c>
      <c r="C143" s="401">
        <f>MAX(TREND(C123:C124,B123:B124,B143),0)</f>
        <v>725017.75</v>
      </c>
      <c r="D143" s="402">
        <f>MAX(TREND(D123:D124,B123:B124,B143),0)</f>
        <v>628274.5</v>
      </c>
      <c r="E143" s="403">
        <f>MAX(TREND(E123:E124,B123:B124,B143),0)</f>
        <v>1.45</v>
      </c>
      <c r="F143" s="404">
        <f>MAX(TREND(F123:F124,B123:B124,B143),0)</f>
        <v>1.45</v>
      </c>
      <c r="G143" s="401">
        <f>MAX(TREND(G123:G124,$B123:$B124,$B143),0)</f>
        <v>0</v>
      </c>
      <c r="H143" s="402">
        <f>MAX(TREND(H123:H124,$B123:$B124,$B143),0)</f>
        <v>0</v>
      </c>
      <c r="I143" s="405">
        <f>MIN(MAX(TREND(I123:I124,B123:B124,B143),0),1)</f>
        <v>0.24</v>
      </c>
      <c r="J143" s="772">
        <f>MIN(MAX(TREND(J123:J124,B123:B124,B143),0),1)</f>
        <v>0.24</v>
      </c>
      <c r="K143" s="401">
        <f>MAX(TREND(K123:K124,B123:B124,B143),0)</f>
        <v>0</v>
      </c>
      <c r="L143" s="402">
        <f>MAX(TREND(L123:L124,B123:B124,B143),0)</f>
        <v>0</v>
      </c>
      <c r="M143" s="403">
        <f>IFERROR(IF(B117=Hwy,C143*E143/G143,K143/G143),0)</f>
        <v>0</v>
      </c>
      <c r="N143" s="404">
        <f>IFERROR(IF(B117=Hwy,D143*F143/H143,L143/H143),0)</f>
        <v>0</v>
      </c>
      <c r="O143" s="403">
        <f>MAX(TREND(O123:O124,$B123:$B124,$B143),0)</f>
        <v>0</v>
      </c>
      <c r="P143" s="404">
        <f>MAX(TREND(P123:P124,$B123:$B124,$B143),0)</f>
        <v>0</v>
      </c>
      <c r="Q143" s="402">
        <f>TREND(Q123:Q124,$B123:$B124,$B143)</f>
        <v>0</v>
      </c>
      <c r="R143" s="802">
        <f>IF(Induced="N",0,(IF(B117=Hwy,M143*(I143*ValTimeTruck+(1-I143)*ValTimeAuto)-N143*(J143*ValTimeTruck+(1-J143)*ValTimeAuto),(IF(INDEX($P$157:$X$160,MATCH(B117,$O$157:$O$160,0),7)&gt;0,INDEX($P$157:$X$160,MATCH(B117,$O$157:$O$160,0),7)/IF(INDEX($P$157:$X$160,MATCH(B117,$O$157:$O$160,0),6)=0,1,INDEX($P$157:$X$160,MATCH(B117,$O$157:$O$160,0),6)),M143)-N143)*ValTimeAuto)+O143-P143)*(H143-Q143)*0.5*(1+TTUprater)^($B143-YearCurrent))</f>
        <v>0</v>
      </c>
      <c r="S143" s="780">
        <f t="shared" si="13"/>
        <v>0</v>
      </c>
      <c r="T143" s="370">
        <f t="shared" si="14"/>
        <v>0</v>
      </c>
    </row>
    <row r="144" spans="1:20" x14ac:dyDescent="0.25">
      <c r="A144" s="1"/>
      <c r="B144" s="375">
        <f t="shared" si="15"/>
        <v>2044</v>
      </c>
      <c r="C144" s="401">
        <f>MAX(TREND(C123:C124,B123:B124,B144),0)</f>
        <v>733248.5</v>
      </c>
      <c r="D144" s="402">
        <f>MAX(TREND(D123:D124,B123:B124,B144),0)</f>
        <v>634443</v>
      </c>
      <c r="E144" s="403">
        <f>MAX(TREND(E123:E124,B123:B124,B144),0)</f>
        <v>1.45</v>
      </c>
      <c r="F144" s="404">
        <f>MAX(TREND(F123:F124,B123:B124,B144),0)</f>
        <v>1.45</v>
      </c>
      <c r="G144" s="401">
        <f>MAX(TREND(G123:G124,$B123:$B124,$B144),0)</f>
        <v>0</v>
      </c>
      <c r="H144" s="402">
        <f>MAX(TREND(H123:H124,$B123:$B124,$B144),0)</f>
        <v>0</v>
      </c>
      <c r="I144" s="405">
        <f>MIN(MAX(TREND(I123:I124,B123:B124,B144),0),1)</f>
        <v>0.24</v>
      </c>
      <c r="J144" s="772">
        <f>MIN(MAX(TREND(J123:J124,B123:B124,B144),0),1)</f>
        <v>0.24</v>
      </c>
      <c r="K144" s="401">
        <f>MAX(TREND(K123:K124,B123:B124,B144),0)</f>
        <v>0</v>
      </c>
      <c r="L144" s="402">
        <f>MAX(TREND(L123:L124,B123:B124,B144),0)</f>
        <v>0</v>
      </c>
      <c r="M144" s="403">
        <f>IFERROR(IF(B117=Hwy,C144*E144/G144,K144/G144),0)</f>
        <v>0</v>
      </c>
      <c r="N144" s="404">
        <f>IFERROR(IF(B117=Hwy,D144*F144/H144,L144/H144),0)</f>
        <v>0</v>
      </c>
      <c r="O144" s="403">
        <f>MAX(TREND(O123:O124,$B123:$B124,$B144),0)</f>
        <v>0</v>
      </c>
      <c r="P144" s="404">
        <f>MAX(TREND(P123:P124,$B123:$B124,$B144),0)</f>
        <v>0</v>
      </c>
      <c r="Q144" s="402">
        <f>TREND(Q123:Q124,$B123:$B124,$B144)</f>
        <v>0</v>
      </c>
      <c r="R144" s="802">
        <f>IF(Induced="N",0,(IF(B117=Hwy,M144*(I144*ValTimeTruck+(1-I144)*ValTimeAuto)-N144*(J144*ValTimeTruck+(1-J144)*ValTimeAuto),(IF(INDEX($P$157:$X$160,MATCH(B117,$O$157:$O$160,0),7)&gt;0,INDEX($P$157:$X$160,MATCH(B117,$O$157:$O$160,0),7)/IF(INDEX($P$157:$X$160,MATCH(B117,$O$157:$O$160,0),6)=0,1,INDEX($P$157:$X$160,MATCH(B117,$O$157:$O$160,0),6)),M144)-N144)*ValTimeAuto)+O144-P144)*(H144-Q144)*0.5*(1+TTUprater)^($B144-YearCurrent))</f>
        <v>0</v>
      </c>
      <c r="S144" s="780">
        <f t="shared" si="13"/>
        <v>0</v>
      </c>
      <c r="T144" s="370">
        <f t="shared" si="14"/>
        <v>0</v>
      </c>
    </row>
    <row r="145" spans="1:24" x14ac:dyDescent="0.25">
      <c r="A145" s="1"/>
      <c r="B145" s="375">
        <f t="shared" si="15"/>
        <v>2045</v>
      </c>
      <c r="C145" s="401">
        <f>MAX(TREND(C123:C124,B123:B124,B145),0)</f>
        <v>741479.25</v>
      </c>
      <c r="D145" s="402">
        <f>MAX(TREND(D123:D124,B123:B124,B145),0)</f>
        <v>640611.5</v>
      </c>
      <c r="E145" s="403">
        <f>MAX(TREND(E123:E124,B123:B124,B145),0)</f>
        <v>1.45</v>
      </c>
      <c r="F145" s="404">
        <f>MAX(TREND(F123:F124,B123:B124,B145),0)</f>
        <v>1.4499999999999997</v>
      </c>
      <c r="G145" s="401">
        <f>MAX(TREND(G123:G124,$B123:$B124,$B145),0)</f>
        <v>0</v>
      </c>
      <c r="H145" s="402">
        <f>MAX(TREND(H123:H124,$B123:$B124,$B145),0)</f>
        <v>0</v>
      </c>
      <c r="I145" s="405">
        <f>MIN(MAX(TREND(I123:I124,B123:B124,B145),0),1)</f>
        <v>0.24</v>
      </c>
      <c r="J145" s="772">
        <f>MIN(MAX(TREND(J123:J124,B123:B124,B145),0),1)</f>
        <v>0.24</v>
      </c>
      <c r="K145" s="401">
        <f>MAX(TREND(K123:K124,B123:B124,B145),0)</f>
        <v>0</v>
      </c>
      <c r="L145" s="402">
        <f>MAX(TREND(L123:L124,B123:B124,B145),0)</f>
        <v>0</v>
      </c>
      <c r="M145" s="403">
        <f>IFERROR(IF(B117=Hwy,C145*E145/G145,K145/G145),0)</f>
        <v>0</v>
      </c>
      <c r="N145" s="404">
        <f>IFERROR(IF(B117=Hwy,D145*F145/H145,L145/H145),0)</f>
        <v>0</v>
      </c>
      <c r="O145" s="403">
        <f>MAX(TREND(O123:O124,$B123:$B124,$B145),0)</f>
        <v>0</v>
      </c>
      <c r="P145" s="404">
        <f>MAX(TREND(P123:P124,$B123:$B124,$B145),0)</f>
        <v>0</v>
      </c>
      <c r="Q145" s="402">
        <f>TREND(Q123:Q124,$B123:$B124,$B145)</f>
        <v>0</v>
      </c>
      <c r="R145" s="802">
        <f>IF(Induced="N",0,(IF(B117=Hwy,M145*(I145*ValTimeTruck+(1-I145)*ValTimeAuto)-N145*(J145*ValTimeTruck+(1-J145)*ValTimeAuto),(IF(INDEX($P$157:$X$160,MATCH(B117,$O$157:$O$160,0),7)&gt;0,INDEX($P$157:$X$160,MATCH(B117,$O$157:$O$160,0),7)/IF(INDEX($P$157:$X$160,MATCH(B117,$O$157:$O$160,0),6)=0,1,INDEX($P$157:$X$160,MATCH(B117,$O$157:$O$160,0),6)),M145)-N145)*ValTimeAuto)+O145-P145)*(H145-Q145)*0.5*(1+TTUprater)^($B145-YearCurrent))</f>
        <v>0</v>
      </c>
      <c r="S145" s="780">
        <f t="shared" si="13"/>
        <v>0</v>
      </c>
      <c r="T145" s="370">
        <f t="shared" si="14"/>
        <v>0</v>
      </c>
    </row>
    <row r="146" spans="1:24" ht="15.6" customHeight="1" x14ac:dyDescent="0.25">
      <c r="A146" s="1"/>
      <c r="B146" s="385"/>
      <c r="C146" s="386"/>
      <c r="D146" s="386"/>
      <c r="E146" s="386"/>
      <c r="F146" s="386"/>
      <c r="G146" s="386"/>
      <c r="H146" s="386"/>
      <c r="I146" s="386"/>
      <c r="J146" s="386"/>
      <c r="K146" s="386"/>
      <c r="L146" s="386"/>
      <c r="M146" s="386"/>
      <c r="N146" s="386"/>
      <c r="O146" s="386"/>
      <c r="P146" s="386"/>
      <c r="Q146" s="386"/>
      <c r="R146" s="386"/>
      <c r="S146" s="386"/>
      <c r="T146" s="386"/>
    </row>
    <row r="147" spans="1:24" x14ac:dyDescent="0.25">
      <c r="A147" s="1"/>
      <c r="B147" s="407" t="s">
        <v>56</v>
      </c>
      <c r="C147" s="413"/>
      <c r="D147" s="414"/>
      <c r="E147" s="414"/>
      <c r="F147" s="414"/>
      <c r="G147" s="414"/>
      <c r="H147" s="414"/>
      <c r="I147" s="414"/>
      <c r="J147" s="414"/>
      <c r="K147" s="414"/>
      <c r="L147" s="414"/>
      <c r="M147" s="414"/>
      <c r="N147" s="414"/>
      <c r="O147" s="414"/>
      <c r="P147" s="414"/>
      <c r="Q147" s="414"/>
      <c r="R147" s="414"/>
      <c r="S147" s="414"/>
      <c r="T147" s="409">
        <f>SUM(T126:T145)</f>
        <v>0</v>
      </c>
    </row>
    <row r="151" spans="1:24" x14ac:dyDescent="0.25">
      <c r="O151" s="1"/>
      <c r="P151" s="1"/>
      <c r="Q151" s="1"/>
      <c r="R151" s="1"/>
      <c r="T151" s="1"/>
      <c r="U151" s="1"/>
      <c r="V151" s="1"/>
      <c r="W151" s="1"/>
      <c r="X151" s="1"/>
    </row>
    <row r="152" spans="1:24" ht="18" x14ac:dyDescent="0.25">
      <c r="C152" s="896" t="s">
        <v>235</v>
      </c>
      <c r="D152" s="38"/>
      <c r="E152" s="38"/>
      <c r="F152" s="38"/>
      <c r="G152" s="38"/>
      <c r="H152" s="38"/>
      <c r="I152" s="38"/>
      <c r="J152" s="881"/>
      <c r="K152" s="881"/>
      <c r="O152" s="892" t="s">
        <v>236</v>
      </c>
      <c r="P152" s="162"/>
      <c r="Q152" s="162"/>
      <c r="R152" s="162"/>
      <c r="S152" s="881"/>
      <c r="T152" s="162"/>
      <c r="U152" s="162"/>
      <c r="V152" s="162"/>
      <c r="W152" s="162"/>
      <c r="X152" s="162"/>
    </row>
    <row r="153" spans="1:24" ht="15.75" x14ac:dyDescent="0.25">
      <c r="O153" s="1"/>
      <c r="P153" s="1029" t="s">
        <v>67</v>
      </c>
      <c r="Q153" s="897"/>
      <c r="R153" s="897"/>
      <c r="S153" s="897"/>
      <c r="T153" s="1"/>
      <c r="U153" s="1029" t="s">
        <v>68</v>
      </c>
      <c r="V153" s="897"/>
      <c r="W153" s="897"/>
      <c r="X153" s="897"/>
    </row>
    <row r="154" spans="1:24" ht="15.75" x14ac:dyDescent="0.25">
      <c r="C154" s="906"/>
      <c r="D154" s="907" t="s">
        <v>237</v>
      </c>
      <c r="E154" s="882"/>
      <c r="F154" s="883"/>
      <c r="G154" s="883"/>
      <c r="H154" s="884"/>
      <c r="I154" s="882"/>
      <c r="J154" s="883"/>
      <c r="K154" s="883"/>
      <c r="O154" s="912"/>
      <c r="P154" s="898"/>
      <c r="Q154" s="899"/>
      <c r="R154" s="899"/>
      <c r="S154" s="900"/>
      <c r="T154" s="1"/>
      <c r="U154" s="898"/>
      <c r="V154" s="899"/>
      <c r="W154" s="899"/>
      <c r="X154" s="900"/>
    </row>
    <row r="155" spans="1:24" ht="25.5" x14ac:dyDescent="0.25">
      <c r="C155" s="908"/>
      <c r="D155" s="909">
        <f>YearFirst</f>
        <v>2026</v>
      </c>
      <c r="E155" s="885"/>
      <c r="F155" s="886"/>
      <c r="G155" s="886"/>
      <c r="H155" s="887">
        <f>YearLast</f>
        <v>2046</v>
      </c>
      <c r="I155" s="885"/>
      <c r="J155" s="886"/>
      <c r="K155" s="886"/>
      <c r="O155" s="913"/>
      <c r="P155" s="901" t="s">
        <v>238</v>
      </c>
      <c r="Q155" s="902" t="s">
        <v>239</v>
      </c>
      <c r="R155" s="902" t="s">
        <v>240</v>
      </c>
      <c r="S155" s="903" t="s">
        <v>241</v>
      </c>
      <c r="T155" s="36"/>
      <c r="U155" s="901" t="s">
        <v>238</v>
      </c>
      <c r="V155" s="902" t="s">
        <v>241</v>
      </c>
      <c r="W155" s="902" t="s">
        <v>238</v>
      </c>
      <c r="X155" s="903" t="s">
        <v>241</v>
      </c>
    </row>
    <row r="156" spans="1:24" ht="25.5" x14ac:dyDescent="0.25">
      <c r="C156" s="910" t="s">
        <v>242</v>
      </c>
      <c r="D156" s="911" t="s">
        <v>74</v>
      </c>
      <c r="E156" s="888" t="s">
        <v>125</v>
      </c>
      <c r="F156" s="999" t="s">
        <v>243</v>
      </c>
      <c r="G156" s="889" t="s">
        <v>244</v>
      </c>
      <c r="H156" s="890" t="s">
        <v>74</v>
      </c>
      <c r="I156" s="888" t="s">
        <v>125</v>
      </c>
      <c r="J156" s="999" t="s">
        <v>243</v>
      </c>
      <c r="K156" s="889" t="s">
        <v>244</v>
      </c>
      <c r="O156" s="890" t="s">
        <v>242</v>
      </c>
      <c r="P156" s="890" t="str">
        <f>YearFirst&amp;" (mph)"</f>
        <v>2026 (mph)</v>
      </c>
      <c r="Q156" s="904" t="str">
        <f>YearFirst&amp;" (miles)"</f>
        <v>2026 (miles)</v>
      </c>
      <c r="R156" s="904" t="str">
        <f>YearLast&amp;" (mph)"</f>
        <v>2046 (mph)</v>
      </c>
      <c r="S156" s="905" t="str">
        <f>YearLast&amp;" (miles)"</f>
        <v>2046 (miles)</v>
      </c>
      <c r="T156" s="879"/>
      <c r="U156" s="890" t="str">
        <f>YearFirst&amp;" (mph)"</f>
        <v>2026 (mph)</v>
      </c>
      <c r="V156" s="904" t="str">
        <f>YearFirst&amp;" (miles)"</f>
        <v>2026 (miles)</v>
      </c>
      <c r="W156" s="904" t="str">
        <f>YearLast&amp;" (mph)"</f>
        <v>2046 (mph)</v>
      </c>
      <c r="X156" s="905" t="str">
        <f>YearLast&amp;" (miles)"</f>
        <v>2046 (miles)</v>
      </c>
    </row>
    <row r="157" spans="1:24" x14ac:dyDescent="0.25">
      <c r="C157" s="1001" t="str">
        <f>PARAMETERS!$J$9</f>
        <v>Bus</v>
      </c>
      <c r="D157" s="1004">
        <f>SUMIF(INDEX(HwyTransitModelGroup,,1),$C157,INDEX(ModelData1NB,,1))*AnnualFactor</f>
        <v>0</v>
      </c>
      <c r="E157" s="1005">
        <f>SUMIF(INDEX(HwyTransitModelGroup,,1),$C157,INDEX(ModelData1B,,1))*AnnualFactor</f>
        <v>0</v>
      </c>
      <c r="F157" s="1006">
        <f>E157-D157</f>
        <v>0</v>
      </c>
      <c r="G157" s="1007">
        <f>IF(OR($F$161=0,F157&lt;=0),0,F157/SUMIF(F$157:F$160,"&gt;0",F$157:F$160)*F$161)</f>
        <v>0</v>
      </c>
      <c r="H157" s="1004">
        <f>SUMIF(INDEX(HwyTransitModelGroup,,1),$C157,INDEX(ModelData20NB,,1))*AnnualFactor</f>
        <v>0</v>
      </c>
      <c r="I157" s="1005">
        <f>SUMIF(INDEX(HwyTransitModelGroup,,1),$C157,INDEX(ModelData20B,,1))*AnnualFactor</f>
        <v>0</v>
      </c>
      <c r="J157" s="1006">
        <f>I157-H157</f>
        <v>0</v>
      </c>
      <c r="K157" s="1007">
        <f>IF(OR($J$161=0,J157&lt;=0),0,J157/SUMIF(J$157:J$160,"&gt;0",J$157:J$160)*J$161)</f>
        <v>0</v>
      </c>
      <c r="O157" s="1001" t="str">
        <f>PARAMETERS!$J$9</f>
        <v>Bus</v>
      </c>
      <c r="P157" s="1030">
        <f>IFERROR(1/(SUMPRODUCT(P$169:P$175,$E$169:$E$175,--($D$169:$D$175=$C157))/IF(SUMPRODUCT($E$169:$E$175,--($D$169:$D$175=$C157))=0,1,SUMPRODUCT($E$169:$E$175,--($D$169:$D$175=$C157)))),0)</f>
        <v>0</v>
      </c>
      <c r="Q157" s="1030">
        <f>IFERROR(SUMPRODUCT(Q$169:Q$175,$E$169:$E$175,--($D$169:$D$175=$C157))/SUMPRODUCT($E$169:$E$175,--($D$169:$D$175=$C157)),0)</f>
        <v>0</v>
      </c>
      <c r="R157" s="1030">
        <f>IFERROR(1/(SUMPRODUCT(R$169:R$175,$I$169:$I$175,--($D$169:$D$175=$C157))/IF(SUMPRODUCT($I$169:$I$175,--($D$169:$D$175=$C157))=0,1,SUMPRODUCT($I$169:$I$175,--($D$169:$D$175=$C157)))),0)</f>
        <v>0</v>
      </c>
      <c r="S157" s="1030">
        <f>IFERROR(SUMPRODUCT(S$169:S$175,$I$169:$I$175,--($D$169:$D$175=$C157))/SUMPRODUCT($I$169:$I$175,--($D$169:$D$175=$C157)),0)</f>
        <v>0</v>
      </c>
      <c r="T157" s="880"/>
      <c r="U157" s="1030">
        <f>IFERROR(1/(SUMPRODUCT(U$169:U$175,$E$169:$E$175,--($D$169:$D$175=$C157))/IF(SUMPRODUCT($E$169:$E$175,--($D$169:$D$175=$C157))=0,1,SUMPRODUCT($E$169:$E$175,--($D$169:$D$175=$C157)))),0)</f>
        <v>0</v>
      </c>
      <c r="V157" s="1030">
        <f>IFERROR(SUMPRODUCT(V$169:V$175,$E$169:$E$175,--($D$169:$D$175=$C157))/SUMPRODUCT($E$169:$E$175,--($D$169:$D$175=$C157)),0)</f>
        <v>0</v>
      </c>
      <c r="W157" s="1030">
        <f>IFERROR(1/(SUMPRODUCT(W$169:W$175,$I$169:$I$175,--($D$169:$D$175=$C157))/IF(SUMPRODUCT($I$169:$I$175,--($D$169:$D$175=$C157))=0,1,SUMPRODUCT($I$169:$I$175,--($D$169:$D$175=$C157)))),0)</f>
        <v>0</v>
      </c>
      <c r="X157" s="1030">
        <f>IFERROR(SUMPRODUCT(X$169:X$175,$I$169:$I$175,--($D$169:$D$175=$C157))/SUMPRODUCT($I$169:$I$175,--($D$169:$D$175=$C157)),0)</f>
        <v>0</v>
      </c>
    </row>
    <row r="158" spans="1:24" x14ac:dyDescent="0.25">
      <c r="C158" s="1002" t="str">
        <f>PARAMETERS!$J$10</f>
        <v>Pass Train</v>
      </c>
      <c r="D158" s="1008">
        <f>SUMIF(INDEX(HwyTransitModelGroup,,1),$C158,INDEX(ModelData1NB,,1))*AnnualFactor</f>
        <v>0</v>
      </c>
      <c r="E158" s="1009">
        <f>SUMIF(INDEX(HwyTransitModelGroup,,1),$C158,INDEX(ModelData1B,,1))*AnnualFactor</f>
        <v>0</v>
      </c>
      <c r="F158" s="1010">
        <f>E158-D158</f>
        <v>0</v>
      </c>
      <c r="G158" s="1011">
        <f>IF(OR($F$161=0,F158&lt;=0),0,F158/SUMIF(F$157:F$160,"&gt;0",F$157:F$160)*F$161)</f>
        <v>0</v>
      </c>
      <c r="H158" s="1008">
        <f>SUMIF(INDEX(HwyTransitModelGroup,,1),$C158,INDEX(ModelData20NB,,1))*AnnualFactor</f>
        <v>0</v>
      </c>
      <c r="I158" s="1009">
        <f>SUMIF(INDEX(HwyTransitModelGroup,,1),$C158,INDEX(ModelData20B,,1))*AnnualFactor</f>
        <v>0</v>
      </c>
      <c r="J158" s="1010">
        <f>I158-H158</f>
        <v>0</v>
      </c>
      <c r="K158" s="1011">
        <f>IF(OR($J$161=0,J158&lt;=0),0,J158/SUMIF(J$157:J$160,"&gt;0",J$157:J$160)*J$161)</f>
        <v>0</v>
      </c>
      <c r="O158" s="1002" t="str">
        <f>PARAMETERS!$J$10</f>
        <v>Pass Train</v>
      </c>
      <c r="P158" s="1031">
        <f>IFERROR(1/(SUMPRODUCT(P$169:P$175,$E$169:$E$175,--($D$169:$D$175=$C158))/IF(SUMPRODUCT($E$169:$E$175,--($D$169:$D$175=$C158))=0,1,SUMPRODUCT($E$169:$E$175,--($D$169:$D$175=$C158)))),0)</f>
        <v>0</v>
      </c>
      <c r="Q158" s="1031">
        <f>IFERROR(SUMPRODUCT(Q$169:Q$175,$E$169:$E$175,--($D$169:$D$175=$C158))/SUMPRODUCT($E$169:$E$175,--($D$169:$D$175=$C158)),0)</f>
        <v>0</v>
      </c>
      <c r="R158" s="1031">
        <f>IFERROR(1/(SUMPRODUCT(R$169:R$175,$I$169:$I$175,--($D$169:$D$175=$C158))/IF(SUMPRODUCT($I$169:$I$175,--($D$169:$D$175=$C158))=0,1,SUMPRODUCT($I$169:$I$175,--($D$169:$D$175=$C158)))),0)</f>
        <v>0</v>
      </c>
      <c r="S158" s="1031">
        <f>IFERROR(SUMPRODUCT(S$169:S$175,$I$169:$I$175,--($D$169:$D$175=$C158))/SUMPRODUCT($I$169:$I$175,--($D$169:$D$175=$C158)),0)</f>
        <v>0</v>
      </c>
      <c r="T158" s="880"/>
      <c r="U158" s="1031">
        <f>IFERROR(1/(SUMPRODUCT(U$169:U$175,$E$169:$E$175,--($D$169:$D$175=$C158))/IF(SUMPRODUCT($E$169:$E$175,--($D$169:$D$175=$C158))=0,1,SUMPRODUCT($E$169:$E$175,--($D$169:$D$175=$C158)))),0)</f>
        <v>0</v>
      </c>
      <c r="V158" s="1031">
        <f>IFERROR(SUMPRODUCT(V$169:V$175,$E$169:$E$175,--($D$169:$D$175=$C158))/SUMPRODUCT($E$169:$E$175,--($D$169:$D$175=$C158)),0)</f>
        <v>0</v>
      </c>
      <c r="W158" s="1031">
        <f>IFERROR(1/(SUMPRODUCT(W$169:W$175,$I$169:$I$175,--($D$169:$D$175=$C158))/IF(SUMPRODUCT($I$169:$I$175,--($D$169:$D$175=$C158))=0,1,SUMPRODUCT($I$169:$I$175,--($D$169:$D$175=$C158)))),0)</f>
        <v>0</v>
      </c>
      <c r="X158" s="1031">
        <f>IFERROR(SUMPRODUCT(X$169:X$175,$I$169:$I$175,--($D$169:$D$175=$C158))/SUMPRODUCT($I$169:$I$175,--($D$169:$D$175=$C158)),0)</f>
        <v>0</v>
      </c>
    </row>
    <row r="159" spans="1:24" x14ac:dyDescent="0.25">
      <c r="C159" s="1002" t="str">
        <f>PARAMETERS!$J$11</f>
        <v>Light Rail</v>
      </c>
      <c r="D159" s="1008">
        <f>SUMIF(INDEX(HwyTransitModelGroup,,1),$C159,INDEX(ModelData1NB,,1))*AnnualFactor</f>
        <v>0</v>
      </c>
      <c r="E159" s="1009">
        <f>SUMIF(INDEX(HwyTransitModelGroup,,1),$C159,INDEX(ModelData1B,,1))*AnnualFactor</f>
        <v>0</v>
      </c>
      <c r="F159" s="1010">
        <f>E159-D159</f>
        <v>0</v>
      </c>
      <c r="G159" s="1011">
        <f>IF(OR($F$161=0,F159&lt;=0),0,F159/SUMIF(F$157:F$160,"&gt;0",F$157:F$160)*F$161)</f>
        <v>0</v>
      </c>
      <c r="H159" s="1008">
        <f>SUMIF(INDEX(HwyTransitModelGroup,,1),$C159,INDEX(ModelData20NB,,1))*AnnualFactor</f>
        <v>0</v>
      </c>
      <c r="I159" s="1009">
        <f>SUMIF(INDEX(HwyTransitModelGroup,,1),$C159,INDEX(ModelData20B,,1))*AnnualFactor</f>
        <v>0</v>
      </c>
      <c r="J159" s="1010">
        <f>I159-H159</f>
        <v>0</v>
      </c>
      <c r="K159" s="1011">
        <f>IF(OR($J$161=0,J159&lt;=0),0,J159/SUMIF(J$157:J$160,"&gt;0",J$157:J$160)*J$161)</f>
        <v>0</v>
      </c>
      <c r="O159" s="1002" t="str">
        <f>PARAMETERS!$J$11</f>
        <v>Light Rail</v>
      </c>
      <c r="P159" s="1031">
        <f>IFERROR(1/(SUMPRODUCT(P$169:P$175,$E$169:$E$175,--($D$169:$D$175=$C159))/IF(SUMPRODUCT($E$169:$E$175,--($D$169:$D$175=$C159))=0,1,SUMPRODUCT($E$169:$E$175,--($D$169:$D$175=$C159)))),0)</f>
        <v>0</v>
      </c>
      <c r="Q159" s="1031">
        <f>IFERROR(SUMPRODUCT(Q$169:Q$175,$E$169:$E$175,--($D$169:$D$175=$C159))/SUMPRODUCT($E$169:$E$175,--($D$169:$D$175=$C159)),0)</f>
        <v>0</v>
      </c>
      <c r="R159" s="1031">
        <f>IFERROR(1/(SUMPRODUCT(R$169:R$175,$I$169:$I$175,--($D$169:$D$175=$C159))/IF(SUMPRODUCT($I$169:$I$175,--($D$169:$D$175=$C159))=0,1,SUMPRODUCT($I$169:$I$175,--($D$169:$D$175=$C159)))),0)</f>
        <v>0</v>
      </c>
      <c r="S159" s="1031">
        <f>IFERROR(SUMPRODUCT(S$169:S$175,$I$169:$I$175,--($D$169:$D$175=$C159))/SUMPRODUCT($I$169:$I$175,--($D$169:$D$175=$C159)),0)</f>
        <v>0</v>
      </c>
      <c r="T159" s="880"/>
      <c r="U159" s="1031">
        <f>IFERROR(1/(SUMPRODUCT(U$169:U$175,$E$169:$E$175,--($D$169:$D$175=$C159))/IF(SUMPRODUCT($E$169:$E$175,--($D$169:$D$175=$C159))=0,1,SUMPRODUCT($E$169:$E$175,--($D$169:$D$175=$C159)))),0)</f>
        <v>0</v>
      </c>
      <c r="V159" s="1031">
        <f>IFERROR(SUMPRODUCT(V$169:V$175,$E$169:$E$175,--($D$169:$D$175=$C159))/SUMPRODUCT($E$169:$E$175,--($D$169:$D$175=$C159)),0)</f>
        <v>0</v>
      </c>
      <c r="W159" s="1031">
        <f>IFERROR(1/(SUMPRODUCT(W$169:W$175,$I$169:$I$175,--($D$169:$D$175=$C159))/IF(SUMPRODUCT($I$169:$I$175,--($D$169:$D$175=$C159))=0,1,SUMPRODUCT($I$169:$I$175,--($D$169:$D$175=$C159)))),0)</f>
        <v>0</v>
      </c>
      <c r="X159" s="1031">
        <f>IFERROR(SUMPRODUCT(X$169:X$175,$I$169:$I$175,--($D$169:$D$175=$C159))/SUMPRODUCT($I$169:$I$175,--($D$169:$D$175=$C159)),0)</f>
        <v>0</v>
      </c>
    </row>
    <row r="160" spans="1:24" x14ac:dyDescent="0.25">
      <c r="C160" s="1003" t="str">
        <f>PARAMETERS!$J$12</f>
        <v>Highway</v>
      </c>
      <c r="D160" s="1012">
        <f>SUMIF(INDEX(HwyTransitModelGroup,,1),$C160,INDEX(ModelData1NB,,1))*AnnualFactor</f>
        <v>0</v>
      </c>
      <c r="E160" s="1013">
        <f>SUMIF(INDEX(HwyTransitModelGroup,,1),$C160,INDEX(ModelData1B,,1))*AnnualFactor</f>
        <v>0</v>
      </c>
      <c r="F160" s="1014">
        <f>E160-D160</f>
        <v>0</v>
      </c>
      <c r="G160" s="1015">
        <f>IF(OR($F$161=0,F160&lt;=0),0,F160/SUMIF(F$157:F$160,"&gt;0",F$157:F$160)*F$161)</f>
        <v>0</v>
      </c>
      <c r="H160" s="1012">
        <f>SUMIF(INDEX(HwyTransitModelGroup,,1),$C160,INDEX(ModelData20NB,,1))*AnnualFactor</f>
        <v>0</v>
      </c>
      <c r="I160" s="1013">
        <f>SUMIF(INDEX(HwyTransitModelGroup,,1),$C160,INDEX(ModelData20B,,1))*AnnualFactor</f>
        <v>0</v>
      </c>
      <c r="J160" s="1014">
        <f>I160-H160</f>
        <v>0</v>
      </c>
      <c r="K160" s="1015">
        <f>IF(OR($J$161=0,J160&lt;=0),0,J160/SUMIF(J$157:J$160,"&gt;0",J$157:J$160)*J$161)</f>
        <v>0</v>
      </c>
      <c r="O160" s="1003" t="str">
        <f>PARAMETERS!$J$12</f>
        <v>Highway</v>
      </c>
      <c r="P160" s="1032">
        <f>IFERROR(1/(SUMPRODUCT(P$169:P$175,$E$169:$E$175,--($D$169:$D$175=$C160))/IF(SUMPRODUCT($E$169:$E$175,--($D$169:$D$175=$C160))=0,1,SUMPRODUCT($E$169:$E$175,--($D$169:$D$175=$C160)))),0)</f>
        <v>0</v>
      </c>
      <c r="Q160" s="1032">
        <f>IFERROR(SUMPRODUCT(Q$169:Q$175,$E$169:$E$175,--($D$169:$D$175=$C160))/SUMPRODUCT($E$169:$E$175,--($D$169:$D$175=$C160)),0)</f>
        <v>0</v>
      </c>
      <c r="R160" s="1032">
        <f>IFERROR(1/(SUMPRODUCT(R$169:R$175,$I$169:$I$175,--($D$169:$D$175=$C160))/IF(SUMPRODUCT($I$169:$I$175,--($D$169:$D$175=$C160))=0,1,SUMPRODUCT($I$169:$I$175,--($D$169:$D$175=$C160)))),0)</f>
        <v>0</v>
      </c>
      <c r="S160" s="1032">
        <f>IFERROR(SUMPRODUCT(S$169:S$175,$I$169:$I$175,--($D$169:$D$175=$C160))/SUMPRODUCT($I$169:$I$175,--($D$169:$D$175=$C160)),0)</f>
        <v>0</v>
      </c>
      <c r="T160" s="880"/>
      <c r="U160" s="1032">
        <f>IFERROR(1/(SUMPRODUCT(U$169:U$175,$E$169:$E$175,--($D$169:$D$175=$C160))/IF(SUMPRODUCT($E$169:$E$175,--($D$169:$D$175=$C160))=0,1,SUMPRODUCT($E$169:$E$175,--($D$169:$D$175=$C160)))),0)</f>
        <v>0</v>
      </c>
      <c r="V160" s="1032">
        <f>IFERROR(SUMPRODUCT(V$169:V$175,$E$169:$E$175,--($D$169:$D$175=$C160))/SUMPRODUCT($E$169:$E$175,--($D$169:$D$175=$C160)),0)</f>
        <v>0</v>
      </c>
      <c r="W160" s="1032">
        <f>IFERROR(1/(SUMPRODUCT(W$169:W$175,$I$169:$I$175,--($D$169:$D$175=$C160))/IF(SUMPRODUCT($I$169:$I$175,--($D$169:$D$175=$C160))=0,1,SUMPRODUCT($I$169:$I$175,--($D$169:$D$175=$C160)))),0)</f>
        <v>0</v>
      </c>
      <c r="X160" s="1032">
        <f>IFERROR(SUMPRODUCT(X$169:X$175,$I$169:$I$175,--($D$169:$D$175=$C160))/SUMPRODUCT($I$169:$I$175,--($D$169:$D$175=$C160)),0)</f>
        <v>0</v>
      </c>
    </row>
    <row r="161" spans="2:29" x14ac:dyDescent="0.25">
      <c r="C161" s="1000" t="s">
        <v>124</v>
      </c>
      <c r="D161" s="1016">
        <f>SUM(D157:D160)</f>
        <v>0</v>
      </c>
      <c r="E161" s="1016">
        <f>SUM(E157:E160)</f>
        <v>0</v>
      </c>
      <c r="F161" s="1017">
        <f>MAX(E161-D161,0)</f>
        <v>0</v>
      </c>
      <c r="G161" s="1017">
        <f>SUM(G157:G160)</f>
        <v>0</v>
      </c>
      <c r="H161" s="1016">
        <f>SUM(H157:H160)</f>
        <v>0</v>
      </c>
      <c r="I161" s="1016">
        <f>SUM(I157:I160)</f>
        <v>0</v>
      </c>
      <c r="J161" s="1017">
        <f>MAX(I161-H161,0)</f>
        <v>0</v>
      </c>
      <c r="K161" s="1017">
        <f>SUM(K157:K160)</f>
        <v>0</v>
      </c>
    </row>
    <row r="162" spans="2:29" x14ac:dyDescent="0.25">
      <c r="C162" s="1" t="s">
        <v>245</v>
      </c>
    </row>
    <row r="163" spans="2:29" x14ac:dyDescent="0.25">
      <c r="C163" s="1" t="s">
        <v>246</v>
      </c>
    </row>
    <row r="164" spans="2:29" ht="15.75" x14ac:dyDescent="0.25">
      <c r="N164" s="194"/>
      <c r="O164" s="1"/>
      <c r="P164" s="1029" t="s">
        <v>67</v>
      </c>
      <c r="Q164" s="1029"/>
      <c r="R164" s="1029"/>
      <c r="S164" s="1029"/>
      <c r="T164" s="1"/>
      <c r="U164" s="1029" t="s">
        <v>68</v>
      </c>
      <c r="V164" s="1029"/>
      <c r="W164" s="1029"/>
      <c r="X164" s="1029"/>
    </row>
    <row r="165" spans="2:29" ht="18" x14ac:dyDescent="0.25">
      <c r="B165" s="1783" t="str">
        <f>"MODEL DATA"</f>
        <v>MODEL DATA</v>
      </c>
      <c r="C165" s="1783"/>
      <c r="D165" s="1783"/>
      <c r="E165" s="1783"/>
      <c r="F165" s="1783"/>
      <c r="G165" s="1783"/>
      <c r="H165" s="1783"/>
      <c r="I165" s="1783"/>
      <c r="J165" s="1783"/>
      <c r="K165" s="1783"/>
      <c r="L165" s="1783"/>
      <c r="M165" s="1783"/>
    </row>
    <row r="166" spans="2:29" x14ac:dyDescent="0.25">
      <c r="E166" s="1780">
        <f>YearFirst</f>
        <v>2026</v>
      </c>
      <c r="F166" s="1780"/>
      <c r="G166" s="1780"/>
      <c r="H166" s="1781"/>
      <c r="I166" s="1782">
        <f>YearLast</f>
        <v>2046</v>
      </c>
      <c r="J166" s="1780"/>
      <c r="K166" s="1780"/>
      <c r="L166" s="1780"/>
    </row>
    <row r="167" spans="2:29" ht="51.75" x14ac:dyDescent="0.25">
      <c r="E167" s="196" t="s">
        <v>247</v>
      </c>
      <c r="F167" s="962" t="s">
        <v>248</v>
      </c>
      <c r="G167" s="196" t="s">
        <v>249</v>
      </c>
      <c r="H167" s="196" t="s">
        <v>250</v>
      </c>
      <c r="I167" s="963" t="s">
        <v>247</v>
      </c>
      <c r="J167" s="962" t="s">
        <v>248</v>
      </c>
      <c r="K167" s="962" t="s">
        <v>249</v>
      </c>
      <c r="L167" s="196" t="s">
        <v>250</v>
      </c>
      <c r="N167" s="1"/>
      <c r="O167" s="194" t="s">
        <v>242</v>
      </c>
      <c r="P167" s="196" t="str">
        <f>"Inverse of Average Speed in Year "&amp;YearFirst&amp;" (mph)"</f>
        <v>Inverse of Average Speed in Year 2026 (mph)</v>
      </c>
      <c r="Q167" s="196" t="str">
        <f>"Average Trip Length 
in Year "&amp;YearFirst&amp;" (miles)"</f>
        <v>Average Trip Length 
in Year 2026 (miles)</v>
      </c>
      <c r="R167" s="196" t="str">
        <f>"Inverse of Average Speed 
in Year "&amp;YearLast&amp;" (mph)"</f>
        <v>Inverse of Average Speed 
in Year 2046 (mph)</v>
      </c>
      <c r="S167" s="196" t="str">
        <f>"Average Trip Length in Year "&amp;YearLast&amp;" (miles)"</f>
        <v>Average Trip Length in Year 2046 (miles)</v>
      </c>
      <c r="T167" s="196"/>
      <c r="U167" s="196" t="str">
        <f>"Inverse of Average Speed in Year "&amp;YearFirst&amp;" (mph)"</f>
        <v>Inverse of Average Speed in Year 2026 (mph)</v>
      </c>
      <c r="V167" s="196" t="str">
        <f>"Average Trip Length in Year "&amp;YearFirst&amp;" (miles)"</f>
        <v>Average Trip Length in Year 2026 (miles)</v>
      </c>
      <c r="W167" s="196" t="str">
        <f>"Inverse of Average Speed in Year "&amp;YearLast&amp;" (mph)"</f>
        <v>Inverse of Average Speed in Year 2046 (mph)</v>
      </c>
      <c r="X167" s="196" t="str">
        <f>"Average Trip Length in Year "&amp;YearLast&amp;" (miles)"</f>
        <v>Average Trip Length in Year 2046 (miles)</v>
      </c>
      <c r="Z167" s="1028" t="str">
        <f>$O$157</f>
        <v>Bus</v>
      </c>
      <c r="AA167" s="1028" t="str">
        <f>$O$158</f>
        <v>Pass Train</v>
      </c>
      <c r="AB167" s="1028" t="str">
        <f>$O$159</f>
        <v>Light Rail</v>
      </c>
      <c r="AC167" s="1028" t="str">
        <f>$O$160</f>
        <v>Highway</v>
      </c>
    </row>
    <row r="168" spans="2:29" x14ac:dyDescent="0.25">
      <c r="B168" s="958"/>
      <c r="C168" s="959"/>
      <c r="D168" s="959"/>
      <c r="E168" s="960"/>
      <c r="F168" s="960"/>
      <c r="G168" s="960"/>
      <c r="H168" s="960"/>
      <c r="I168" s="960"/>
      <c r="J168" s="960"/>
      <c r="K168" s="960"/>
      <c r="L168" s="960"/>
      <c r="M168" s="957"/>
    </row>
    <row r="169" spans="2:29" x14ac:dyDescent="0.25">
      <c r="B169" s="545">
        <f>'2) Model Inputs'!D34</f>
        <v>1</v>
      </c>
      <c r="C169" s="532" t="str">
        <f>'2) Model Inputs'!E34</f>
        <v>SB Off-ramp to Ave 280</v>
      </c>
      <c r="D169" s="532" t="str">
        <f>'2) Model Inputs'!F11</f>
        <v>Highway</v>
      </c>
      <c r="E169" s="1700">
        <f>'2) Model Inputs'!F34</f>
        <v>0</v>
      </c>
      <c r="F169" s="1701">
        <f>MAX('2) Model Inputs'!F45-'2) Model Inputs'!F34,0)</f>
        <v>0</v>
      </c>
      <c r="G169" s="1702">
        <f t="shared" ref="G169:G174" si="16">IFERROR(F169/SUMIF($D$169:$D$175,$D169,F$169:F$175),0)</f>
        <v>0</v>
      </c>
      <c r="H169" s="1703" t="b">
        <f>AND($D169&lt;&gt;Hwy,SUM('2) Model Inputs'!$I34:$K34)=0)</f>
        <v>0</v>
      </c>
      <c r="I169" s="1700">
        <f>'2) Model Inputs'!V34</f>
        <v>0</v>
      </c>
      <c r="J169" s="1701">
        <f>MAX('2) Model Inputs'!V45-'2) Model Inputs'!V34,0)</f>
        <v>0</v>
      </c>
      <c r="K169" s="1702">
        <f t="shared" ref="K169:K174" si="17">IFERROR(J169/SUMIF($D$169:$D$175,$D169,J$169:J$175),0)</f>
        <v>0</v>
      </c>
      <c r="L169" s="1704" t="b">
        <f>AND($D169&lt;&gt;Hwy,SUM('2) Model Inputs'!$Y34:$AA34)=0)</f>
        <v>0</v>
      </c>
      <c r="M169" s="961"/>
      <c r="N169" s="1"/>
      <c r="O169" s="1715">
        <f>'2) Model Inputs'!U11</f>
        <v>0</v>
      </c>
      <c r="P169" s="1596" t="str">
        <f>IF($H169=TRUE,IFERROR(1/'2) Model Inputs'!V11,0),"")</f>
        <v/>
      </c>
      <c r="Q169" s="1596" t="str">
        <f>IF($H169=TRUE,'2) Model Inputs'!W11,"")</f>
        <v/>
      </c>
      <c r="R169" s="1596" t="str">
        <f>IF($L169=TRUE,IFERROR(1/'2) Model Inputs'!X11,0),"")</f>
        <v/>
      </c>
      <c r="S169" s="1596" t="str">
        <f>IF($L169=TRUE,'2) Model Inputs'!Y11,"")</f>
        <v/>
      </c>
      <c r="U169" s="1596" t="str">
        <f>IF($H169=TRUE,IFERROR(1/'2) Model Inputs'!AA11,0),"")</f>
        <v/>
      </c>
      <c r="V169" s="1596" t="str">
        <f>IF($H169=TRUE,'2) Model Inputs'!AB11,"")</f>
        <v/>
      </c>
      <c r="W169" s="1596" t="str">
        <f>IF($L169=TRUE,IFERROR(1/'2) Model Inputs'!AC11,0),"")</f>
        <v/>
      </c>
      <c r="X169" s="1596" t="str">
        <f>IF($L169=TRUE,'2) Model Inputs'!AD11,"")</f>
        <v/>
      </c>
      <c r="Z169" s="965">
        <f>IF($D169=Z$167,1,0)</f>
        <v>0</v>
      </c>
      <c r="AA169" s="965">
        <f>IF($D169=AA$167,1,0)</f>
        <v>0</v>
      </c>
      <c r="AB169" s="965">
        <f>IF($D169=AB$167,1,0)</f>
        <v>0</v>
      </c>
      <c r="AC169" s="965">
        <f>IF($D169=AC$167,1,0)</f>
        <v>1</v>
      </c>
    </row>
    <row r="170" spans="2:29" x14ac:dyDescent="0.25">
      <c r="B170" s="545">
        <f>'2) Model Inputs'!D35</f>
        <v>2</v>
      </c>
      <c r="C170" s="532" t="str">
        <f>'2) Model Inputs'!E35</f>
        <v>SB On-ramp from Ave 280</v>
      </c>
      <c r="D170" s="532" t="str">
        <f>'2) Model Inputs'!F12</f>
        <v>Highway</v>
      </c>
      <c r="E170" s="1705">
        <f>'2) Model Inputs'!F35</f>
        <v>0</v>
      </c>
      <c r="F170" s="1706">
        <f>MAX('2) Model Inputs'!F46-'2) Model Inputs'!F35,0)</f>
        <v>0</v>
      </c>
      <c r="G170" s="1707">
        <f t="shared" si="16"/>
        <v>0</v>
      </c>
      <c r="H170" s="1708" t="b">
        <f>AND($D170&lt;&gt;Hwy,SUM('2) Model Inputs'!$I35:$K35)=0)</f>
        <v>0</v>
      </c>
      <c r="I170" s="1705">
        <f>'2) Model Inputs'!V35</f>
        <v>0</v>
      </c>
      <c r="J170" s="1706">
        <f>MAX('2) Model Inputs'!V46-'2) Model Inputs'!V35,0)</f>
        <v>0</v>
      </c>
      <c r="K170" s="1707">
        <f t="shared" si="17"/>
        <v>0</v>
      </c>
      <c r="L170" s="1709" t="b">
        <f>AND($D170&lt;&gt;Hwy,SUM('2) Model Inputs'!$Y35:$AA35)=0)</f>
        <v>0</v>
      </c>
      <c r="M170" s="961"/>
      <c r="N170" s="1"/>
      <c r="O170" s="1716">
        <f>'2) Model Inputs'!U12</f>
        <v>0</v>
      </c>
      <c r="P170" s="1603" t="str">
        <f>IF($H170=TRUE,IFERROR(1/'2) Model Inputs'!V12,0),"")</f>
        <v/>
      </c>
      <c r="Q170" s="1603" t="str">
        <f>IF($H170=TRUE,'2) Model Inputs'!W12,"")</f>
        <v/>
      </c>
      <c r="R170" s="1603" t="str">
        <f>IF($L170=TRUE,IFERROR(1/'2) Model Inputs'!X12,0),"")</f>
        <v/>
      </c>
      <c r="S170" s="1603" t="str">
        <f>IF($L170=TRUE,'2) Model Inputs'!Y12,"")</f>
        <v/>
      </c>
      <c r="U170" s="1603" t="str">
        <f>IF($H170=TRUE,IFERROR(1/'2) Model Inputs'!AA12,0),"")</f>
        <v/>
      </c>
      <c r="V170" s="1603" t="str">
        <f>IF($H170=TRUE,'2) Model Inputs'!AB12,"")</f>
        <v/>
      </c>
      <c r="W170" s="1603" t="str">
        <f>IF($L170=TRUE,IFERROR(1/'2) Model Inputs'!AC12,0),"")</f>
        <v/>
      </c>
      <c r="X170" s="1603" t="str">
        <f>IF($L170=TRUE,'2) Model Inputs'!AD12,"")</f>
        <v/>
      </c>
      <c r="Z170" s="965">
        <f t="shared" ref="Z170:AC174" si="18">IF($D170=Z$167,1,0)</f>
        <v>0</v>
      </c>
      <c r="AA170" s="965">
        <f t="shared" si="18"/>
        <v>0</v>
      </c>
      <c r="AB170" s="965">
        <f t="shared" si="18"/>
        <v>0</v>
      </c>
      <c r="AC170" s="965">
        <f t="shared" si="18"/>
        <v>1</v>
      </c>
    </row>
    <row r="171" spans="2:29" x14ac:dyDescent="0.25">
      <c r="B171" s="545">
        <f>'2) Model Inputs'!D36</f>
        <v>3</v>
      </c>
      <c r="C171" s="532" t="str">
        <f>'2) Model Inputs'!E36</f>
        <v>NB Off-ramp to Ave 280</v>
      </c>
      <c r="D171" s="532" t="str">
        <f>'2) Model Inputs'!F13</f>
        <v>Highway</v>
      </c>
      <c r="E171" s="1705">
        <f>'2) Model Inputs'!F36</f>
        <v>0</v>
      </c>
      <c r="F171" s="1706">
        <f>MAX('2) Model Inputs'!F47-'2) Model Inputs'!F36,0)</f>
        <v>0</v>
      </c>
      <c r="G171" s="1707">
        <f t="shared" si="16"/>
        <v>0</v>
      </c>
      <c r="H171" s="1708" t="b">
        <f>AND($D171&lt;&gt;Hwy,SUM('2) Model Inputs'!$I36:$K36)=0)</f>
        <v>0</v>
      </c>
      <c r="I171" s="1705">
        <f>'2) Model Inputs'!V36</f>
        <v>0</v>
      </c>
      <c r="J171" s="1706">
        <f>MAX('2) Model Inputs'!V47-'2) Model Inputs'!V36,0)</f>
        <v>0</v>
      </c>
      <c r="K171" s="1707">
        <f t="shared" si="17"/>
        <v>0</v>
      </c>
      <c r="L171" s="1709" t="b">
        <f>AND($D171&lt;&gt;Hwy,SUM('2) Model Inputs'!$Y36:$AA36)=0)</f>
        <v>0</v>
      </c>
      <c r="M171" s="961"/>
      <c r="N171" s="1"/>
      <c r="O171" s="1716">
        <f>'2) Model Inputs'!U13</f>
        <v>0</v>
      </c>
      <c r="P171" s="1603" t="str">
        <f>IF($H171=TRUE,IFERROR(1/'2) Model Inputs'!V13,0),"")</f>
        <v/>
      </c>
      <c r="Q171" s="1603" t="str">
        <f>IF($H171=TRUE,'2) Model Inputs'!W13,"")</f>
        <v/>
      </c>
      <c r="R171" s="1603" t="str">
        <f>IF($L171=TRUE,IFERROR(1/'2) Model Inputs'!X13,0),"")</f>
        <v/>
      </c>
      <c r="S171" s="1603" t="str">
        <f>IF($L171=TRUE,'2) Model Inputs'!Y13,"")</f>
        <v/>
      </c>
      <c r="U171" s="1603" t="str">
        <f>IF($H171=TRUE,IFERROR(1/'2) Model Inputs'!AA13,0),"")</f>
        <v/>
      </c>
      <c r="V171" s="1603" t="str">
        <f>IF($H171=TRUE,'2) Model Inputs'!AB13,"")</f>
        <v/>
      </c>
      <c r="W171" s="1603" t="str">
        <f>IF($L171=TRUE,IFERROR(1/'2) Model Inputs'!AC13,0),"")</f>
        <v/>
      </c>
      <c r="X171" s="1603" t="str">
        <f>IF($L171=TRUE,'2) Model Inputs'!AD13,"")</f>
        <v/>
      </c>
      <c r="Z171" s="965">
        <f t="shared" si="18"/>
        <v>0</v>
      </c>
      <c r="AA171" s="965">
        <f t="shared" si="18"/>
        <v>0</v>
      </c>
      <c r="AB171" s="965">
        <f t="shared" si="18"/>
        <v>0</v>
      </c>
      <c r="AC171" s="965">
        <f t="shared" si="18"/>
        <v>1</v>
      </c>
    </row>
    <row r="172" spans="2:29" x14ac:dyDescent="0.25">
      <c r="B172" s="545">
        <f>'2) Model Inputs'!D37</f>
        <v>4</v>
      </c>
      <c r="C172" s="532" t="str">
        <f>'2) Model Inputs'!E37</f>
        <v>NB On-ramp from Ave 280</v>
      </c>
      <c r="D172" s="532" t="str">
        <f>'2) Model Inputs'!F14</f>
        <v>Highway</v>
      </c>
      <c r="E172" s="1705">
        <f>'2) Model Inputs'!F37</f>
        <v>0</v>
      </c>
      <c r="F172" s="1706">
        <f>MAX('2) Model Inputs'!F48-'2) Model Inputs'!F37,0)</f>
        <v>0</v>
      </c>
      <c r="G172" s="1707">
        <f t="shared" si="16"/>
        <v>0</v>
      </c>
      <c r="H172" s="1708" t="b">
        <f>AND($D172&lt;&gt;Hwy,SUM('2) Model Inputs'!$I37:$K37)=0)</f>
        <v>0</v>
      </c>
      <c r="I172" s="1705">
        <f>'2) Model Inputs'!V37</f>
        <v>0</v>
      </c>
      <c r="J172" s="1706">
        <f>MAX('2) Model Inputs'!V48-'2) Model Inputs'!V37,0)</f>
        <v>0</v>
      </c>
      <c r="K172" s="1707">
        <f t="shared" si="17"/>
        <v>0</v>
      </c>
      <c r="L172" s="1709" t="b">
        <f>AND($D172&lt;&gt;Hwy,SUM('2) Model Inputs'!$Y37:$AA37)=0)</f>
        <v>0</v>
      </c>
      <c r="M172" s="961"/>
      <c r="N172" s="1"/>
      <c r="O172" s="1716">
        <f>'2) Model Inputs'!U14</f>
        <v>0</v>
      </c>
      <c r="P172" s="1603" t="str">
        <f>IF($H172=TRUE,IFERROR(1/'2) Model Inputs'!V14,0),"")</f>
        <v/>
      </c>
      <c r="Q172" s="1603" t="str">
        <f>IF($H172=TRUE,'2) Model Inputs'!W14,"")</f>
        <v/>
      </c>
      <c r="R172" s="1603" t="str">
        <f>IF($L172=TRUE,IFERROR(1/'2) Model Inputs'!X14,0),"")</f>
        <v/>
      </c>
      <c r="S172" s="1603" t="str">
        <f>IF($L172=TRUE,'2) Model Inputs'!Y14,"")</f>
        <v/>
      </c>
      <c r="U172" s="1603" t="str">
        <f>IF($H172=TRUE,IFERROR(1/'2) Model Inputs'!AA14,0),"")</f>
        <v/>
      </c>
      <c r="V172" s="1603" t="str">
        <f>IF($H172=TRUE,'2) Model Inputs'!AB14,"")</f>
        <v/>
      </c>
      <c r="W172" s="1603" t="str">
        <f>IF($L172=TRUE,IFERROR(1/'2) Model Inputs'!AC14,0),"")</f>
        <v/>
      </c>
      <c r="X172" s="1603" t="str">
        <f>IF($L172=TRUE,'2) Model Inputs'!AD14,"")</f>
        <v/>
      </c>
      <c r="Z172" s="965">
        <f t="shared" si="18"/>
        <v>0</v>
      </c>
      <c r="AA172" s="965">
        <f t="shared" si="18"/>
        <v>0</v>
      </c>
      <c r="AB172" s="965">
        <f t="shared" si="18"/>
        <v>0</v>
      </c>
      <c r="AC172" s="965">
        <f t="shared" si="18"/>
        <v>1</v>
      </c>
    </row>
    <row r="173" spans="2:29" x14ac:dyDescent="0.25">
      <c r="B173" s="545">
        <f>'2) Model Inputs'!D38</f>
        <v>5</v>
      </c>
      <c r="C173" s="532" t="str">
        <f>'2) Model Inputs'!E38</f>
        <v>NB Mainline</v>
      </c>
      <c r="D173" s="532" t="str">
        <f>'2) Model Inputs'!F15</f>
        <v>Highway</v>
      </c>
      <c r="E173" s="1705">
        <f>'2) Model Inputs'!F38</f>
        <v>0</v>
      </c>
      <c r="F173" s="1706">
        <f>MAX('2) Model Inputs'!F49-'2) Model Inputs'!F38,0)</f>
        <v>0</v>
      </c>
      <c r="G173" s="1707">
        <f t="shared" si="16"/>
        <v>0</v>
      </c>
      <c r="H173" s="1708" t="b">
        <f>AND($D173&lt;&gt;Hwy,SUM('2) Model Inputs'!$I38:$K38)=0)</f>
        <v>0</v>
      </c>
      <c r="I173" s="1705">
        <f>'2) Model Inputs'!V38</f>
        <v>0</v>
      </c>
      <c r="J173" s="1706">
        <f>MAX('2) Model Inputs'!V49-'2) Model Inputs'!V38,0)</f>
        <v>0</v>
      </c>
      <c r="K173" s="1707">
        <f t="shared" si="17"/>
        <v>0</v>
      </c>
      <c r="L173" s="1709" t="b">
        <f>AND($D173&lt;&gt;Hwy,SUM('2) Model Inputs'!$Y38:$AA38)=0)</f>
        <v>0</v>
      </c>
      <c r="M173" s="961"/>
      <c r="N173" s="1"/>
      <c r="O173" s="1716">
        <f>'2) Model Inputs'!U15</f>
        <v>0</v>
      </c>
      <c r="P173" s="1603" t="str">
        <f>IF($H173=TRUE,IFERROR(1/'2) Model Inputs'!V15,0),"")</f>
        <v/>
      </c>
      <c r="Q173" s="1603" t="str">
        <f>IF($H173=TRUE,'2) Model Inputs'!W15,"")</f>
        <v/>
      </c>
      <c r="R173" s="1603" t="str">
        <f>IF($L173=TRUE,IFERROR(1/'2) Model Inputs'!X15,0),"")</f>
        <v/>
      </c>
      <c r="S173" s="1603" t="str">
        <f>IF($L173=TRUE,'2) Model Inputs'!Y15,"")</f>
        <v/>
      </c>
      <c r="U173" s="1603" t="str">
        <f>IF($H173=TRUE,IFERROR(1/'2) Model Inputs'!AA15,0),"")</f>
        <v/>
      </c>
      <c r="V173" s="1603" t="str">
        <f>IF($H173=TRUE,'2) Model Inputs'!AB15,"")</f>
        <v/>
      </c>
      <c r="W173" s="1603" t="str">
        <f>IF($L173=TRUE,IFERROR(1/'2) Model Inputs'!AC15,0),"")</f>
        <v/>
      </c>
      <c r="X173" s="1603" t="str">
        <f>IF($L173=TRUE,'2) Model Inputs'!AD15,"")</f>
        <v/>
      </c>
      <c r="Z173" s="965">
        <f t="shared" si="18"/>
        <v>0</v>
      </c>
      <c r="AA173" s="965">
        <f t="shared" si="18"/>
        <v>0</v>
      </c>
      <c r="AB173" s="965">
        <f t="shared" si="18"/>
        <v>0</v>
      </c>
      <c r="AC173" s="965">
        <f t="shared" si="18"/>
        <v>1</v>
      </c>
    </row>
    <row r="174" spans="2:29" x14ac:dyDescent="0.25">
      <c r="B174" s="545">
        <f>'2) Model Inputs'!D39</f>
        <v>6</v>
      </c>
      <c r="C174" s="532" t="str">
        <f>'2) Model Inputs'!E39</f>
        <v>SB Mainline</v>
      </c>
      <c r="D174" s="532" t="str">
        <f>'2) Model Inputs'!F16</f>
        <v>Highway</v>
      </c>
      <c r="E174" s="1710">
        <f>'2) Model Inputs'!F39</f>
        <v>0</v>
      </c>
      <c r="F174" s="1711">
        <f>MAX('2) Model Inputs'!F50-'2) Model Inputs'!F39,0)</f>
        <v>0</v>
      </c>
      <c r="G174" s="1712">
        <f t="shared" si="16"/>
        <v>0</v>
      </c>
      <c r="H174" s="1713" t="b">
        <f>AND($D174&lt;&gt;Hwy,SUM('2) Model Inputs'!$I39:$K39)=0)</f>
        <v>0</v>
      </c>
      <c r="I174" s="1710">
        <f>'2) Model Inputs'!V39</f>
        <v>0</v>
      </c>
      <c r="J174" s="1711">
        <f>MAX('2) Model Inputs'!V50-'2) Model Inputs'!V39,0)</f>
        <v>0</v>
      </c>
      <c r="K174" s="1712">
        <f t="shared" si="17"/>
        <v>0</v>
      </c>
      <c r="L174" s="1714" t="b">
        <f>AND($D174&lt;&gt;Hwy,SUM('2) Model Inputs'!$Y39:$AA39)=0)</f>
        <v>0</v>
      </c>
      <c r="M174" s="961"/>
      <c r="N174" s="1"/>
      <c r="O174" s="1717">
        <f>'2) Model Inputs'!U16</f>
        <v>0</v>
      </c>
      <c r="P174" s="1608" t="str">
        <f>IF($H174=TRUE,IFERROR(1/'2) Model Inputs'!V16,0),"")</f>
        <v/>
      </c>
      <c r="Q174" s="1608" t="str">
        <f>IF($H174=TRUE,'2) Model Inputs'!W16,"")</f>
        <v/>
      </c>
      <c r="R174" s="1608" t="str">
        <f>IF($L174=TRUE,IFERROR(1/'2) Model Inputs'!X16,0),"")</f>
        <v/>
      </c>
      <c r="S174" s="1608" t="str">
        <f>IF($L174=TRUE,'2) Model Inputs'!Y16,"")</f>
        <v/>
      </c>
      <c r="U174" s="1608" t="str">
        <f>IF($H174=TRUE,IFERROR(1/'2) Model Inputs'!AA16,0),"")</f>
        <v/>
      </c>
      <c r="V174" s="1608" t="str">
        <f>IF($H174=TRUE,'2) Model Inputs'!AB16,"")</f>
        <v/>
      </c>
      <c r="W174" s="1608" t="str">
        <f>IF($L174=TRUE,IFERROR(1/'2) Model Inputs'!AC16,0),"")</f>
        <v/>
      </c>
      <c r="X174" s="1608" t="str">
        <f>IF($L174=TRUE,'2) Model Inputs'!AD16,"")</f>
        <v/>
      </c>
      <c r="Z174" s="965">
        <f t="shared" si="18"/>
        <v>0</v>
      </c>
      <c r="AA174" s="965">
        <f t="shared" si="18"/>
        <v>0</v>
      </c>
      <c r="AB174" s="965">
        <f t="shared" si="18"/>
        <v>0</v>
      </c>
      <c r="AC174" s="965">
        <f t="shared" si="18"/>
        <v>1</v>
      </c>
    </row>
    <row r="175" spans="2:29" x14ac:dyDescent="0.25">
      <c r="B175" s="954"/>
      <c r="C175" s="955"/>
      <c r="D175" s="955"/>
      <c r="E175" s="955"/>
      <c r="F175" s="955"/>
      <c r="G175" s="955"/>
      <c r="H175" s="955"/>
      <c r="I175" s="955"/>
      <c r="J175" s="955"/>
      <c r="K175" s="955"/>
      <c r="L175" s="955"/>
      <c r="M175" s="956"/>
    </row>
    <row r="209" ht="15.6" customHeight="1" x14ac:dyDescent="0.25"/>
    <row r="276" ht="30.6" customHeight="1" x14ac:dyDescent="0.25"/>
    <row r="287" ht="67.349999999999994" customHeight="1" x14ac:dyDescent="0.25"/>
  </sheetData>
  <mergeCells count="7">
    <mergeCell ref="E166:H166"/>
    <mergeCell ref="I166:L166"/>
    <mergeCell ref="B165:M165"/>
    <mergeCell ref="AH21:AH23"/>
    <mergeCell ref="AI21:AI23"/>
    <mergeCell ref="AF21:AF23"/>
    <mergeCell ref="AG21:AG23"/>
  </mergeCells>
  <printOptions horizontalCentered="1"/>
  <pageMargins left="0.75" right="0.75" top="0.75" bottom="0.75" header="0.5" footer="0.5"/>
  <pageSetup scale="76" orientation="portrait" r:id="rId1"/>
  <headerFooter alignWithMargins="0">
    <oddFooter>&amp;L&amp;8Transportation Economics
Caltrans DOTP&amp;C&amp;8Cal-B/C &amp;A&amp;R&amp;8Page &amp;P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3" r:id="rId4" name="btnPrepareModel">
              <controlPr defaultSize="0" autoFill="0" autoLine="0" autoPict="0" macro="[0]!Prepare_Model_for_Next_Location">
                <anchor moveWithCells="1">
                  <from>
                    <xdr:col>9</xdr:col>
                    <xdr:colOff>266700</xdr:colOff>
                    <xdr:row>0</xdr:row>
                    <xdr:rowOff>0</xdr:rowOff>
                  </from>
                  <to>
                    <xdr:col>11</xdr:col>
                    <xdr:colOff>962025</xdr:colOff>
                    <xdr:row>1</xdr:row>
                    <xdr:rowOff>104775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603F4-671B-4049-937B-183478DD5917}">
  <sheetPr codeName="Sheet2"/>
  <dimension ref="A1:AS211"/>
  <sheetViews>
    <sheetView showGridLines="0" topLeftCell="P1" zoomScale="70" zoomScaleNormal="70" workbookViewId="0"/>
  </sheetViews>
  <sheetFormatPr defaultColWidth="9.140625" defaultRowHeight="12.75" x14ac:dyDescent="0.2"/>
  <cols>
    <col min="1" max="1" width="9.140625" style="678"/>
    <col min="2" max="2" width="7.5703125" style="1045" customWidth="1"/>
    <col min="3" max="3" width="14.5703125" style="1045" customWidth="1"/>
    <col min="4" max="6" width="14.5703125" style="1046" customWidth="1"/>
    <col min="7" max="8" width="14.5703125" style="1047" customWidth="1"/>
    <col min="9" max="9" width="14.5703125" style="678" customWidth="1"/>
    <col min="10" max="14" width="14.5703125" style="1047" customWidth="1"/>
    <col min="15" max="15" width="14.85546875" style="678" customWidth="1"/>
    <col min="16" max="16" width="7.85546875" style="1045" customWidth="1"/>
    <col min="17" max="17" width="14.85546875" style="1045" customWidth="1"/>
    <col min="18" max="22" width="14.5703125" style="1046" customWidth="1"/>
    <col min="23" max="25" width="14.5703125" style="1047" customWidth="1"/>
    <col min="26" max="26" width="16.85546875" style="1047" customWidth="1"/>
    <col min="27" max="28" width="14.5703125" style="1047" customWidth="1"/>
    <col min="29" max="29" width="14.85546875" style="678" customWidth="1"/>
    <col min="30" max="30" width="14.5703125" style="678" bestFit="1" customWidth="1"/>
    <col min="31" max="36" width="16.5703125" style="678" customWidth="1"/>
    <col min="37" max="37" width="2.42578125" style="678" customWidth="1"/>
    <col min="38" max="38" width="14.85546875" style="678" customWidth="1"/>
    <col min="39" max="39" width="2.85546875" style="678" customWidth="1"/>
    <col min="40" max="40" width="18.42578125" style="678" customWidth="1"/>
    <col min="41" max="41" width="16.140625" style="678" customWidth="1"/>
    <col min="42" max="42" width="9.140625" style="678"/>
    <col min="43" max="43" width="14.5703125" style="678" customWidth="1"/>
    <col min="44" max="16384" width="9.140625" style="678"/>
  </cols>
  <sheetData>
    <row r="1" spans="1:45" ht="20.25" x14ac:dyDescent="0.3">
      <c r="B1" s="1044" t="s">
        <v>808</v>
      </c>
      <c r="M1" s="678"/>
      <c r="N1" s="1044"/>
      <c r="O1" s="1045"/>
      <c r="P1" s="1046"/>
      <c r="Q1" s="1046"/>
      <c r="U1" s="1047"/>
      <c r="V1" s="1047"/>
      <c r="AA1" s="678"/>
      <c r="AB1" s="678"/>
    </row>
    <row r="2" spans="1:45" x14ac:dyDescent="0.2">
      <c r="M2" s="678"/>
      <c r="N2" s="1045"/>
      <c r="O2" s="1045"/>
      <c r="P2" s="1046"/>
      <c r="Q2" s="1046"/>
      <c r="U2" s="1047"/>
      <c r="V2" s="1047"/>
      <c r="AA2" s="678"/>
      <c r="AB2" s="678"/>
    </row>
    <row r="3" spans="1:45" ht="18.75" x14ac:dyDescent="0.2">
      <c r="B3" s="1048" t="s">
        <v>809</v>
      </c>
      <c r="C3" s="678"/>
      <c r="D3" s="1049"/>
      <c r="E3" s="1049"/>
      <c r="F3" s="1049"/>
      <c r="G3" s="1050"/>
      <c r="H3" s="1049"/>
      <c r="I3" s="1050"/>
      <c r="J3" s="1050"/>
      <c r="K3" s="1049"/>
      <c r="L3" s="1049"/>
      <c r="M3" s="678"/>
      <c r="N3" s="1048"/>
      <c r="P3" s="1049"/>
      <c r="Q3" s="1049"/>
      <c r="R3" s="1049"/>
      <c r="S3" s="1049"/>
      <c r="T3" s="1049"/>
      <c r="U3" s="1050"/>
      <c r="V3" s="1050"/>
      <c r="W3" s="1049"/>
      <c r="X3" s="1049"/>
      <c r="Y3" s="1049"/>
      <c r="Z3" s="1049"/>
      <c r="AA3" s="678"/>
      <c r="AB3" s="678"/>
    </row>
    <row r="4" spans="1:45" ht="18.75" x14ac:dyDescent="0.2">
      <c r="B4" s="1048"/>
      <c r="C4" s="678"/>
      <c r="D4" s="1049"/>
      <c r="E4" s="1049"/>
      <c r="F4" s="1049"/>
      <c r="G4" s="1050"/>
      <c r="H4" s="1051"/>
      <c r="I4" s="1052"/>
      <c r="J4" s="1052"/>
      <c r="K4" s="1051"/>
      <c r="L4" s="1051"/>
      <c r="M4" s="678"/>
      <c r="N4" s="1048"/>
      <c r="P4" s="1049"/>
      <c r="Q4" s="1049"/>
      <c r="R4" s="1049"/>
      <c r="S4" s="1049"/>
      <c r="T4" s="1049"/>
      <c r="U4" s="1050"/>
      <c r="V4" s="1050"/>
      <c r="W4" s="1049"/>
      <c r="X4" s="1049"/>
      <c r="Y4" s="1049"/>
      <c r="Z4" s="1049"/>
      <c r="AA4" s="678"/>
      <c r="AB4" s="678"/>
    </row>
    <row r="5" spans="1:45" ht="18.75" x14ac:dyDescent="0.2">
      <c r="B5" s="1053" t="s">
        <v>166</v>
      </c>
      <c r="C5" s="1054"/>
      <c r="D5" s="1055"/>
      <c r="E5" s="1055"/>
      <c r="F5" s="1055"/>
      <c r="G5" s="1056"/>
      <c r="H5" s="1054"/>
      <c r="I5" s="1055"/>
      <c r="J5" s="1055"/>
      <c r="K5" s="1055"/>
      <c r="L5" s="1056"/>
      <c r="M5" s="1057"/>
      <c r="N5" s="678"/>
      <c r="O5" s="1058"/>
      <c r="P5" s="678"/>
      <c r="Q5" s="1059" t="s">
        <v>57</v>
      </c>
      <c r="R5" s="1060"/>
      <c r="S5" s="1061"/>
      <c r="T5" s="1062"/>
      <c r="U5" s="1049"/>
      <c r="V5" s="1050"/>
      <c r="W5" s="1050"/>
      <c r="X5" s="1050"/>
      <c r="Y5" s="1049"/>
      <c r="Z5" s="1049"/>
      <c r="AA5" s="1049"/>
      <c r="AB5" s="678"/>
    </row>
    <row r="6" spans="1:45" x14ac:dyDescent="0.2">
      <c r="B6" s="1063"/>
      <c r="C6" s="1064"/>
      <c r="D6" s="1065"/>
      <c r="E6" s="1065"/>
      <c r="F6" s="1065"/>
      <c r="G6" s="1066"/>
      <c r="H6" s="1067" t="s">
        <v>810</v>
      </c>
      <c r="I6" s="1068"/>
      <c r="J6" s="1069"/>
      <c r="K6" s="1069"/>
      <c r="L6" s="1070"/>
      <c r="M6" s="1071"/>
      <c r="N6" s="678"/>
      <c r="O6" s="1072"/>
      <c r="P6" s="678"/>
      <c r="Q6" s="1073"/>
      <c r="R6" s="1074" t="s">
        <v>254</v>
      </c>
      <c r="S6" s="1074"/>
      <c r="T6" s="1075"/>
      <c r="U6" s="1049"/>
      <c r="V6" s="1050"/>
      <c r="W6" s="1050"/>
      <c r="X6" s="1050"/>
      <c r="Y6" s="1049"/>
      <c r="Z6" s="1049"/>
      <c r="AA6" s="1049"/>
      <c r="AB6" s="678"/>
    </row>
    <row r="7" spans="1:45" x14ac:dyDescent="0.2">
      <c r="B7" s="1076" t="s">
        <v>811</v>
      </c>
      <c r="C7" s="1069"/>
      <c r="D7" s="1077"/>
      <c r="E7" s="1077"/>
      <c r="F7" s="1078"/>
      <c r="G7" s="1064"/>
      <c r="H7" s="1079" t="s">
        <v>812</v>
      </c>
      <c r="I7" s="1065"/>
      <c r="J7" s="1080"/>
      <c r="K7" s="1081"/>
      <c r="L7" s="1065"/>
      <c r="M7" s="1071"/>
      <c r="N7" s="678"/>
      <c r="O7" s="1082"/>
      <c r="P7" s="1049"/>
      <c r="Q7" s="1050"/>
      <c r="R7" s="1050"/>
      <c r="S7" s="1050"/>
      <c r="T7" s="678"/>
      <c r="U7" s="678"/>
      <c r="V7" s="1049"/>
      <c r="W7" s="1049"/>
      <c r="X7" s="1049"/>
      <c r="Y7" s="1049"/>
      <c r="AA7" s="1049"/>
      <c r="AB7" s="678"/>
    </row>
    <row r="8" spans="1:45" x14ac:dyDescent="0.2">
      <c r="B8" s="1063" t="s">
        <v>813</v>
      </c>
      <c r="C8" s="1064"/>
      <c r="D8" s="1065"/>
      <c r="E8" s="1065"/>
      <c r="F8" s="1065"/>
      <c r="G8" s="1065"/>
      <c r="H8" s="1067" t="s">
        <v>814</v>
      </c>
      <c r="I8" s="1068"/>
      <c r="J8" s="1069"/>
      <c r="K8" s="1069"/>
      <c r="L8" s="1070"/>
      <c r="M8" s="1071"/>
      <c r="N8" s="678"/>
      <c r="O8" s="1083"/>
      <c r="P8" s="678"/>
      <c r="Q8" s="1049"/>
      <c r="R8" s="1049"/>
      <c r="S8" s="1049"/>
      <c r="T8" s="1049"/>
      <c r="U8" s="1049"/>
      <c r="V8" s="1084"/>
      <c r="W8" s="1084"/>
      <c r="X8" s="1084"/>
      <c r="Y8" s="1049"/>
      <c r="Z8" s="1049"/>
      <c r="AA8" s="1049"/>
      <c r="AB8" s="678"/>
    </row>
    <row r="9" spans="1:45" x14ac:dyDescent="0.2">
      <c r="B9" s="1076" t="s">
        <v>815</v>
      </c>
      <c r="C9" s="1069"/>
      <c r="D9" s="1077"/>
      <c r="E9" s="1077"/>
      <c r="F9" s="1078"/>
      <c r="G9" s="1065"/>
      <c r="H9" s="1079" t="s">
        <v>816</v>
      </c>
      <c r="I9" s="1065"/>
      <c r="J9" s="1065"/>
      <c r="K9" s="1065"/>
      <c r="L9" s="1065"/>
      <c r="M9" s="1071"/>
      <c r="N9" s="678"/>
      <c r="O9" s="1049"/>
      <c r="P9" s="1049"/>
      <c r="Q9" s="1049"/>
      <c r="R9" s="1049"/>
      <c r="S9" s="1049"/>
      <c r="T9" s="1049"/>
      <c r="U9" s="1049"/>
      <c r="V9" s="678"/>
      <c r="W9" s="678"/>
      <c r="X9" s="678"/>
      <c r="Y9" s="678"/>
      <c r="Z9" s="1049"/>
      <c r="AA9" s="1049"/>
      <c r="AB9" s="678"/>
    </row>
    <row r="10" spans="1:45" x14ac:dyDescent="0.2">
      <c r="B10" s="1063" t="s">
        <v>817</v>
      </c>
      <c r="C10" s="1064"/>
      <c r="D10" s="1065"/>
      <c r="E10" s="1065"/>
      <c r="F10" s="1065"/>
      <c r="G10" s="1065"/>
      <c r="H10" s="1067" t="s">
        <v>818</v>
      </c>
      <c r="I10" s="1068"/>
      <c r="J10" s="1069"/>
      <c r="K10" s="1069"/>
      <c r="L10" s="1070"/>
      <c r="M10" s="1071"/>
      <c r="N10" s="678"/>
      <c r="O10" s="1082"/>
      <c r="P10" s="1049"/>
      <c r="Q10" s="1050"/>
      <c r="R10" s="1050"/>
      <c r="S10" s="1050"/>
      <c r="T10" s="1049"/>
      <c r="U10" s="1049"/>
      <c r="V10" s="1049"/>
      <c r="W10" s="1049"/>
      <c r="X10" s="1049"/>
      <c r="Y10" s="678"/>
      <c r="AA10" s="1049"/>
      <c r="AB10" s="678"/>
    </row>
    <row r="11" spans="1:45" x14ac:dyDescent="0.2">
      <c r="B11" s="1076" t="s">
        <v>819</v>
      </c>
      <c r="C11" s="1069"/>
      <c r="D11" s="1077"/>
      <c r="E11" s="1077"/>
      <c r="F11" s="1078"/>
      <c r="G11" s="1065"/>
      <c r="H11" s="1079" t="s">
        <v>820</v>
      </c>
      <c r="I11" s="1065"/>
      <c r="J11" s="1065"/>
      <c r="K11" s="1065"/>
      <c r="L11" s="1065"/>
      <c r="M11" s="1071"/>
      <c r="N11" s="678"/>
      <c r="O11" s="1082"/>
      <c r="P11" s="1049"/>
      <c r="Q11" s="1050"/>
      <c r="R11" s="1050"/>
      <c r="S11" s="1050"/>
      <c r="T11" s="1049"/>
      <c r="U11" s="1049"/>
      <c r="V11" s="1049"/>
      <c r="W11" s="1049"/>
      <c r="X11" s="1049"/>
      <c r="Y11" s="678"/>
      <c r="AA11" s="1049"/>
      <c r="AB11" s="678"/>
    </row>
    <row r="12" spans="1:45" x14ac:dyDescent="0.2">
      <c r="B12" s="1085"/>
      <c r="C12" s="1086"/>
      <c r="D12" s="1087"/>
      <c r="E12" s="1087"/>
      <c r="F12" s="1087"/>
      <c r="G12" s="1065"/>
      <c r="H12" s="1067" t="s">
        <v>821</v>
      </c>
      <c r="I12" s="1068"/>
      <c r="J12" s="1069"/>
      <c r="K12" s="1069"/>
      <c r="L12" s="1070"/>
      <c r="M12" s="1071"/>
      <c r="N12" s="678"/>
      <c r="O12" s="1082"/>
      <c r="P12" s="1049"/>
      <c r="Q12" s="1050"/>
      <c r="R12" s="1050"/>
      <c r="S12" s="1050"/>
      <c r="T12" s="1049"/>
      <c r="U12" s="1049"/>
      <c r="V12" s="1049"/>
      <c r="W12" s="1049"/>
      <c r="X12" s="1049"/>
      <c r="Y12" s="678"/>
      <c r="AA12" s="1049"/>
      <c r="AB12" s="678"/>
    </row>
    <row r="13" spans="1:45" x14ac:dyDescent="0.2">
      <c r="B13" s="1088"/>
      <c r="C13" s="1089"/>
      <c r="D13" s="1090"/>
      <c r="E13" s="1090"/>
      <c r="F13" s="1091"/>
      <c r="G13" s="1091"/>
      <c r="H13" s="1089"/>
      <c r="I13" s="1092"/>
      <c r="J13" s="1089"/>
      <c r="K13" s="1092"/>
      <c r="L13" s="1092"/>
      <c r="M13" s="1093"/>
      <c r="N13" s="678"/>
      <c r="O13" s="1094"/>
      <c r="P13" s="1049"/>
      <c r="Q13" s="1094"/>
      <c r="R13" s="1094"/>
      <c r="S13" s="1094"/>
      <c r="T13" s="1095"/>
      <c r="U13" s="1095"/>
      <c r="V13" s="1049"/>
      <c r="W13" s="1049"/>
      <c r="X13" s="1049"/>
      <c r="Y13" s="678"/>
      <c r="Z13" s="678"/>
      <c r="AA13" s="678"/>
      <c r="AB13" s="678"/>
    </row>
    <row r="14" spans="1:45" x14ac:dyDescent="0.2">
      <c r="A14" s="1094"/>
      <c r="B14" s="1049"/>
      <c r="C14" s="1094"/>
      <c r="D14" s="1095"/>
      <c r="E14" s="1095"/>
      <c r="F14" s="1095"/>
      <c r="G14" s="1095"/>
      <c r="H14" s="1095"/>
      <c r="I14" s="1094"/>
      <c r="J14" s="678"/>
      <c r="K14" s="1049"/>
      <c r="L14" s="1094"/>
      <c r="M14" s="678"/>
      <c r="N14" s="678"/>
      <c r="P14" s="1049"/>
      <c r="Q14" s="1094"/>
      <c r="R14" s="1095"/>
      <c r="S14" s="1095"/>
      <c r="T14" s="1095"/>
      <c r="U14" s="1095"/>
      <c r="V14" s="1095"/>
      <c r="W14" s="1094"/>
      <c r="X14" s="1094"/>
      <c r="Y14" s="1094"/>
      <c r="Z14" s="678"/>
      <c r="AA14" s="678"/>
      <c r="AB14" s="678"/>
    </row>
    <row r="15" spans="1:45" x14ac:dyDescent="0.2">
      <c r="A15" s="1094"/>
      <c r="B15" s="1049"/>
      <c r="C15" s="1094"/>
      <c r="D15" s="1095"/>
      <c r="E15" s="1095"/>
      <c r="F15" s="1095"/>
      <c r="G15" s="1095"/>
      <c r="H15" s="1095"/>
      <c r="I15" s="1094"/>
      <c r="J15" s="1094"/>
      <c r="K15" s="1049"/>
      <c r="L15" s="1094"/>
      <c r="M15" s="1094"/>
      <c r="N15" s="678"/>
      <c r="P15" s="678"/>
      <c r="Q15" s="678"/>
      <c r="R15" s="1049"/>
      <c r="S15" s="1094"/>
      <c r="T15" s="1095"/>
      <c r="U15" s="1095"/>
      <c r="V15" s="1095"/>
      <c r="W15" s="1095"/>
      <c r="X15" s="1095"/>
      <c r="Y15" s="1095"/>
      <c r="Z15" s="1094"/>
      <c r="AA15" s="1094"/>
      <c r="AB15" s="678"/>
      <c r="AK15" s="1095"/>
      <c r="AL15" s="1049"/>
      <c r="AM15" s="1094"/>
      <c r="AN15" s="1094"/>
      <c r="AO15" s="1094"/>
      <c r="AP15" s="1094"/>
      <c r="AS15" s="1094"/>
    </row>
    <row r="16" spans="1:45" x14ac:dyDescent="0.2">
      <c r="A16" s="1094"/>
      <c r="B16" s="1049"/>
      <c r="C16" s="1094"/>
      <c r="D16" s="1095"/>
      <c r="E16" s="1095"/>
      <c r="F16" s="1095"/>
      <c r="G16" s="1095"/>
      <c r="H16" s="1095"/>
      <c r="I16" s="1094"/>
      <c r="J16" s="1094"/>
      <c r="K16" s="1049"/>
      <c r="L16" s="1094"/>
      <c r="M16" s="1094"/>
      <c r="N16" s="678"/>
      <c r="P16" s="678"/>
      <c r="Q16" s="678"/>
      <c r="R16" s="1049"/>
      <c r="S16" s="1094"/>
      <c r="T16" s="1095"/>
      <c r="U16" s="1095"/>
      <c r="V16" s="1095"/>
      <c r="W16" s="1095"/>
      <c r="X16" s="1095"/>
      <c r="Y16" s="1095"/>
      <c r="Z16" s="1094"/>
      <c r="AA16" s="1094"/>
      <c r="AB16" s="678"/>
      <c r="AK16" s="1095"/>
      <c r="AL16" s="1049"/>
      <c r="AM16" s="1094"/>
      <c r="AN16" s="1094"/>
      <c r="AO16" s="1094"/>
      <c r="AP16" s="1094"/>
      <c r="AS16" s="1094"/>
    </row>
    <row r="17" spans="1:43" ht="20.25" x14ac:dyDescent="0.3">
      <c r="A17" s="1094"/>
      <c r="B17" s="1096" t="s">
        <v>186</v>
      </c>
      <c r="C17" s="1097" t="s">
        <v>822</v>
      </c>
      <c r="D17" s="1098"/>
      <c r="E17" s="1098"/>
      <c r="F17" s="1098"/>
      <c r="G17" s="1098"/>
      <c r="H17" s="1098"/>
      <c r="I17" s="1099"/>
      <c r="J17" s="1099"/>
      <c r="K17" s="1098"/>
      <c r="L17" s="1099"/>
      <c r="M17" s="1099"/>
      <c r="N17" s="1100"/>
      <c r="O17" s="1100"/>
      <c r="P17" s="1096" t="s">
        <v>188</v>
      </c>
      <c r="Q17" s="1097" t="s">
        <v>823</v>
      </c>
      <c r="R17" s="1098"/>
      <c r="S17" s="1098"/>
      <c r="T17" s="1098"/>
      <c r="U17" s="1098"/>
      <c r="V17" s="1098"/>
      <c r="W17" s="1099"/>
      <c r="X17" s="1099"/>
      <c r="Y17" s="1099"/>
      <c r="Z17" s="1100"/>
      <c r="AA17" s="1100"/>
      <c r="AB17" s="1100"/>
      <c r="AD17" s="1193" t="s">
        <v>866</v>
      </c>
      <c r="AE17" s="1192" t="s">
        <v>824</v>
      </c>
      <c r="AF17" s="1192"/>
      <c r="AG17" s="1192"/>
      <c r="AH17" s="1192"/>
      <c r="AI17" s="1192"/>
      <c r="AJ17" s="1192"/>
      <c r="AK17" s="1097"/>
      <c r="AL17" s="1049"/>
      <c r="AM17" s="1094"/>
      <c r="AN17" s="1101"/>
      <c r="AQ17" s="1101"/>
    </row>
    <row r="18" spans="1:43" x14ac:dyDescent="0.2">
      <c r="A18" s="1094"/>
      <c r="B18" s="1049"/>
      <c r="C18" s="1094"/>
      <c r="D18" s="1095"/>
      <c r="E18" s="1095"/>
      <c r="F18" s="1095"/>
      <c r="G18" s="1095"/>
      <c r="H18" s="1095"/>
      <c r="I18" s="1094"/>
      <c r="J18" s="1102"/>
      <c r="K18" s="1049"/>
      <c r="L18" s="1094"/>
      <c r="M18" s="1094"/>
      <c r="N18" s="1084"/>
      <c r="O18" s="1049"/>
      <c r="P18" s="1049"/>
      <c r="Q18" s="1094"/>
      <c r="R18" s="1095"/>
      <c r="S18" s="1095"/>
      <c r="T18" s="1095"/>
      <c r="U18" s="1095"/>
      <c r="V18" s="1095"/>
      <c r="W18" s="1094"/>
      <c r="X18" s="1094"/>
      <c r="Y18" s="1094"/>
      <c r="Z18" s="1084"/>
      <c r="AA18" s="1049"/>
      <c r="AB18" s="678"/>
      <c r="AD18" s="1049"/>
      <c r="AE18" s="1094"/>
      <c r="AF18" s="1094"/>
      <c r="AG18" s="1094"/>
      <c r="AH18" s="1094"/>
      <c r="AI18" s="1094"/>
      <c r="AJ18" s="1094"/>
      <c r="AK18" s="1094"/>
      <c r="AL18" s="1094"/>
      <c r="AM18" s="1094"/>
      <c r="AN18" s="1094"/>
      <c r="AQ18" s="1094"/>
    </row>
    <row r="19" spans="1:43" x14ac:dyDescent="0.2">
      <c r="A19" s="1103"/>
      <c r="B19" s="1049"/>
      <c r="C19" s="1103"/>
      <c r="D19" s="1104"/>
      <c r="E19" s="1104"/>
      <c r="F19" s="1104"/>
      <c r="G19" s="1104"/>
      <c r="H19" s="1104"/>
      <c r="I19" s="1103"/>
      <c r="J19" s="1103"/>
      <c r="K19" s="1049"/>
      <c r="L19" s="1103"/>
      <c r="M19" s="1103"/>
      <c r="N19" s="1105"/>
      <c r="O19" s="1049"/>
      <c r="P19" s="1049"/>
      <c r="Q19" s="1103"/>
      <c r="R19" s="1104"/>
      <c r="S19" s="1104"/>
      <c r="T19" s="1104"/>
      <c r="U19" s="1104"/>
      <c r="V19" s="1104"/>
      <c r="W19" s="1103"/>
      <c r="X19" s="1103"/>
      <c r="Y19" s="1103"/>
      <c r="Z19" s="1105"/>
      <c r="AA19" s="1049"/>
      <c r="AB19" s="678"/>
    </row>
    <row r="20" spans="1:43" x14ac:dyDescent="0.2">
      <c r="A20" s="678">
        <f>MAX($A$1:A19)+1</f>
        <v>1</v>
      </c>
      <c r="B20" s="1106" t="str">
        <f>IF(ISBLANK(INDEX(ReliabilityGroup,A20,2)),"Not Used",INDEX(ReliabilityGroup,A20,2))</f>
        <v>SB Off-ramp to Ave 280</v>
      </c>
      <c r="C20" s="1049"/>
      <c r="D20" s="1049"/>
      <c r="E20" s="1049"/>
      <c r="F20" s="1049"/>
      <c r="G20" s="1049"/>
      <c r="H20" s="1049"/>
      <c r="I20" s="1102"/>
      <c r="K20" s="1107"/>
      <c r="L20" s="1102"/>
      <c r="M20" s="1102"/>
      <c r="N20" s="1049"/>
      <c r="O20" s="1045">
        <f>MAX($O$1:O19)+1</f>
        <v>1</v>
      </c>
      <c r="P20" s="1106" t="str">
        <f>IF(ISBLANK(INDEX(ReliabilityGroup,O20,2)),"Not Used",INDEX(ReliabilityGroup,O20,2))</f>
        <v>SB Off-ramp to Ave 280</v>
      </c>
      <c r="Q20" s="1049"/>
      <c r="R20" s="1049"/>
      <c r="S20" s="1049"/>
      <c r="T20" s="1049"/>
      <c r="U20" s="1049"/>
      <c r="V20" s="1049"/>
      <c r="W20" s="1102"/>
      <c r="X20" s="1102"/>
      <c r="Y20" s="1102"/>
      <c r="Z20" s="1049"/>
      <c r="AA20" s="1049"/>
      <c r="AB20" s="1049"/>
    </row>
    <row r="21" spans="1:43" x14ac:dyDescent="0.2">
      <c r="B21" s="1049"/>
      <c r="C21" s="1049"/>
      <c r="D21" s="1108"/>
      <c r="E21" s="1108"/>
      <c r="F21" s="1108"/>
      <c r="G21" s="1108"/>
      <c r="H21" s="1108"/>
      <c r="I21" s="1109"/>
      <c r="J21" s="1049"/>
      <c r="K21" s="1109"/>
      <c r="L21" s="1049"/>
      <c r="M21" s="1049"/>
      <c r="N21" s="1105"/>
      <c r="P21" s="1049"/>
      <c r="Q21" s="1049"/>
      <c r="R21" s="1108"/>
      <c r="S21" s="1108"/>
      <c r="T21" s="1108"/>
      <c r="U21" s="1108"/>
      <c r="V21" s="1108"/>
      <c r="W21" s="1049"/>
      <c r="X21" s="1049"/>
      <c r="Y21" s="1049"/>
      <c r="Z21" s="1049"/>
      <c r="AA21" s="1049"/>
      <c r="AB21" s="1105"/>
      <c r="AM21" s="1110"/>
    </row>
    <row r="22" spans="1:43" ht="15.75" x14ac:dyDescent="0.2">
      <c r="B22" s="1111"/>
      <c r="C22" s="681" t="s">
        <v>332</v>
      </c>
      <c r="D22" s="1112"/>
      <c r="E22" s="681" t="s">
        <v>272</v>
      </c>
      <c r="F22" s="1112"/>
      <c r="G22" s="681" t="s">
        <v>825</v>
      </c>
      <c r="H22" s="1113"/>
      <c r="I22" s="852" t="s">
        <v>826</v>
      </c>
      <c r="J22" s="1112"/>
      <c r="K22" s="852" t="s">
        <v>827</v>
      </c>
      <c r="L22" s="1114"/>
      <c r="M22" s="1115"/>
      <c r="N22" s="1116"/>
      <c r="P22" s="1111"/>
      <c r="Q22" s="681" t="s">
        <v>332</v>
      </c>
      <c r="R22" s="1112"/>
      <c r="S22" s="681" t="s">
        <v>272</v>
      </c>
      <c r="T22" s="1112"/>
      <c r="U22" s="681" t="s">
        <v>825</v>
      </c>
      <c r="V22" s="1113"/>
      <c r="W22" s="852" t="s">
        <v>826</v>
      </c>
      <c r="X22" s="1112"/>
      <c r="Y22" s="852" t="s">
        <v>827</v>
      </c>
      <c r="Z22" s="1114"/>
      <c r="AA22" s="1186"/>
      <c r="AB22" s="1116"/>
      <c r="AD22" s="1185" t="s">
        <v>588</v>
      </c>
      <c r="AE22" s="1117">
        <v>1</v>
      </c>
      <c r="AF22" s="1117">
        <v>2</v>
      </c>
      <c r="AG22" s="1117">
        <v>3</v>
      </c>
      <c r="AH22" s="1117">
        <v>4</v>
      </c>
      <c r="AI22" s="1117">
        <v>5</v>
      </c>
      <c r="AJ22" s="1117">
        <v>6</v>
      </c>
      <c r="AL22" s="1118" t="s">
        <v>39</v>
      </c>
      <c r="AM22" s="1119"/>
      <c r="AN22" s="1118"/>
      <c r="AQ22" s="1120"/>
    </row>
    <row r="23" spans="1:43" ht="15.75" x14ac:dyDescent="0.2">
      <c r="B23" s="1121"/>
      <c r="C23" s="1188" t="s">
        <v>828</v>
      </c>
      <c r="D23" s="1189"/>
      <c r="E23" s="688" t="s">
        <v>276</v>
      </c>
      <c r="F23" s="1122"/>
      <c r="G23" s="688" t="s">
        <v>829</v>
      </c>
      <c r="H23" s="1123"/>
      <c r="I23" s="1124" t="s">
        <v>830</v>
      </c>
      <c r="J23" s="1122"/>
      <c r="K23" s="1125" t="s">
        <v>831</v>
      </c>
      <c r="L23" s="687"/>
      <c r="M23" s="1126"/>
      <c r="N23" s="1127"/>
      <c r="P23" s="1121"/>
      <c r="Q23" s="1188" t="s">
        <v>828</v>
      </c>
      <c r="R23" s="1189"/>
      <c r="S23" s="688" t="s">
        <v>276</v>
      </c>
      <c r="T23" s="1122"/>
      <c r="U23" s="688" t="s">
        <v>829</v>
      </c>
      <c r="V23" s="1123"/>
      <c r="W23" s="1124" t="s">
        <v>830</v>
      </c>
      <c r="X23" s="1122"/>
      <c r="Y23" s="1125" t="s">
        <v>831</v>
      </c>
      <c r="Z23" s="687"/>
      <c r="AA23" s="1126"/>
      <c r="AB23" s="1127"/>
      <c r="AD23" s="1121"/>
      <c r="AE23" s="1785" t="str">
        <f t="shared" ref="AE23:AJ23" si="0">IF(ISBLANK(INDEX(ReliabilityModelGroup,AE22,1)),"Not Used",INDEX(ReliabilityModelGroup,AE22,1))</f>
        <v>SB Off-ramp to Ave 280</v>
      </c>
      <c r="AF23" s="1785" t="str">
        <f t="shared" si="0"/>
        <v>SB On-ramp from Ave 280</v>
      </c>
      <c r="AG23" s="1785" t="str">
        <f t="shared" si="0"/>
        <v>NB Off-ramp to Ave 280</v>
      </c>
      <c r="AH23" s="1785" t="str">
        <f t="shared" si="0"/>
        <v>NB On-ramp from Ave 280</v>
      </c>
      <c r="AI23" s="1785" t="str">
        <f t="shared" si="0"/>
        <v>NB Mainline</v>
      </c>
      <c r="AJ23" s="1785" t="str">
        <f t="shared" si="0"/>
        <v>SB Mainline</v>
      </c>
      <c r="AL23" s="1128" t="s">
        <v>204</v>
      </c>
      <c r="AM23" s="1119"/>
      <c r="AN23" s="1128"/>
      <c r="AQ23" s="1120"/>
    </row>
    <row r="24" spans="1:43" ht="15" x14ac:dyDescent="0.2">
      <c r="B24" s="1129" t="s">
        <v>34</v>
      </c>
      <c r="C24" s="1130"/>
      <c r="D24" s="692"/>
      <c r="E24" s="1130"/>
      <c r="F24" s="692"/>
      <c r="G24" s="1130"/>
      <c r="H24" s="692"/>
      <c r="I24" s="688" t="s">
        <v>832</v>
      </c>
      <c r="J24" s="1122"/>
      <c r="K24" s="1130" t="s">
        <v>207</v>
      </c>
      <c r="L24" s="692" t="s">
        <v>231</v>
      </c>
      <c r="M24" s="1131" t="s">
        <v>208</v>
      </c>
      <c r="N24" s="1128" t="s">
        <v>39</v>
      </c>
      <c r="P24" s="1129" t="s">
        <v>34</v>
      </c>
      <c r="Q24" s="1190"/>
      <c r="R24" s="1191"/>
      <c r="S24" s="1130"/>
      <c r="T24" s="692"/>
      <c r="U24" s="1130"/>
      <c r="V24" s="692"/>
      <c r="W24" s="688" t="s">
        <v>832</v>
      </c>
      <c r="X24" s="1122"/>
      <c r="Y24" s="1130" t="s">
        <v>207</v>
      </c>
      <c r="Z24" s="692" t="s">
        <v>231</v>
      </c>
      <c r="AA24" s="1131" t="s">
        <v>208</v>
      </c>
      <c r="AB24" s="1128" t="s">
        <v>39</v>
      </c>
      <c r="AD24" s="1129" t="s">
        <v>34</v>
      </c>
      <c r="AE24" s="1785"/>
      <c r="AF24" s="1785"/>
      <c r="AG24" s="1785"/>
      <c r="AH24" s="1785"/>
      <c r="AI24" s="1785"/>
      <c r="AJ24" s="1785"/>
      <c r="AL24" s="1128" t="s">
        <v>833</v>
      </c>
      <c r="AM24" s="1119"/>
      <c r="AN24" s="1128" t="s">
        <v>208</v>
      </c>
      <c r="AQ24" s="1132"/>
    </row>
    <row r="25" spans="1:43" ht="15" x14ac:dyDescent="0.2">
      <c r="B25" s="1133"/>
      <c r="C25" s="1134" t="s">
        <v>74</v>
      </c>
      <c r="D25" s="696" t="s">
        <v>125</v>
      </c>
      <c r="E25" s="1134" t="s">
        <v>74</v>
      </c>
      <c r="F25" s="696" t="s">
        <v>125</v>
      </c>
      <c r="G25" s="1134" t="s">
        <v>74</v>
      </c>
      <c r="H25" s="696" t="s">
        <v>125</v>
      </c>
      <c r="I25" s="1134" t="s">
        <v>74</v>
      </c>
      <c r="J25" s="696" t="s">
        <v>125</v>
      </c>
      <c r="K25" s="1134" t="s">
        <v>211</v>
      </c>
      <c r="L25" s="696" t="s">
        <v>233</v>
      </c>
      <c r="M25" s="1135" t="s">
        <v>48</v>
      </c>
      <c r="N25" s="1136" t="s">
        <v>49</v>
      </c>
      <c r="P25" s="1133"/>
      <c r="Q25" s="1134" t="s">
        <v>74</v>
      </c>
      <c r="R25" s="696" t="s">
        <v>125</v>
      </c>
      <c r="S25" s="1134" t="s">
        <v>74</v>
      </c>
      <c r="T25" s="696" t="s">
        <v>125</v>
      </c>
      <c r="U25" s="1134" t="s">
        <v>74</v>
      </c>
      <c r="V25" s="696" t="s">
        <v>125</v>
      </c>
      <c r="W25" s="1134" t="s">
        <v>74</v>
      </c>
      <c r="X25" s="696" t="s">
        <v>125</v>
      </c>
      <c r="Y25" s="1134" t="s">
        <v>211</v>
      </c>
      <c r="Z25" s="696" t="s">
        <v>233</v>
      </c>
      <c r="AA25" s="1135" t="s">
        <v>48</v>
      </c>
      <c r="AB25" s="1136" t="s">
        <v>49</v>
      </c>
      <c r="AD25" s="1133"/>
      <c r="AE25" s="1786"/>
      <c r="AF25" s="1786"/>
      <c r="AG25" s="1786"/>
      <c r="AH25" s="1786"/>
      <c r="AI25" s="1786"/>
      <c r="AJ25" s="1786"/>
      <c r="AL25" s="1136" t="str">
        <f>IF(Induced="Y","Benefits","Benefits*")</f>
        <v>Benefits</v>
      </c>
      <c r="AM25" s="1119"/>
      <c r="AN25" s="1136" t="s">
        <v>48</v>
      </c>
      <c r="AQ25" s="1132"/>
    </row>
    <row r="26" spans="1:43" x14ac:dyDescent="0.2">
      <c r="B26" s="363">
        <f>YearFirst</f>
        <v>2026</v>
      </c>
      <c r="C26" s="364">
        <f>_xlfn.SINGLE(IF(_xlfn.SINGLE(INDEX(ReliabilityGroup,$A20,1))=Hwy,IFERROR(_xlfn.SINGLE(INDEX(ReliabilityData1NB,$A20,5))*(1-_xlfn.SINGLE(INDEX(ReliabilityData1NB,$A20,3))),0),0))</f>
        <v>2794.3571428571427</v>
      </c>
      <c r="D26" s="365">
        <f>_xlfn.SINGLE(IF(_xlfn.SINGLE(INDEX(ReliabilityGroup,$A20,1))=Hwy,IFERROR(_xlfn.SINGLE(INDEX(ReliabilityData1B,A20,5))*(1-_xlfn.SINGLE(INDEX(ReliabilityData1B,A20,3))),0),0))</f>
        <v>2429.5483870967746</v>
      </c>
      <c r="E26" s="1137">
        <f>_xlfn.SINGLE(IF(_xlfn.SINGLE(INDEX(ReliabilityGroup,A20,1))=Hwy,IFERROR(_xlfn.SINGLE(INDEX(ReliabilityData1NB,A20,4)),0),0))</f>
        <v>42.895833333333336</v>
      </c>
      <c r="F26" s="1138">
        <f>_xlfn.SINGLE(IF(_xlfn.SINGLE(INDEX(ReliabilityGroup,A20,1))=Hwy,IFERROR(_xlfn.SINGLE(INDEX(ReliabilityData1B,A20,4)),0),0))</f>
        <v>42.170212765957444</v>
      </c>
      <c r="G26" s="1198">
        <f>IFERROR(MAX(1/E26-1/INDEX(ReliabilityModelGroup,A20,17), 0),0)</f>
        <v>0</v>
      </c>
      <c r="H26" s="1199">
        <f>IFERROR(MAX(1/F26-1/INDEX(ReliabilityModelGroup,A20,24), 0),0)</f>
        <v>0</v>
      </c>
      <c r="I26" s="1139">
        <f>IFERROR(AlphaSTD*MAX(AlphaTTI*(1+INDEX(ReliabilityModelGroup,A20,17)*G26)^BetaTTI-1,0)^BetaSTD*INDEX(ReliabilityModelGroup,A20,16)/INDEX(ReliabilityModelGroup,A20,17)*INDEX(RelAdjFactors,A20,5),0)</f>
        <v>8.8396575465844946E-4</v>
      </c>
      <c r="J26" s="1140">
        <f>IFERROR(AlphaSTD*MAX(AlphaTTI*(1+INDEX(ReliabilityModelGroup,A20,24)*H26)^BetaTTI-1,0)^BetaSTD*INDEX(ReliabilityModelGroup,A20,23)/INDEX(ReliabilityModelGroup,A20,24)*INDEX(RelAdjFactors,A20,5),0)</f>
        <v>8.3886546105342639E-4</v>
      </c>
      <c r="K26" s="1141">
        <f>MIN(C26*INDEX(ReliabilityModelGroup,A20,18),D26*INDEX(ReliabilityModelGroup,A20,25))*(I26-J26)*(INDEX(ReliabilityModelGroup,A20,12)*AnnualFactor)</f>
        <v>115.98338630243674</v>
      </c>
      <c r="L26" s="1142">
        <f>IF(AND(D26*INDEX(ReliabilityModelGroup,A20,25)&gt;C26*INDEX(ReliabilityModelGroup,A20,18), Induced="Y"), (D26*INDEX(ReliabilityModelGroup,A20,25)-C26*INDEX(ReliabilityModelGroup,A20,18))*(I26-J26)*0.5*(INDEX(ReliabilityModelGroup,A20,12)*AnnualFactor), 0)</f>
        <v>0</v>
      </c>
      <c r="M26" s="1143">
        <f>(K26+L26)*ValTimeAuto*ValRelAuto*IF(IM,ValTimeIMFactor,1)*(1+TTUprater)^($B26-YearCurrent)</f>
        <v>1503.1446864795805</v>
      </c>
      <c r="N26" s="370">
        <f>M26/(1+DiscRate)^(B26-YearCurrent)</f>
        <v>1284.8943777268084</v>
      </c>
      <c r="P26" s="363">
        <f>YearFirst</f>
        <v>2026</v>
      </c>
      <c r="Q26" s="364">
        <f>_xlfn.SINGLE(IF(_xlfn.SINGLE(INDEX(ReliabilityGroup,$O20,1))=Hwy,IFERROR(_xlfn.SINGLE(INDEX(ReliabilityData1NB,$O20,5))*_xlfn.SINGLE(INDEX(ReliabilityData1NB,$O20,3)),0),0))</f>
        <v>882.42857142857122</v>
      </c>
      <c r="R26" s="365">
        <f>_xlfn.SINGLE(IF(_xlfn.SINGLE(INDEX(ReliabilityGroup,$O20,1))=Hwy,IFERROR(_xlfn.SINGLE(INDEX(ReliabilityData1B,$O20,5))*_xlfn.SINGLE(INDEX(ReliabilityData1B,$O20,3)),0),0))</f>
        <v>767.22580645161293</v>
      </c>
      <c r="S26" s="1137">
        <f>_xlfn.SINGLE(IF(_xlfn.SINGLE(INDEX(ReliabilityGroup,O20,1))=Hwy,IFERROR(_xlfn.SINGLE(INDEX(ReliabilityData1NB,O20,4)),0),0))</f>
        <v>42.895833333333336</v>
      </c>
      <c r="T26" s="1138">
        <f>_xlfn.SINGLE(IF(_xlfn.SINGLE(INDEX(ReliabilityGroup,O20,1))=Hwy,IFERROR(_xlfn.SINGLE(INDEX(ReliabilityData1B,O20,4)),0),0))</f>
        <v>42.170212765957444</v>
      </c>
      <c r="U26" s="1198">
        <f>IFERROR(MAX(1/S26-1/INDEX(ReliabilityModelGroup,O20,17), 0),0)</f>
        <v>0</v>
      </c>
      <c r="V26" s="1199">
        <f>IFERROR(MAX(1/T26-1/INDEX(ReliabilityModelGroup,O20,24), 0),0)</f>
        <v>0</v>
      </c>
      <c r="W26" s="1139">
        <f>IFERROR(AlphaSTD*MAX(AlphaTTI*(1+INDEX(ReliabilityModelGroup,O20,17)*U26)^BetaTTI-1,0)^BetaSTD*INDEX(ReliabilityModelGroup,O20,16)/INDEX(ReliabilityModelGroup,O20,17)*INDEX(RelAdjFactors,O20,15),0)</f>
        <v>8.8396575465844946E-4</v>
      </c>
      <c r="X26" s="1140">
        <f>IFERROR(AlphaSTD*MAX(AlphaTTI*(1+INDEX(ReliabilityModelGroup,O20,24)*V26)^BetaTTI-1,0)^BetaSTD*INDEX(ReliabilityModelGroup,O20,23)/INDEX(ReliabilityModelGroup,O20,24)*INDEX(RelAdjFactors,O20,15),0)</f>
        <v>8.3886546105342639E-4</v>
      </c>
      <c r="Y26" s="1141">
        <f>MIN(Q26,R26)*(W26-X26)*(INDEX(ReliabilityModelGroup,A20,12)*AnnualFactor)</f>
        <v>25.259539666592389</v>
      </c>
      <c r="Z26" s="1142">
        <f>IF(AND(R26&gt;Q26, Induced="Y"), (R26-Q26)*(W26-X26)*0.5*(INDEX(ReliabilityModelGroup,A20,12)*AnnualFactor), 0)</f>
        <v>0</v>
      </c>
      <c r="AA26" s="1143">
        <f>(Y26+Z26)*ValTimeTruck*ValRelTruck*IF(IM,ValTimeIMFactor,1)*(1+TTUprater)^($B26-YearCurrent)</f>
        <v>997.49922143373351</v>
      </c>
      <c r="AB26" s="370">
        <f>AA26/(1+DiscRate)^(P26-YearCurrent)</f>
        <v>852.66651503044375</v>
      </c>
      <c r="AD26" s="375">
        <f>YearOpen</f>
        <v>2026</v>
      </c>
      <c r="AE26" s="376">
        <f t="shared" ref="AE26:AE45" ca="1" si="1">OFFSET($N9,MATCH(AE$22,$A:$A),0)</f>
        <v>1284.8943777268075</v>
      </c>
      <c r="AF26" s="376">
        <f t="shared" ref="AF26:AJ35" ca="1" si="2">OFFSET($N9,MATCH(AF$22,$A:$A),0)</f>
        <v>3015.5148550530234</v>
      </c>
      <c r="AG26" s="376">
        <f t="shared" ca="1" si="2"/>
        <v>13565.295082711093</v>
      </c>
      <c r="AH26" s="376">
        <f t="shared" ca="1" si="2"/>
        <v>27784.219096304096</v>
      </c>
      <c r="AI26" s="376">
        <f t="shared" ca="1" si="2"/>
        <v>25434.966927647583</v>
      </c>
      <c r="AJ26" s="376">
        <f t="shared" ca="1" si="2"/>
        <v>0</v>
      </c>
      <c r="AL26" s="370">
        <f t="shared" ref="AL26:AL42" ca="1" si="3">IF(Reliability="N", 0, SUM(AE26:AK26,AE59:AK59))</f>
        <v>114729.20157319117</v>
      </c>
      <c r="AM26" s="377"/>
      <c r="AN26" s="370">
        <f t="shared" ref="AN26:AN45" ca="1" si="4">AL26/(1+DiscRate)^(AD26-YearCurrent)</f>
        <v>98071.002338258011</v>
      </c>
      <c r="AQ26" s="1144"/>
    </row>
    <row r="27" spans="1:43" x14ac:dyDescent="0.2">
      <c r="B27" s="379">
        <f>YearLast</f>
        <v>2046</v>
      </c>
      <c r="C27" s="380">
        <f>_xlfn.SINGLE(IF(_xlfn.SINGLE(INDEX(ReliabilityGroup,$A20,1))=Hwy,IFERROR(_xlfn.SINGLE(INDEX(ReliabilityData20NB,$A20,5))*(1-_xlfn.SINGLE(INDEX(ReliabilityData20NB,$A20,3))),0),0))</f>
        <v>3513.6428571428569</v>
      </c>
      <c r="D27" s="1145">
        <f>_xlfn.SINGLE(IF(_xlfn.SINGLE(INDEX(ReliabilityGroup,$A20,1))=Hwy,IFERROR(_xlfn.SINGLE(INDEX(ReliabilityData20B,$A20,5))*(1-_xlfn.SINGLE(INDEX(ReliabilityData20B,$A20,3))),0),0))</f>
        <v>3511.9354838709678</v>
      </c>
      <c r="E27" s="1137">
        <f>_xlfn.SINGLE(IF(_xlfn.SINGLE(INDEX(ReliabilityGroup,A20,1))=Hwy,IFERROR(_xlfn.SINGLE(INDEX(ReliabilityData20NB,A20,4)),0),0))</f>
        <v>41.758064516129032</v>
      </c>
      <c r="F27" s="1022">
        <f>_xlfn.SINGLE(IF(_xlfn.SINGLE(INDEX(ReliabilityGroup,A20,1))=Hwy,IFERROR(_xlfn.SINGLE(INDEX(ReliabilityData20B,A20,4)),0),0))</f>
        <v>42.132352941176471</v>
      </c>
      <c r="G27" s="1139">
        <f>IFERROR(MAX(1/E27-1/INDEX(ReliabilityModelGroup,A20,17), 0),0)</f>
        <v>0</v>
      </c>
      <c r="H27" s="1140">
        <f>IFERROR(MAX(1/F27-1/INDEX(ReliabilityModelGroup,A20,24), 0),0)</f>
        <v>0</v>
      </c>
      <c r="I27" s="1139">
        <f>IFERROR(AlphaSTD*MAX(AlphaTTI*(1+INDEX(ReliabilityModelGroup,A20,17)*G27)^BetaTTI-1,0)^BetaSTD*INDEX(ReliabilityModelGroup,A20,16)/INDEX(ReliabilityModelGroup,A20,17)*INDEX(RelAdjFactors,A20,5),0)</f>
        <v>8.8396575465844946E-4</v>
      </c>
      <c r="J27" s="1140">
        <f>IFERROR(AlphaSTD*MAX(AlphaTTI*(1+INDEX(ReliabilityModelGroup,A20,24)*H27)^BetaTTI-1,0)^BetaSTD*INDEX(ReliabilityModelGroup,A20,23)/INDEX(ReliabilityModelGroup,A20,24)*INDEX(RelAdjFactors,A20,5),0)</f>
        <v>8.3886546105342639E-4</v>
      </c>
      <c r="K27" s="1146">
        <f>MIN(C27*INDEX(ReliabilityModelGroup,A20,18),D27*INDEX(ReliabilityModelGroup,A20,25))*(I27-J27)*(INDEX(ReliabilityModelGroup,A20,12)*AnnualFactor)</f>
        <v>167.65509674898144</v>
      </c>
      <c r="L27" s="1147">
        <f>IF(AND(D27*INDEX(ReliabilityModelGroup,A20,25)&gt;C27*INDEX(ReliabilityModelGroup,A20,18), Induced="Y"), (D27*INDEX(ReliabilityModelGroup,A20,25)-C27*INDEX(ReliabilityModelGroup,A20,18))*(I27-J27)*0.5*(INDEX(ReliabilityModelGroup,A20,12)*AnnualFactor), 0)</f>
        <v>0</v>
      </c>
      <c r="M27" s="1143">
        <f>(K27+L27)*ValTimeAuto*ValRelAuto*IF(IM,ValTimeIMFactor,1)*(1+TTUprater)^($B27-YearCurrent)</f>
        <v>2172.8100538668</v>
      </c>
      <c r="N27" s="370">
        <f>M27/(1+DiscRate)^(B27-YearCurrent)</f>
        <v>847.65986168424797</v>
      </c>
      <c r="P27" s="379">
        <f>YearLast</f>
        <v>2046</v>
      </c>
      <c r="Q27" s="380">
        <f>_xlfn.SINGLE(IF(_xlfn.SINGLE(INDEX(ReliabilityGroup,$O20,1))=Hwy,IFERROR(_xlfn.SINGLE(INDEX(ReliabilityData20NB,$O20,5))*_xlfn.SINGLE(INDEX(ReliabilityData20NB,$O20,3)),0),0))</f>
        <v>1109.5714285714284</v>
      </c>
      <c r="R27" s="1145">
        <f>_xlfn.SINGLE(IF(_xlfn.SINGLE(INDEX(ReliabilityGroup,$O20,1))=Hwy,IFERROR(_xlfn.SINGLE(INDEX(ReliabilityData20B,$O20,5))*_xlfn.SINGLE(INDEX(ReliabilityData20B,$O20,3)),0),0))</f>
        <v>1109.0322580645161</v>
      </c>
      <c r="S27" s="1137">
        <f>_xlfn.SINGLE(IF(_xlfn.SINGLE(INDEX(ReliabilityGroup,O20,1))=Hwy,IFERROR(_xlfn.SINGLE(INDEX(ReliabilityData20NB,O20,4)),0),0))</f>
        <v>41.758064516129032</v>
      </c>
      <c r="T27" s="1022">
        <f>_xlfn.SINGLE(IF(_xlfn.SINGLE(INDEX(ReliabilityGroup,O20,1))=Hwy,IFERROR(_xlfn.SINGLE(INDEX(ReliabilityData20B,O20,4)),0),0))</f>
        <v>42.132352941176471</v>
      </c>
      <c r="U27" s="1139">
        <f>IFERROR(MAX(1/S27-1/INDEX(ReliabilityModelGroup,O20,17), 0),0)</f>
        <v>0</v>
      </c>
      <c r="V27" s="1140">
        <f>IFERROR(MAX(1/T27-1/INDEX(ReliabilityModelGroup,O20,24), 0),0)</f>
        <v>0</v>
      </c>
      <c r="W27" s="1139">
        <f>IFERROR(AlphaSTD*MAX(AlphaTTI*(1+INDEX(ReliabilityModelGroup,O20,17)*U27)^BetaTTI-1,0)^BetaSTD*INDEX(ReliabilityModelGroup,O20,16)/INDEX(ReliabilityModelGroup,O20,17)*INDEX(RelAdjFactors,O20,15),0)</f>
        <v>8.8396575465844946E-4</v>
      </c>
      <c r="X27" s="1140">
        <f>IFERROR(AlphaSTD*MAX(AlphaTTI*(1+INDEX(ReliabilityModelGroup,O20,24)*V27)^BetaTTI-1,0)^BetaSTD*INDEX(ReliabilityModelGroup,O20,23)/INDEX(ReliabilityModelGroup,O20,24)*INDEX(RelAdjFactors,O20,15),0)</f>
        <v>8.3886546105342639E-4</v>
      </c>
      <c r="Y27" s="1146">
        <f>MIN(Q27,R27)*(W27-X27)*(INDEX(ReliabilityModelGroup,A20,12)*AnnualFactor)</f>
        <v>36.512906732990508</v>
      </c>
      <c r="Z27" s="1147">
        <f>IF(AND(R27&gt;Q27, Induced="Y"), (R27-Q27)*(W27-X27)*0.5*(INDEX(ReliabilityModelGroup,A20,12)*AnnualFactor), 0)</f>
        <v>0</v>
      </c>
      <c r="AA27" s="1143">
        <f>(Y27+Z27)*ValTimeTruck*ValRelTruck*IF(IM,ValTimeIMFactor,1)*(1+TTUprater)^($B27-YearCurrent)</f>
        <v>1441.8946868857952</v>
      </c>
      <c r="AB27" s="370">
        <f>AA27/(1+DiscRate)^(P27-YearCurrent)</f>
        <v>562.51408109684314</v>
      </c>
      <c r="AD27" s="375">
        <f>AD26+1</f>
        <v>2027</v>
      </c>
      <c r="AE27" s="376">
        <f t="shared" ca="1" si="1"/>
        <v>1262.9961690945286</v>
      </c>
      <c r="AF27" s="376">
        <f t="shared" ca="1" si="2"/>
        <v>2955.1376976656584</v>
      </c>
      <c r="AG27" s="376">
        <f t="shared" ca="1" si="2"/>
        <v>13293.554395958037</v>
      </c>
      <c r="AH27" s="376">
        <f t="shared" ca="1" si="2"/>
        <v>27058.565764916744</v>
      </c>
      <c r="AI27" s="376">
        <f t="shared" ca="1" si="2"/>
        <v>24708.606766137858</v>
      </c>
      <c r="AJ27" s="376">
        <f t="shared" ca="1" si="2"/>
        <v>0</v>
      </c>
      <c r="AL27" s="370">
        <f t="shared" ca="1" si="3"/>
        <v>111792.01670257235</v>
      </c>
      <c r="AM27" s="377"/>
      <c r="AN27" s="370">
        <f t="shared" ca="1" si="4"/>
        <v>91884.888847138398</v>
      </c>
      <c r="AQ27" s="1144"/>
    </row>
    <row r="28" spans="1:43" x14ac:dyDescent="0.2">
      <c r="B28" s="1148"/>
      <c r="C28" s="386"/>
      <c r="D28" s="386"/>
      <c r="E28" s="386"/>
      <c r="F28" s="386"/>
      <c r="G28" s="434"/>
      <c r="H28" s="434"/>
      <c r="I28" s="434"/>
      <c r="J28" s="434"/>
      <c r="K28" s="1149"/>
      <c r="L28" s="1149"/>
      <c r="M28" s="1150"/>
      <c r="N28" s="389"/>
      <c r="P28" s="1148"/>
      <c r="Q28" s="386"/>
      <c r="R28" s="386"/>
      <c r="S28" s="386"/>
      <c r="T28" s="386"/>
      <c r="U28" s="434"/>
      <c r="V28" s="434"/>
      <c r="W28" s="1151"/>
      <c r="X28" s="1152"/>
      <c r="Y28" s="1149"/>
      <c r="Z28" s="1149"/>
      <c r="AA28" s="1150"/>
      <c r="AB28" s="389"/>
      <c r="AD28" s="375">
        <f t="shared" ref="AD28:AD45" si="5">AD27+1</f>
        <v>2028</v>
      </c>
      <c r="AE28" s="376">
        <f t="shared" ca="1" si="1"/>
        <v>1240.8817067213502</v>
      </c>
      <c r="AF28" s="376">
        <f t="shared" ca="1" si="2"/>
        <v>2894.9441162088997</v>
      </c>
      <c r="AG28" s="376">
        <f t="shared" ca="1" si="2"/>
        <v>13022.649834394992</v>
      </c>
      <c r="AH28" s="376">
        <f t="shared" ca="1" si="2"/>
        <v>26347.631004736264</v>
      </c>
      <c r="AI28" s="376">
        <f t="shared" ca="1" si="2"/>
        <v>24000.494772484508</v>
      </c>
      <c r="AJ28" s="376">
        <f t="shared" ca="1" si="2"/>
        <v>0</v>
      </c>
      <c r="AL28" s="370">
        <f t="shared" ca="1" si="3"/>
        <v>108911.05137588705</v>
      </c>
      <c r="AM28" s="377"/>
      <c r="AN28" s="370">
        <f t="shared" ca="1" si="4"/>
        <v>86073.985914905701</v>
      </c>
      <c r="AQ28" s="390"/>
    </row>
    <row r="29" spans="1:43" x14ac:dyDescent="0.2">
      <c r="B29" s="375">
        <f>YearOpen</f>
        <v>2026</v>
      </c>
      <c r="C29" s="393">
        <f>MAX(TREND(C26:C27,$B26:$B27,$B29),0)</f>
        <v>2794.3571428571449</v>
      </c>
      <c r="D29" s="394">
        <f>MAX(TREND(D26:D27,$B26:$B27,$B29),0)</f>
        <v>2429.5483870967728</v>
      </c>
      <c r="E29" s="1153">
        <f>MAX(TREND(E26:E27,$B26:$B27,$B29),0)</f>
        <v>42.895833333333329</v>
      </c>
      <c r="F29" s="1154">
        <f>MAX(TREND(F26:F27,$B26:$B27,$B29),0)</f>
        <v>42.170212765957437</v>
      </c>
      <c r="G29" s="1139">
        <f>IFERROR(MAX(1/E29-1/INDEX(ReliabilityModelGroup,A20,17), 0),0)</f>
        <v>0</v>
      </c>
      <c r="H29" s="1140">
        <f>IFERROR(MAX(1/F29-1/INDEX(ReliabilityModelGroup,A20,24), 0),0)</f>
        <v>0</v>
      </c>
      <c r="I29" s="1139">
        <f>IFERROR(AlphaSTD*MAX(AlphaTTI*(1+INDEX(ReliabilityModelGroup,A20,17)*G29)^BetaTTI-1,0)^BetaSTD*INDEX(ReliabilityModelGroup,A20,16)/INDEX(ReliabilityModelGroup,A20,17)*INDEX(RelAdjFactors,A20,5),0)</f>
        <v>8.8396575465844946E-4</v>
      </c>
      <c r="J29" s="1140">
        <f>IFERROR(AlphaSTD*MAX(AlphaTTI*(1+INDEX(ReliabilityModelGroup,A20,24)*H29)^BetaTTI-1,0)^BetaSTD*INDEX(ReliabilityModelGroup,A20,23)/INDEX(ReliabilityModelGroup,A20,24)*INDEX(RelAdjFactors,A20,5),0)</f>
        <v>8.3886546105342639E-4</v>
      </c>
      <c r="K29" s="1155">
        <f>MIN(C29*INDEX(ReliabilityModelGroup,A20,18),D29*INDEX(ReliabilityModelGroup,A20,25))*(I29-J29)*(INDEX(ReliabilityModelGroup,A20,12)*AnnualFactor)</f>
        <v>115.98338630243666</v>
      </c>
      <c r="L29" s="1142">
        <f>IF(AND(D29*INDEX(ReliabilityModelGroup,A20,25)&gt;C29*INDEX(ReliabilityModelGroup,A20,18), Induced="Y"), (D29*INDEX(ReliabilityModelGroup,A20,25)-C29*INDEX(ReliabilityModelGroup,A20,18))*(I29-J29)*0.5*(INDEX(ReliabilityModelGroup,A20,12)*AnnualFactor), 0)</f>
        <v>0</v>
      </c>
      <c r="M29" s="1143">
        <f t="shared" ref="M29:M48" si="6">(K29+L29)*ValTimeAuto*ValRelAuto*IF(IM,ValTimeIMFactor,1)*(1+TTUprater)^($B29-YearCurrent)</f>
        <v>1503.1446864795794</v>
      </c>
      <c r="N29" s="370">
        <f t="shared" ref="N29:N48" si="7">M29/(1+DiscRate)^(B29-YearCurrent)</f>
        <v>1284.8943777268075</v>
      </c>
      <c r="P29" s="375">
        <f>YearOpen</f>
        <v>2026</v>
      </c>
      <c r="Q29" s="393">
        <f>MAX(TREND(Q26:Q27,$P26:$P27,$P29),0)</f>
        <v>882.42857142857247</v>
      </c>
      <c r="R29" s="394">
        <f>MAX(TREND(R26:R27,$P26:$P27,$P29),0)</f>
        <v>767.22580645161361</v>
      </c>
      <c r="S29" s="1153">
        <f>MAX(TREND(S26:S27,$P26:$P27,$P29),0)</f>
        <v>42.895833333333329</v>
      </c>
      <c r="T29" s="1154">
        <f>MAX(TREND(T26:T27,$P26:$P27,$P29),0)</f>
        <v>42.170212765957437</v>
      </c>
      <c r="U29" s="1139">
        <f>IFERROR(MAX(1/S29-1/INDEX(ReliabilityModelGroup,O20,17), 0),0)</f>
        <v>0</v>
      </c>
      <c r="V29" s="1140">
        <f>IFERROR(MAX(1/T29-1/INDEX(ReliabilityModelGroup,O20,24), 0),0)</f>
        <v>0</v>
      </c>
      <c r="W29" s="1139">
        <f>IFERROR(AlphaSTD*MAX(AlphaTTI*(1+INDEX(ReliabilityModelGroup,O20,17)*U29)^BetaTTI-1,0)^BetaSTD*INDEX(ReliabilityModelGroup,O20,16)/INDEX(ReliabilityModelGroup,O20,17)*INDEX(RelAdjFactors,O20,15),0)</f>
        <v>8.8396575465844946E-4</v>
      </c>
      <c r="X29" s="1140">
        <f>IFERROR(AlphaSTD*MAX(AlphaTTI*(1+INDEX(ReliabilityModelGroup,O20,24)*V29)^BetaTTI-1,0)^BetaSTD*INDEX(ReliabilityModelGroup,O20,23)/INDEX(ReliabilityModelGroup,O20,24)*INDEX(RelAdjFactors,O20,15),0)</f>
        <v>8.3886546105342639E-4</v>
      </c>
      <c r="Y29" s="1155">
        <f>MIN(Q29,R29)*(W29-X29)*(INDEX(ReliabilityModelGroup,A20,12)*AnnualFactor)</f>
        <v>25.25953966659241</v>
      </c>
      <c r="Z29" s="1142">
        <f>IF(AND(R29&gt;Q29, Induced="Y"), (R29-Q29)*(W29-X29)*0.5*(INDEX(ReliabilityModelGroup,A20,12)*AnnualFactor), 0)</f>
        <v>0</v>
      </c>
      <c r="AA29" s="1143">
        <f t="shared" ref="AA29:AA48" si="8">(Y29+Z29)*ValTimeTruck*ValRelTruck*IF(IM,ValTimeIMFactor,1)*(1+TTUprater)^($B29-YearCurrent)</f>
        <v>997.49922143373431</v>
      </c>
      <c r="AB29" s="370">
        <f t="shared" ref="AB29:AB48" si="9">AA29/(1+DiscRate)^(P29-YearCurrent)</f>
        <v>852.66651503044443</v>
      </c>
      <c r="AD29" s="375">
        <f t="shared" si="5"/>
        <v>2029</v>
      </c>
      <c r="AE29" s="376">
        <f t="shared" ca="1" si="1"/>
        <v>1218.60001931017</v>
      </c>
      <c r="AF29" s="376">
        <f t="shared" ca="1" si="2"/>
        <v>2835.0093047788964</v>
      </c>
      <c r="AG29" s="376">
        <f t="shared" ca="1" si="2"/>
        <v>12752.91906396416</v>
      </c>
      <c r="AH29" s="376">
        <f t="shared" ca="1" si="2"/>
        <v>25651.356069651007</v>
      </c>
      <c r="AI29" s="376">
        <f t="shared" ca="1" si="2"/>
        <v>23310.301738748076</v>
      </c>
      <c r="AJ29" s="376">
        <f t="shared" ca="1" si="2"/>
        <v>0</v>
      </c>
      <c r="AL29" s="370">
        <f t="shared" ca="1" si="3"/>
        <v>106086.32596086597</v>
      </c>
      <c r="AM29" s="377"/>
      <c r="AN29" s="370">
        <f t="shared" ca="1" si="4"/>
        <v>80616.888834822545</v>
      </c>
      <c r="AQ29" s="1144"/>
    </row>
    <row r="30" spans="1:43" x14ac:dyDescent="0.2">
      <c r="B30" s="375">
        <f>B29+1</f>
        <v>2027</v>
      </c>
      <c r="C30" s="401">
        <f>MAX(TREND(C26:C27,$B26:$B27,$B30),0)</f>
        <v>2830.3214285714348</v>
      </c>
      <c r="D30" s="402">
        <f>MAX(TREND(D26:D27,$B26:$B27,$B30),0)</f>
        <v>2483.6677419354819</v>
      </c>
      <c r="E30" s="725">
        <f>MAX(TREND(E26:E27,$B26:$B27,$B30),0)</f>
        <v>42.838944892473123</v>
      </c>
      <c r="F30" s="726">
        <f>MAX(TREND(F26:F27,$B26:$B27,$B30),0)</f>
        <v>42.168319774718391</v>
      </c>
      <c r="G30" s="1139">
        <f>IFERROR(MAX(1/E30-1/INDEX(ReliabilityModelGroup,A20,17), 0),0)</f>
        <v>0</v>
      </c>
      <c r="H30" s="1140">
        <f>IFERROR(MAX(1/F30-1/INDEX(ReliabilityModelGroup,A20,24), 0),0)</f>
        <v>0</v>
      </c>
      <c r="I30" s="1139">
        <f>IFERROR(AlphaSTD*MAX(AlphaTTI*(1+INDEX(ReliabilityModelGroup,A20,17)*G30)^BetaTTI-1,0)^BetaSTD*INDEX(ReliabilityModelGroup,A20,16)/INDEX(ReliabilityModelGroup,A20,17)*INDEX(RelAdjFactors,A20,5),0)</f>
        <v>8.8396575465844946E-4</v>
      </c>
      <c r="J30" s="1140">
        <f>IFERROR(AlphaSTD*MAX(AlphaTTI*(1+INDEX(ReliabilityModelGroup,A20,24)*H30)^BetaTTI-1,0)^BetaSTD*INDEX(ReliabilityModelGroup,A20,23)/INDEX(ReliabilityModelGroup,A20,24)*INDEX(RelAdjFactors,A20,5),0)</f>
        <v>8.3886546105342639E-4</v>
      </c>
      <c r="K30" s="1156">
        <f>MIN(C30*INDEX(ReliabilityModelGroup,A20,18),D30*INDEX(ReliabilityModelGroup,A20,25))*(I30-J30)*(INDEX(ReliabilityModelGroup,A20,12)*AnnualFactor)</f>
        <v>118.56697182476385</v>
      </c>
      <c r="L30" s="1157">
        <f>IF(AND(D30*INDEX(ReliabilityModelGroup,A20,25)&gt;C30*INDEX(ReliabilityModelGroup,A20,18), Induced="Y"), (D30*INDEX(ReliabilityModelGroup,A20,25)-C30*INDEX(ReliabilityModelGroup,A20,18))*(I30-J30)*0.5*(INDEX(ReliabilityModelGroup,A20,12)*AnnualFactor), 0)</f>
        <v>0</v>
      </c>
      <c r="M30" s="1143">
        <f t="shared" si="6"/>
        <v>1536.6279548489399</v>
      </c>
      <c r="N30" s="370">
        <f t="shared" si="7"/>
        <v>1262.9961690945286</v>
      </c>
      <c r="P30" s="375">
        <f>P29+1</f>
        <v>2027</v>
      </c>
      <c r="Q30" s="401">
        <f>MAX(TREND(Q26:Q27,$P26:$P27,$P30),0)</f>
        <v>893.78571428571377</v>
      </c>
      <c r="R30" s="402">
        <f>MAX(TREND(R26:R27,$P26:$P27,$P30),0)</f>
        <v>784.31612903226051</v>
      </c>
      <c r="S30" s="725">
        <f>MAX(TREND(S26:S27,$P26:$P27,$P30),0)</f>
        <v>42.838944892473123</v>
      </c>
      <c r="T30" s="726">
        <f>MAX(TREND(T26:T27,$P26:$P27,$P30),0)</f>
        <v>42.168319774718391</v>
      </c>
      <c r="U30" s="1139">
        <f>IFERROR(MAX(1/S30-1/INDEX(ReliabilityModelGroup,O20,17), 0),0)</f>
        <v>0</v>
      </c>
      <c r="V30" s="1140">
        <f>IFERROR(MAX(1/T30-1/INDEX(ReliabilityModelGroup,O20,24), 0),0)</f>
        <v>0</v>
      </c>
      <c r="W30" s="1139">
        <f>IFERROR(AlphaSTD*MAX(AlphaTTI*(1+INDEX(ReliabilityModelGroup,O20,17)*U30)^BetaTTI-1,0)^BetaSTD*INDEX(ReliabilityModelGroup,O20,16)/INDEX(ReliabilityModelGroup,O20,17)*INDEX(RelAdjFactors,O20,15),0)</f>
        <v>8.8396575465844946E-4</v>
      </c>
      <c r="X30" s="1140">
        <f>IFERROR(AlphaSTD*MAX(AlphaTTI*(1+INDEX(ReliabilityModelGroup,O20,24)*V30)^BetaTTI-1,0)^BetaSTD*INDEX(ReliabilityModelGroup,O20,23)/INDEX(ReliabilityModelGroup,O20,24)*INDEX(RelAdjFactors,O20,15),0)</f>
        <v>8.3886546105342639E-4</v>
      </c>
      <c r="Y30" s="1156">
        <f>MIN(Q30,R30)*(W30-X30)*(INDEX(ReliabilityModelGroup,A20,12)*AnnualFactor)</f>
        <v>25.822208019912374</v>
      </c>
      <c r="Z30" s="1157">
        <f>IF(AND(R30&gt;Q30, Induced="Y"), (R30-Q30)*(W30-X30)*0.5*(INDEX(ReliabilityModelGroup,A20,12)*AnnualFactor), 0)</f>
        <v>0</v>
      </c>
      <c r="AA30" s="1143">
        <f t="shared" si="8"/>
        <v>1019.7189947063397</v>
      </c>
      <c r="AB30" s="370">
        <f t="shared" si="9"/>
        <v>838.13468302653632</v>
      </c>
      <c r="AD30" s="375">
        <f t="shared" si="5"/>
        <v>2030</v>
      </c>
      <c r="AE30" s="376">
        <f t="shared" ca="1" si="1"/>
        <v>1196.1966840271848</v>
      </c>
      <c r="AF30" s="376">
        <f t="shared" ca="1" si="2"/>
        <v>2775.4024017485235</v>
      </c>
      <c r="AG30" s="376">
        <f t="shared" ca="1" si="2"/>
        <v>12484.672539432668</v>
      </c>
      <c r="AH30" s="376">
        <f t="shared" ca="1" si="2"/>
        <v>24969.664959447091</v>
      </c>
      <c r="AI30" s="376">
        <f t="shared" ca="1" si="2"/>
        <v>22637.696786345608</v>
      </c>
      <c r="AJ30" s="376">
        <f t="shared" ca="1" si="2"/>
        <v>0</v>
      </c>
      <c r="AL30" s="370">
        <f t="shared" ca="1" si="3"/>
        <v>103317.77609348572</v>
      </c>
      <c r="AM30" s="377"/>
      <c r="AN30" s="370">
        <f t="shared" ca="1" si="4"/>
        <v>75493.286994098147</v>
      </c>
      <c r="AQ30" s="1144"/>
    </row>
    <row r="31" spans="1:43" x14ac:dyDescent="0.2">
      <c r="B31" s="375">
        <f t="shared" ref="B31:B48" si="10">B30+1</f>
        <v>2028</v>
      </c>
      <c r="C31" s="401">
        <f>MAX(TREND(C26:C27,$B26:$B27,$B31),0)</f>
        <v>2866.2857142857247</v>
      </c>
      <c r="D31" s="402">
        <f>MAX(TREND(D26:D27,$B26:$B27,$B31),0)</f>
        <v>2537.787096774191</v>
      </c>
      <c r="E31" s="725">
        <f>MAX(TREND(E26:E27,$B26:$B27,$B31),0)</f>
        <v>42.782056451612902</v>
      </c>
      <c r="F31" s="726">
        <f>MAX(TREND(F26:F27,$B26:$B27,$B31),0)</f>
        <v>42.166426783479338</v>
      </c>
      <c r="G31" s="1139">
        <f>IFERROR(MAX(1/E31-1/INDEX(ReliabilityModelGroup,A20,17), 0),0)</f>
        <v>0</v>
      </c>
      <c r="H31" s="1140">
        <f>IFERROR(MAX(1/F31-1/INDEX(ReliabilityModelGroup,A20,24), 0),0)</f>
        <v>0</v>
      </c>
      <c r="I31" s="1139">
        <f>IFERROR(AlphaSTD*MAX(AlphaTTI*(1+INDEX(ReliabilityModelGroup,A20,17)*G31)^BetaTTI-1,0)^BetaSTD*INDEX(ReliabilityModelGroup,A20,16)/INDEX(ReliabilityModelGroup,A20,17)*INDEX(RelAdjFactors,A20,5),0)</f>
        <v>8.8396575465844946E-4</v>
      </c>
      <c r="J31" s="1140">
        <f>IFERROR(AlphaSTD*MAX(AlphaTTI*(1+INDEX(ReliabilityModelGroup,A20,24)*H31)^BetaTTI-1,0)^BetaSTD*INDEX(ReliabilityModelGroup,A20,23)/INDEX(ReliabilityModelGroup,A20,24)*INDEX(RelAdjFactors,A20,5),0)</f>
        <v>8.3886546105342639E-4</v>
      </c>
      <c r="K31" s="1156">
        <f>MIN(C31*INDEX(ReliabilityModelGroup,A20,18),D31*INDEX(ReliabilityModelGroup,A20,25))*(I31-J31)*(INDEX(ReliabilityModelGroup,A20,12)*AnnualFactor)</f>
        <v>121.15055734709107</v>
      </c>
      <c r="L31" s="1157">
        <f>IF(AND(D31*INDEX(ReliabilityModelGroup,A20,25)&gt;C31*INDEX(ReliabilityModelGroup,A20,18), Induced="Y"), (D31*INDEX(ReliabilityModelGroup,A20,25)-C31*INDEX(ReliabilityModelGroup,A20,18))*(I31-J31)*0.5*(INDEX(ReliabilityModelGroup,A20,12)*AnnualFactor), 0)</f>
        <v>0</v>
      </c>
      <c r="M31" s="1143">
        <f t="shared" si="6"/>
        <v>1570.1112232183004</v>
      </c>
      <c r="N31" s="370">
        <f t="shared" si="7"/>
        <v>1240.8817067213502</v>
      </c>
      <c r="P31" s="375">
        <f t="shared" ref="P31:P48" si="11">P30+1</f>
        <v>2028</v>
      </c>
      <c r="Q31" s="401">
        <f>MAX(TREND(Q26:Q27,$P26:$P27,$P31),0)</f>
        <v>905.14285714285506</v>
      </c>
      <c r="R31" s="402">
        <f>MAX(TREND(R26:R27,$P26:$P27,$P31),0)</f>
        <v>801.4064516129074</v>
      </c>
      <c r="S31" s="725">
        <f>MAX(TREND(S26:S27,$P26:$P27,$P31),0)</f>
        <v>42.782056451612902</v>
      </c>
      <c r="T31" s="726">
        <f>MAX(TREND(T26:T27,$P26:$P27,$P31),0)</f>
        <v>42.166426783479338</v>
      </c>
      <c r="U31" s="1139">
        <f>IFERROR(MAX(1/S31-1/INDEX(ReliabilityModelGroup,O20,17), 0),0)</f>
        <v>0</v>
      </c>
      <c r="V31" s="1140">
        <f>IFERROR(MAX(1/T31-1/INDEX(ReliabilityModelGroup,O20,24), 0),0)</f>
        <v>0</v>
      </c>
      <c r="W31" s="1139">
        <f>IFERROR(AlphaSTD*MAX(AlphaTTI*(1+INDEX(ReliabilityModelGroup,O20,17)*U31)^BetaTTI-1,0)^BetaSTD*INDEX(ReliabilityModelGroup,O20,16)/INDEX(ReliabilityModelGroup,O20,17)*INDEX(RelAdjFactors,O20,15),0)</f>
        <v>8.8396575465844946E-4</v>
      </c>
      <c r="X31" s="1140">
        <f>IFERROR(AlphaSTD*MAX(AlphaTTI*(1+INDEX(ReliabilityModelGroup,O20,24)*V31)^BetaTTI-1,0)^BetaSTD*INDEX(ReliabilityModelGroup,O20,23)/INDEX(ReliabilityModelGroup,O20,24)*INDEX(RelAdjFactors,O20,15),0)</f>
        <v>8.3886546105342639E-4</v>
      </c>
      <c r="Y31" s="1156">
        <f>MIN(Q31,R31)*(W31-X31)*(INDEX(ReliabilityModelGroup,A20,12)*AnnualFactor)</f>
        <v>26.384876373232338</v>
      </c>
      <c r="Z31" s="1157">
        <f>IF(AND(R31&gt;Q31, Induced="Y"), (R31-Q31)*(W31-X31)*0.5*(INDEX(ReliabilityModelGroup,A20,12)*AnnualFactor), 0)</f>
        <v>0</v>
      </c>
      <c r="AA31" s="1143">
        <f t="shared" si="8"/>
        <v>1041.938767978945</v>
      </c>
      <c r="AB31" s="370">
        <f t="shared" si="9"/>
        <v>823.45934325513224</v>
      </c>
      <c r="AD31" s="375">
        <f t="shared" si="5"/>
        <v>2031</v>
      </c>
      <c r="AE31" s="376">
        <f t="shared" ca="1" si="1"/>
        <v>1173.7140194770473</v>
      </c>
      <c r="AF31" s="376">
        <f t="shared" ca="1" si="2"/>
        <v>2716.186844358389</v>
      </c>
      <c r="AG31" s="376">
        <f t="shared" ca="1" si="2"/>
        <v>12218.195098054541</v>
      </c>
      <c r="AH31" s="376">
        <f t="shared" ca="1" si="2"/>
        <v>24302.465833948714</v>
      </c>
      <c r="AI31" s="376">
        <f t="shared" ca="1" si="2"/>
        <v>21982.347981555904</v>
      </c>
      <c r="AJ31" s="376">
        <f t="shared" ca="1" si="2"/>
        <v>0</v>
      </c>
      <c r="AL31" s="370">
        <f t="shared" ca="1" si="3"/>
        <v>100605.25916566602</v>
      </c>
      <c r="AM31" s="377"/>
      <c r="AN31" s="370">
        <f t="shared" ca="1" si="4"/>
        <v>70683.920619267505</v>
      </c>
      <c r="AQ31" s="1144"/>
    </row>
    <row r="32" spans="1:43" x14ac:dyDescent="0.2">
      <c r="B32" s="375">
        <f t="shared" si="10"/>
        <v>2029</v>
      </c>
      <c r="C32" s="401">
        <f>MAX(TREND(C26:C27,$B26:$B27,$B32),0)</f>
        <v>2902.25</v>
      </c>
      <c r="D32" s="402">
        <f>MAX(TREND(D26:D27,$B26:$B27,$B32),0)</f>
        <v>2591.9064516129001</v>
      </c>
      <c r="E32" s="725">
        <f>MAX(TREND(E26:E27,$B26:$B27,$B32),0)</f>
        <v>42.725168010752682</v>
      </c>
      <c r="F32" s="726">
        <f>MAX(TREND(F26:F27,$B26:$B27,$B32),0)</f>
        <v>42.164533792240292</v>
      </c>
      <c r="G32" s="1139">
        <f>IFERROR(MAX(1/E32-1/INDEX(ReliabilityModelGroup,A20,17), 0),0)</f>
        <v>0</v>
      </c>
      <c r="H32" s="1140">
        <f>IFERROR(MAX(1/F32-1/INDEX(ReliabilityModelGroup,A20,24), 0),0)</f>
        <v>0</v>
      </c>
      <c r="I32" s="1139">
        <f>IFERROR(AlphaSTD*MAX(AlphaTTI*(1+INDEX(ReliabilityModelGroup,A20,17)*G32)^BetaTTI-1,0)^BetaSTD*INDEX(ReliabilityModelGroup,A20,16)/INDEX(ReliabilityModelGroup,A20,17)*INDEX(RelAdjFactors,A20,5),0)</f>
        <v>8.8396575465844946E-4</v>
      </c>
      <c r="J32" s="1140">
        <f>IFERROR(AlphaSTD*MAX(AlphaTTI*(1+INDEX(ReliabilityModelGroup,A20,24)*H32)^BetaTTI-1,0)^BetaSTD*INDEX(ReliabilityModelGroup,A20,23)/INDEX(ReliabilityModelGroup,A20,24)*INDEX(RelAdjFactors,A20,5),0)</f>
        <v>8.3886546105342639E-4</v>
      </c>
      <c r="K32" s="1156">
        <f>MIN(C32*INDEX(ReliabilityModelGroup,A20,18),D32*INDEX(ReliabilityModelGroup,A20,25))*(I32-J32)*(INDEX(ReliabilityModelGroup,A20,12)*AnnualFactor)</f>
        <v>123.73414286941828</v>
      </c>
      <c r="L32" s="1157">
        <f>IF(AND(D32*INDEX(ReliabilityModelGroup,A20,25)&gt;C32*INDEX(ReliabilityModelGroup,A20,18), Induced="Y"), (D32*INDEX(ReliabilityModelGroup,A20,25)-C32*INDEX(ReliabilityModelGroup,A20,18))*(I32-J32)*0.5*(INDEX(ReliabilityModelGroup,A20,12)*AnnualFactor), 0)</f>
        <v>0</v>
      </c>
      <c r="M32" s="1143">
        <f t="shared" si="6"/>
        <v>1603.5944915876612</v>
      </c>
      <c r="N32" s="370">
        <f t="shared" si="7"/>
        <v>1218.60001931017</v>
      </c>
      <c r="P32" s="375">
        <f t="shared" si="11"/>
        <v>2029</v>
      </c>
      <c r="Q32" s="401">
        <f>MAX(TREND(Q26:Q27,$P26:$P27,$P32),0)</f>
        <v>916.5</v>
      </c>
      <c r="R32" s="402">
        <f>MAX(TREND(R26:R27,$P26:$P27,$P32),0)</f>
        <v>818.4967741935543</v>
      </c>
      <c r="S32" s="725">
        <f>MAX(TREND(S26:S27,$P26:$P27,$P32),0)</f>
        <v>42.725168010752682</v>
      </c>
      <c r="T32" s="726">
        <f>MAX(TREND(T26:T27,$P26:$P27,$P32),0)</f>
        <v>42.164533792240292</v>
      </c>
      <c r="U32" s="1139">
        <f>IFERROR(MAX(1/S32-1/INDEX(ReliabilityModelGroup,O20,17), 0),0)</f>
        <v>0</v>
      </c>
      <c r="V32" s="1140">
        <f>IFERROR(MAX(1/T32-1/INDEX(ReliabilityModelGroup,O20,24), 0),0)</f>
        <v>0</v>
      </c>
      <c r="W32" s="1139">
        <f>IFERROR(AlphaSTD*MAX(AlphaTTI*(1+INDEX(ReliabilityModelGroup,O20,17)*U32)^BetaTTI-1,0)^BetaSTD*INDEX(ReliabilityModelGroup,O20,16)/INDEX(ReliabilityModelGroup,O20,17)*INDEX(RelAdjFactors,O20,15),0)</f>
        <v>8.8396575465844946E-4</v>
      </c>
      <c r="X32" s="1140">
        <f>IFERROR(AlphaSTD*MAX(AlphaTTI*(1+INDEX(ReliabilityModelGroup,O20,24)*V32)^BetaTTI-1,0)^BetaSTD*INDEX(ReliabilityModelGroup,O20,23)/INDEX(ReliabilityModelGroup,O20,24)*INDEX(RelAdjFactors,O20,15),0)</f>
        <v>8.3886546105342639E-4</v>
      </c>
      <c r="Y32" s="1156">
        <f>MIN(Q32,R32)*(W32-X32)*(INDEX(ReliabilityModelGroup,A20,12)*AnnualFactor)</f>
        <v>26.947544726552305</v>
      </c>
      <c r="Z32" s="1157">
        <f>IF(AND(R32&gt;Q32, Induced="Y"), (R32-Q32)*(W32-X32)*0.5*(INDEX(ReliabilityModelGroup,A20,12)*AnnualFactor), 0)</f>
        <v>0</v>
      </c>
      <c r="AA32" s="1143">
        <f t="shared" si="8"/>
        <v>1064.1585412515506</v>
      </c>
      <c r="AB32" s="370">
        <f t="shared" si="9"/>
        <v>808.67303156817593</v>
      </c>
      <c r="AD32" s="375">
        <f t="shared" si="5"/>
        <v>2032</v>
      </c>
      <c r="AE32" s="376">
        <f t="shared" ca="1" si="1"/>
        <v>1151.1912689396022</v>
      </c>
      <c r="AF32" s="376">
        <f t="shared" ca="1" si="2"/>
        <v>2657.4207049897609</v>
      </c>
      <c r="AG32" s="376">
        <f t="shared" ca="1" si="2"/>
        <v>11953.747470895758</v>
      </c>
      <c r="AH32" s="376">
        <f t="shared" ca="1" si="2"/>
        <v>23649.652343903708</v>
      </c>
      <c r="AI32" s="376">
        <f t="shared" ca="1" si="2"/>
        <v>21343.922906148917</v>
      </c>
      <c r="AJ32" s="376">
        <f t="shared" ca="1" si="2"/>
        <v>0</v>
      </c>
      <c r="AL32" s="370">
        <f t="shared" ca="1" si="3"/>
        <v>97948.560439256413</v>
      </c>
      <c r="AM32" s="377"/>
      <c r="AN32" s="370">
        <f t="shared" ca="1" si="4"/>
        <v>66170.537820829748</v>
      </c>
      <c r="AQ32" s="1144"/>
    </row>
    <row r="33" spans="2:43" x14ac:dyDescent="0.2">
      <c r="B33" s="375">
        <f t="shared" si="10"/>
        <v>2030</v>
      </c>
      <c r="C33" s="401">
        <f>MAX(TREND(C26:C27,$B26:$B27,$B33),0)</f>
        <v>2938.2142857142899</v>
      </c>
      <c r="D33" s="402">
        <f>MAX(TREND(D26:D27,$B26:$B27,$B33),0)</f>
        <v>2646.0258064516092</v>
      </c>
      <c r="E33" s="725">
        <f>MAX(TREND(E26:E27,$B26:$B27,$B33),0)</f>
        <v>42.668279569892476</v>
      </c>
      <c r="F33" s="726">
        <f>MAX(TREND(F26:F27,$B26:$B27,$B33),0)</f>
        <v>42.162640801001245</v>
      </c>
      <c r="G33" s="1139">
        <f>IFERROR(MAX(1/E33-1/INDEX(ReliabilityModelGroup,A20,17), 0),0)</f>
        <v>0</v>
      </c>
      <c r="H33" s="1140">
        <f>IFERROR(MAX(1/F33-1/INDEX(ReliabilityModelGroup,A20,24), 0),0)</f>
        <v>0</v>
      </c>
      <c r="I33" s="1139">
        <f>IFERROR(AlphaSTD*MAX(AlphaTTI*(1+INDEX(ReliabilityModelGroup,A20,17)*G33)^BetaTTI-1,0)^BetaSTD*INDEX(ReliabilityModelGroup,A20,16)/INDEX(ReliabilityModelGroup,A20,17)*INDEX(RelAdjFactors,A20,5),0)</f>
        <v>8.8396575465844946E-4</v>
      </c>
      <c r="J33" s="1140">
        <f>IFERROR(AlphaSTD*MAX(AlphaTTI*(1+INDEX(ReliabilityModelGroup,A20,24)*H33)^BetaTTI-1,0)^BetaSTD*INDEX(ReliabilityModelGroup,A20,23)/INDEX(ReliabilityModelGroup,A20,24)*INDEX(RelAdjFactors,A20,5),0)</f>
        <v>8.3886546105342639E-4</v>
      </c>
      <c r="K33" s="1156">
        <f>MIN(C33*INDEX(ReliabilityModelGroup,A20,18),D33*INDEX(ReliabilityModelGroup,A20,25))*(I33-J33)*(INDEX(ReliabilityModelGroup,A20,12)*AnnualFactor)</f>
        <v>126.31772839174549</v>
      </c>
      <c r="L33" s="1157">
        <f>IF(AND(D33*INDEX(ReliabilityModelGroup,A20,25)&gt;C33*INDEX(ReliabilityModelGroup,A20,18), Induced="Y"), (D33*INDEX(ReliabilityModelGroup,A20,25)-C33*INDEX(ReliabilityModelGroup,A20,18))*(I33-J33)*0.5*(INDEX(ReliabilityModelGroup,A20,12)*AnnualFactor), 0)</f>
        <v>0</v>
      </c>
      <c r="M33" s="1143">
        <f t="shared" si="6"/>
        <v>1637.077759957022</v>
      </c>
      <c r="N33" s="370">
        <f t="shared" si="7"/>
        <v>1196.1966840271848</v>
      </c>
      <c r="P33" s="375">
        <f t="shared" si="11"/>
        <v>2030</v>
      </c>
      <c r="Q33" s="401">
        <f>MAX(TREND(Q26:Q27,$P26:$P27,$P33),0)</f>
        <v>927.8571428571413</v>
      </c>
      <c r="R33" s="402">
        <f>MAX(TREND(R26:R27,$P26:$P27,$P33),0)</f>
        <v>835.58709677419392</v>
      </c>
      <c r="S33" s="725">
        <f>MAX(TREND(S26:S27,$P26:$P27,$P33),0)</f>
        <v>42.668279569892476</v>
      </c>
      <c r="T33" s="726">
        <f>MAX(TREND(T26:T27,$P26:$P27,$P33),0)</f>
        <v>42.162640801001245</v>
      </c>
      <c r="U33" s="1139">
        <f>IFERROR(MAX(1/S33-1/INDEX(ReliabilityModelGroup,O20,17), 0),0)</f>
        <v>0</v>
      </c>
      <c r="V33" s="1140">
        <f>IFERROR(MAX(1/T33-1/INDEX(ReliabilityModelGroup,O20,24), 0),0)</f>
        <v>0</v>
      </c>
      <c r="W33" s="1139">
        <f>IFERROR(AlphaSTD*MAX(AlphaTTI*(1+INDEX(ReliabilityModelGroup,O20,17)*U33)^BetaTTI-1,0)^BetaSTD*INDEX(ReliabilityModelGroup,O20,16)/INDEX(ReliabilityModelGroup,O20,17)*INDEX(RelAdjFactors,O20,15),0)</f>
        <v>8.8396575465844946E-4</v>
      </c>
      <c r="X33" s="1140">
        <f>IFERROR(AlphaSTD*MAX(AlphaTTI*(1+INDEX(ReliabilityModelGroup,O20,24)*V33)^BetaTTI-1,0)^BetaSTD*INDEX(ReliabilityModelGroup,O20,23)/INDEX(ReliabilityModelGroup,O20,24)*INDEX(RelAdjFactors,O20,15),0)</f>
        <v>8.3886546105342639E-4</v>
      </c>
      <c r="Y33" s="1156">
        <f>MIN(Q33,R33)*(W33-X33)*(INDEX(ReliabilityModelGroup,A20,12)*AnnualFactor)</f>
        <v>27.510213079872024</v>
      </c>
      <c r="Z33" s="1157">
        <f>IF(AND(R33&gt;Q33, Induced="Y"), (R33-Q33)*(W33-X33)*0.5*(INDEX(ReliabilityModelGroup,A20,12)*AnnualFactor), 0)</f>
        <v>0</v>
      </c>
      <c r="AA33" s="1143">
        <f t="shared" si="8"/>
        <v>1086.3783145241462</v>
      </c>
      <c r="AB33" s="370">
        <f t="shared" si="9"/>
        <v>793.805993349358</v>
      </c>
      <c r="AD33" s="375">
        <f t="shared" si="5"/>
        <v>2033</v>
      </c>
      <c r="AE33" s="376">
        <f t="shared" ca="1" si="1"/>
        <v>1128.6647743318467</v>
      </c>
      <c r="AF33" s="376">
        <f t="shared" ca="1" si="2"/>
        <v>2599.1570100039885</v>
      </c>
      <c r="AG33" s="376">
        <f t="shared" ca="1" si="2"/>
        <v>11691.567715799341</v>
      </c>
      <c r="AH33" s="376">
        <f t="shared" ca="1" si="2"/>
        <v>23011.104882924366</v>
      </c>
      <c r="AI33" s="376">
        <f t="shared" ca="1" si="2"/>
        <v>20722.08918568218</v>
      </c>
      <c r="AJ33" s="376">
        <f t="shared" ca="1" si="2"/>
        <v>0</v>
      </c>
      <c r="AL33" s="370">
        <f t="shared" ca="1" si="3"/>
        <v>95347.398805461518</v>
      </c>
      <c r="AM33" s="377"/>
      <c r="AN33" s="370">
        <f t="shared" ca="1" si="4"/>
        <v>61935.852138186106</v>
      </c>
      <c r="AQ33" s="1144"/>
    </row>
    <row r="34" spans="2:43" x14ac:dyDescent="0.2">
      <c r="B34" s="375">
        <f t="shared" si="10"/>
        <v>2031</v>
      </c>
      <c r="C34" s="401">
        <f>MAX(TREND(C26:C27,$B26:$B27,$B34),0)</f>
        <v>2974.1785714285797</v>
      </c>
      <c r="D34" s="402">
        <f>MAX(TREND(D26:D27,$B26:$B27,$B34),0)</f>
        <v>2700.1451612903184</v>
      </c>
      <c r="E34" s="725">
        <f>MAX(TREND(E26:E27,$B26:$B27,$B34),0)</f>
        <v>42.611391129032256</v>
      </c>
      <c r="F34" s="726">
        <f>MAX(TREND(F26:F27,$B26:$B27,$B34),0)</f>
        <v>42.160747809762192</v>
      </c>
      <c r="G34" s="1139">
        <f>IFERROR(MAX(1/E34-1/INDEX(ReliabilityModelGroup,A20,17), 0),0)</f>
        <v>0</v>
      </c>
      <c r="H34" s="1140">
        <f>IFERROR(MAX(1/F34-1/INDEX(ReliabilityModelGroup,A20,24), 0),0)</f>
        <v>0</v>
      </c>
      <c r="I34" s="1139">
        <f>IFERROR(AlphaSTD*MAX(AlphaTTI*(1+INDEX(ReliabilityModelGroup,A20,17)*G34)^BetaTTI-1,0)^BetaSTD*INDEX(ReliabilityModelGroup,A20,16)/INDEX(ReliabilityModelGroup,A20,17)*INDEX(RelAdjFactors,A20,5),0)</f>
        <v>8.8396575465844946E-4</v>
      </c>
      <c r="J34" s="1140">
        <f>IFERROR(AlphaSTD*MAX(AlphaTTI*(1+INDEX(ReliabilityModelGroup,A20,24)*H34)^BetaTTI-1,0)^BetaSTD*INDEX(ReliabilityModelGroup,A20,23)/INDEX(ReliabilityModelGroup,A20,24)*INDEX(RelAdjFactors,A20,5),0)</f>
        <v>8.3886546105342639E-4</v>
      </c>
      <c r="K34" s="1156">
        <f>MIN(C34*INDEX(ReliabilityModelGroup,A20,18),D34*INDEX(ReliabilityModelGroup,A20,25))*(I34-J34)*(INDEX(ReliabilityModelGroup,A20,12)*AnnualFactor)</f>
        <v>128.90131391407269</v>
      </c>
      <c r="L34" s="1157">
        <f>IF(AND(D34*INDEX(ReliabilityModelGroup,A20,25)&gt;C34*INDEX(ReliabilityModelGroup,A20,18), Induced="Y"), (D34*INDEX(ReliabilityModelGroup,A20,25)-C34*INDEX(ReliabilityModelGroup,A20,18))*(I34-J34)*0.5*(INDEX(ReliabilityModelGroup,A20,12)*AnnualFactor), 0)</f>
        <v>0</v>
      </c>
      <c r="M34" s="1143">
        <f t="shared" si="6"/>
        <v>1670.5610283263825</v>
      </c>
      <c r="N34" s="370">
        <f t="shared" si="7"/>
        <v>1173.7140194770473</v>
      </c>
      <c r="P34" s="375">
        <f t="shared" si="11"/>
        <v>2031</v>
      </c>
      <c r="Q34" s="401">
        <f>MAX(TREND(Q26:Q27,$P26:$P27,$P34),0)</f>
        <v>939.21428571428623</v>
      </c>
      <c r="R34" s="402">
        <f>MAX(TREND(R26:R27,$P26:$P27,$P34),0)</f>
        <v>852.67741935484082</v>
      </c>
      <c r="S34" s="725">
        <f>MAX(TREND(S26:S27,$P26:$P27,$P34),0)</f>
        <v>42.611391129032256</v>
      </c>
      <c r="T34" s="726">
        <f>MAX(TREND(T26:T27,$P26:$P27,$P34),0)</f>
        <v>42.160747809762192</v>
      </c>
      <c r="U34" s="1139">
        <f>IFERROR(MAX(1/S34-1/INDEX(ReliabilityModelGroup,O20,17), 0),0)</f>
        <v>0</v>
      </c>
      <c r="V34" s="1140">
        <f>IFERROR(MAX(1/T34-1/INDEX(ReliabilityModelGroup,O20,24), 0),0)</f>
        <v>0</v>
      </c>
      <c r="W34" s="1139">
        <f>IFERROR(AlphaSTD*MAX(AlphaTTI*(1+INDEX(ReliabilityModelGroup,O20,17)*U34)^BetaTTI-1,0)^BetaSTD*INDEX(ReliabilityModelGroup,O20,16)/INDEX(ReliabilityModelGroup,O20,17)*INDEX(RelAdjFactors,O20,15),0)</f>
        <v>8.8396575465844946E-4</v>
      </c>
      <c r="X34" s="1140">
        <f>IFERROR(AlphaSTD*MAX(AlphaTTI*(1+INDEX(ReliabilityModelGroup,O20,24)*V34)^BetaTTI-1,0)^BetaSTD*INDEX(ReliabilityModelGroup,O20,23)/INDEX(ReliabilityModelGroup,O20,24)*INDEX(RelAdjFactors,O20,15),0)</f>
        <v>8.3886546105342639E-4</v>
      </c>
      <c r="Y34" s="1156">
        <f>MIN(Q34,R34)*(W34-X34)*(INDEX(ReliabilityModelGroup,A20,12)*AnnualFactor)</f>
        <v>28.072881433191988</v>
      </c>
      <c r="Z34" s="1157">
        <f>IF(AND(R34&gt;Q34, Induced="Y"), (R34-Q34)*(W34-X34)*0.5*(INDEX(ReliabilityModelGroup,A20,12)*AnnualFactor), 0)</f>
        <v>0</v>
      </c>
      <c r="AA34" s="1143">
        <f t="shared" si="8"/>
        <v>1108.5980877967518</v>
      </c>
      <c r="AB34" s="370">
        <f t="shared" si="9"/>
        <v>778.88631157405359</v>
      </c>
      <c r="AD34" s="375">
        <f t="shared" si="5"/>
        <v>2034</v>
      </c>
      <c r="AE34" s="376">
        <f t="shared" ca="1" si="1"/>
        <v>1106.1681413374988</v>
      </c>
      <c r="AF34" s="376">
        <f t="shared" ca="1" si="2"/>
        <v>2541.4440419919874</v>
      </c>
      <c r="AG34" s="376">
        <f t="shared" ca="1" si="2"/>
        <v>11431.872575782978</v>
      </c>
      <c r="AH34" s="376">
        <f t="shared" ca="1" si="2"/>
        <v>22386.691764588544</v>
      </c>
      <c r="AI34" s="376">
        <f t="shared" ca="1" si="2"/>
        <v>20116.514977875326</v>
      </c>
      <c r="AJ34" s="376">
        <f t="shared" ca="1" si="2"/>
        <v>0</v>
      </c>
      <c r="AL34" s="370">
        <f t="shared" ca="1" si="3"/>
        <v>92801.432207935941</v>
      </c>
      <c r="AM34" s="377"/>
      <c r="AN34" s="370">
        <f t="shared" ca="1" si="4"/>
        <v>57963.500753881221</v>
      </c>
      <c r="AQ34" s="1144"/>
    </row>
    <row r="35" spans="2:43" x14ac:dyDescent="0.2">
      <c r="B35" s="375">
        <f t="shared" si="10"/>
        <v>2032</v>
      </c>
      <c r="C35" s="401">
        <f>MAX(TREND(C26:C27,$B26:$B27,$B35),0)</f>
        <v>3010.1428571428696</v>
      </c>
      <c r="D35" s="402">
        <f>MAX(TREND(D26:D27,$B26:$B27,$B35),0)</f>
        <v>2754.2645161290275</v>
      </c>
      <c r="E35" s="725">
        <f>MAX(TREND(E26:E27,$B26:$B27,$B35),0)</f>
        <v>42.554502688172036</v>
      </c>
      <c r="F35" s="726">
        <f>MAX(TREND(F26:F27,$B26:$B27,$B35),0)</f>
        <v>42.158854818523146</v>
      </c>
      <c r="G35" s="1139">
        <f>IFERROR(MAX(1/E35-1/INDEX(ReliabilityModelGroup,A20,17), 0),0)</f>
        <v>0</v>
      </c>
      <c r="H35" s="1140">
        <f>IFERROR(MAX(1/F35-1/INDEX(ReliabilityModelGroup,A20,24), 0),0)</f>
        <v>0</v>
      </c>
      <c r="I35" s="1139">
        <f>IFERROR(AlphaSTD*MAX(AlphaTTI*(1+INDEX(ReliabilityModelGroup,A20,17)*G35)^BetaTTI-1,0)^BetaSTD*INDEX(ReliabilityModelGroup,A20,16)/INDEX(ReliabilityModelGroup,A20,17)*INDEX(RelAdjFactors,A20,5),0)</f>
        <v>8.8396575465844946E-4</v>
      </c>
      <c r="J35" s="1140">
        <f>IFERROR(AlphaSTD*MAX(AlphaTTI*(1+INDEX(ReliabilityModelGroup,A20,24)*H35)^BetaTTI-1,0)^BetaSTD*INDEX(ReliabilityModelGroup,A20,23)/INDEX(ReliabilityModelGroup,A20,24)*INDEX(RelAdjFactors,A20,5),0)</f>
        <v>8.3886546105342639E-4</v>
      </c>
      <c r="K35" s="1156">
        <f>MIN(C35*INDEX(ReliabilityModelGroup,A20,18),D35*INDEX(ReliabilityModelGroup,A20,25))*(I35-J35)*(INDEX(ReliabilityModelGroup,A20,12)*AnnualFactor)</f>
        <v>131.4848994363999</v>
      </c>
      <c r="L35" s="1157">
        <f>IF(AND(D35*INDEX(ReliabilityModelGroup,A20,25)&gt;C35*INDEX(ReliabilityModelGroup,A20,18), Induced="Y"), (D35*INDEX(ReliabilityModelGroup,A20,25)-C35*INDEX(ReliabilityModelGroup,A20,18))*(I35-J35)*0.5*(INDEX(ReliabilityModelGroup,A20,12)*AnnualFactor), 0)</f>
        <v>0</v>
      </c>
      <c r="M35" s="1143">
        <f t="shared" si="6"/>
        <v>1704.0442966957432</v>
      </c>
      <c r="N35" s="370">
        <f t="shared" si="7"/>
        <v>1151.1912689396022</v>
      </c>
      <c r="P35" s="375">
        <f t="shared" si="11"/>
        <v>2032</v>
      </c>
      <c r="Q35" s="401">
        <f>MAX(TREND(Q26:Q27,$P26:$P27,$P35),0)</f>
        <v>950.57142857142753</v>
      </c>
      <c r="R35" s="402">
        <f>MAX(TREND(R26:R27,$P26:$P27,$P35),0)</f>
        <v>869.76774193548772</v>
      </c>
      <c r="S35" s="725">
        <f>MAX(TREND(S26:S27,$P26:$P27,$P35),0)</f>
        <v>42.554502688172036</v>
      </c>
      <c r="T35" s="726">
        <f>MAX(TREND(T26:T27,$P26:$P27,$P35),0)</f>
        <v>42.158854818523146</v>
      </c>
      <c r="U35" s="1139">
        <f>IFERROR(MAX(1/S35-1/INDEX(ReliabilityModelGroup,O20,17), 0),0)</f>
        <v>0</v>
      </c>
      <c r="V35" s="1140">
        <f>IFERROR(MAX(1/T35-1/INDEX(ReliabilityModelGroup,O20,24), 0),0)</f>
        <v>0</v>
      </c>
      <c r="W35" s="1139">
        <f>IFERROR(AlphaSTD*MAX(AlphaTTI*(1+INDEX(ReliabilityModelGroup,O20,17)*U35)^BetaTTI-1,0)^BetaSTD*INDEX(ReliabilityModelGroup,O20,16)/INDEX(ReliabilityModelGroup,O20,17)*INDEX(RelAdjFactors,O20,15),0)</f>
        <v>8.8396575465844946E-4</v>
      </c>
      <c r="X35" s="1140">
        <f>IFERROR(AlphaSTD*MAX(AlphaTTI*(1+INDEX(ReliabilityModelGroup,O20,24)*V35)^BetaTTI-1,0)^BetaSTD*INDEX(ReliabilityModelGroup,O20,23)/INDEX(ReliabilityModelGroup,O20,24)*INDEX(RelAdjFactors,O20,15),0)</f>
        <v>8.3886546105342639E-4</v>
      </c>
      <c r="Y35" s="1156">
        <f>MIN(Q35,R35)*(W35-X35)*(INDEX(ReliabilityModelGroup,A20,12)*AnnualFactor)</f>
        <v>28.635549786511955</v>
      </c>
      <c r="Z35" s="1157">
        <f>IF(AND(R35&gt;Q35, Induced="Y"), (R35-Q35)*(W35-X35)*0.5*(INDEX(ReliabilityModelGroup,A20,12)*AnnualFactor), 0)</f>
        <v>0</v>
      </c>
      <c r="AA35" s="1143">
        <f t="shared" si="8"/>
        <v>1130.8178610693571</v>
      </c>
      <c r="AB35" s="370">
        <f t="shared" si="9"/>
        <v>763.94002840668759</v>
      </c>
      <c r="AD35" s="375">
        <f t="shared" si="5"/>
        <v>2035</v>
      </c>
      <c r="AE35" s="376">
        <f t="shared" ca="1" si="1"/>
        <v>1083.7323961262539</v>
      </c>
      <c r="AF35" s="376">
        <f t="shared" ca="1" si="2"/>
        <v>2484.3256262383011</v>
      </c>
      <c r="AG35" s="376">
        <f t="shared" ca="1" si="2"/>
        <v>11174.858766484203</v>
      </c>
      <c r="AH35" s="376">
        <f t="shared" ca="1" si="2"/>
        <v>21776.270328605591</v>
      </c>
      <c r="AI35" s="376">
        <f t="shared" ca="1" si="2"/>
        <v>19526.86942335296</v>
      </c>
      <c r="AJ35" s="376">
        <f t="shared" ca="1" si="2"/>
        <v>0</v>
      </c>
      <c r="AL35" s="370">
        <f t="shared" ca="1" si="3"/>
        <v>90310.262746898443</v>
      </c>
      <c r="AM35" s="377"/>
      <c r="AN35" s="370">
        <f t="shared" ca="1" si="4"/>
        <v>54238.003517801189</v>
      </c>
      <c r="AQ35" s="1144"/>
    </row>
    <row r="36" spans="2:43" x14ac:dyDescent="0.2">
      <c r="B36" s="375">
        <f t="shared" si="10"/>
        <v>2033</v>
      </c>
      <c r="C36" s="401">
        <f>MAX(TREND(C26:C27,$B26:$B27,$B36),0)</f>
        <v>3046.1071428571449</v>
      </c>
      <c r="D36" s="402">
        <f>MAX(TREND(D26:D27,$B26:$B27,$B36),0)</f>
        <v>2808.3838709677366</v>
      </c>
      <c r="E36" s="725">
        <f>MAX(TREND(E26:E27,$B26:$B27,$B36),0)</f>
        <v>42.49761424731183</v>
      </c>
      <c r="F36" s="726">
        <f>MAX(TREND(F26:F27,$B26:$B27,$B36),0)</f>
        <v>42.1569618272841</v>
      </c>
      <c r="G36" s="1139">
        <f>IFERROR(MAX(1/E36-1/INDEX(ReliabilityModelGroup,A20,17), 0),0)</f>
        <v>0</v>
      </c>
      <c r="H36" s="1140">
        <f>IFERROR(MAX(1/F36-1/INDEX(ReliabilityModelGroup,A20,24), 0),0)</f>
        <v>0</v>
      </c>
      <c r="I36" s="1139">
        <f>IFERROR(AlphaSTD*MAX(AlphaTTI*(1+INDEX(ReliabilityModelGroup,A20,17)*G36)^BetaTTI-1,0)^BetaSTD*INDEX(ReliabilityModelGroup,A20,16)/INDEX(ReliabilityModelGroup,A20,17)*INDEX(RelAdjFactors,A20,5),0)</f>
        <v>8.8396575465844946E-4</v>
      </c>
      <c r="J36" s="1140">
        <f>IFERROR(AlphaSTD*MAX(AlphaTTI*(1+INDEX(ReliabilityModelGroup,A20,24)*H36)^BetaTTI-1,0)^BetaSTD*INDEX(ReliabilityModelGroup,A20,23)/INDEX(ReliabilityModelGroup,A20,24)*INDEX(RelAdjFactors,A20,5),0)</f>
        <v>8.3886546105342639E-4</v>
      </c>
      <c r="K36" s="1156">
        <f>MIN(C36*INDEX(ReliabilityModelGroup,A20,18),D36*INDEX(ReliabilityModelGroup,A20,25))*(I36-J36)*(INDEX(ReliabilityModelGroup,A20,12)*AnnualFactor)</f>
        <v>134.06848495872711</v>
      </c>
      <c r="L36" s="1157">
        <f>IF(AND(D36*INDEX(ReliabilityModelGroup,A20,25)&gt;C36*INDEX(ReliabilityModelGroup,A20,18), Induced="Y"), (D36*INDEX(ReliabilityModelGroup,A20,25)-C36*INDEX(ReliabilityModelGroup,A20,18))*(I36-J36)*0.5*(INDEX(ReliabilityModelGroup,A20,12)*AnnualFactor), 0)</f>
        <v>0</v>
      </c>
      <c r="M36" s="1143">
        <f t="shared" si="6"/>
        <v>1737.5275650651038</v>
      </c>
      <c r="N36" s="370">
        <f t="shared" si="7"/>
        <v>1128.6647743318467</v>
      </c>
      <c r="P36" s="375">
        <f t="shared" si="11"/>
        <v>2033</v>
      </c>
      <c r="Q36" s="401">
        <f>MAX(TREND(Q26:Q27,$P26:$P27,$P36),0)</f>
        <v>961.92857142857247</v>
      </c>
      <c r="R36" s="402">
        <f>MAX(TREND(R26:R27,$P26:$P27,$P36),0)</f>
        <v>886.85806451613462</v>
      </c>
      <c r="S36" s="725">
        <f>MAX(TREND(S26:S27,$P26:$P27,$P36),0)</f>
        <v>42.49761424731183</v>
      </c>
      <c r="T36" s="726">
        <f>MAX(TREND(T26:T27,$P26:$P27,$P36),0)</f>
        <v>42.1569618272841</v>
      </c>
      <c r="U36" s="1139">
        <f>IFERROR(MAX(1/S36-1/INDEX(ReliabilityModelGroup,O20,17), 0),0)</f>
        <v>0</v>
      </c>
      <c r="V36" s="1140">
        <f>IFERROR(MAX(1/T36-1/INDEX(ReliabilityModelGroup,O20,24), 0),0)</f>
        <v>0</v>
      </c>
      <c r="W36" s="1139">
        <f>IFERROR(AlphaSTD*MAX(AlphaTTI*(1+INDEX(ReliabilityModelGroup,O20,17)*U36)^BetaTTI-1,0)^BetaSTD*INDEX(ReliabilityModelGroup,O20,16)/INDEX(ReliabilityModelGroup,O20,17)*INDEX(RelAdjFactors,O20,15),0)</f>
        <v>8.8396575465844946E-4</v>
      </c>
      <c r="X36" s="1140">
        <f>IFERROR(AlphaSTD*MAX(AlphaTTI*(1+INDEX(ReliabilityModelGroup,O20,24)*V36)^BetaTTI-1,0)^BetaSTD*INDEX(ReliabilityModelGroup,O20,23)/INDEX(ReliabilityModelGroup,O20,24)*INDEX(RelAdjFactors,O20,15),0)</f>
        <v>8.3886546105342639E-4</v>
      </c>
      <c r="Y36" s="1156">
        <f>MIN(Q36,R36)*(W36-X36)*(INDEX(ReliabilityModelGroup,A20,12)*AnnualFactor)</f>
        <v>29.198218139831912</v>
      </c>
      <c r="Z36" s="1157">
        <f>IF(AND(R36&gt;Q36, Induced="Y"), (R36-Q36)*(W36-X36)*0.5*(INDEX(ReliabilityModelGroup,A20,12)*AnnualFactor), 0)</f>
        <v>0</v>
      </c>
      <c r="AA36" s="1143">
        <f t="shared" si="8"/>
        <v>1153.0376343419623</v>
      </c>
      <c r="AB36" s="370">
        <f t="shared" si="9"/>
        <v>748.99126064335849</v>
      </c>
      <c r="AD36" s="375">
        <f t="shared" si="5"/>
        <v>2036</v>
      </c>
      <c r="AE36" s="376">
        <f t="shared" ca="1" si="1"/>
        <v>1061.3861340653705</v>
      </c>
      <c r="AF36" s="376">
        <f t="shared" ref="AF36:AJ45" ca="1" si="12">OFFSET($N19,MATCH(AF$22,$A:$A),0)</f>
        <v>2427.8414021668632</v>
      </c>
      <c r="AG36" s="376">
        <f t="shared" ca="1" si="12"/>
        <v>10920.704196102171</v>
      </c>
      <c r="AH36" s="376">
        <f t="shared" ca="1" si="12"/>
        <v>21179.687979762468</v>
      </c>
      <c r="AI36" s="376">
        <f t="shared" ca="1" si="12"/>
        <v>18952.823060927167</v>
      </c>
      <c r="AJ36" s="376">
        <f t="shared" ca="1" si="12"/>
        <v>0</v>
      </c>
      <c r="AL36" s="370">
        <f t="shared" ca="1" si="3"/>
        <v>87873.441480781054</v>
      </c>
      <c r="AM36" s="377"/>
      <c r="AN36" s="370">
        <f t="shared" ca="1" si="4"/>
        <v>50744.722896951142</v>
      </c>
      <c r="AQ36" s="1144"/>
    </row>
    <row r="37" spans="2:43" x14ac:dyDescent="0.2">
      <c r="B37" s="375">
        <f t="shared" si="10"/>
        <v>2034</v>
      </c>
      <c r="C37" s="401">
        <f>MAX(TREND(C26:C27,$B26:$B27,$B37),0)</f>
        <v>3082.0714285714348</v>
      </c>
      <c r="D37" s="402">
        <f>MAX(TREND(D26:D27,$B26:$B27,$B37),0)</f>
        <v>2862.5032258064457</v>
      </c>
      <c r="E37" s="725">
        <f>MAX(TREND(E26:E27,$B26:$B27,$B37),0)</f>
        <v>42.44072580645161</v>
      </c>
      <c r="F37" s="726">
        <f>MAX(TREND(F26:F27,$B26:$B27,$B37),0)</f>
        <v>42.155068836045047</v>
      </c>
      <c r="G37" s="1139">
        <f>IFERROR(MAX(1/E37-1/INDEX(ReliabilityModelGroup,A20,17), 0),0)</f>
        <v>0</v>
      </c>
      <c r="H37" s="1140">
        <f>IFERROR(MAX(1/F37-1/INDEX(ReliabilityModelGroup,A20,24), 0),0)</f>
        <v>0</v>
      </c>
      <c r="I37" s="1139">
        <f>IFERROR(AlphaSTD*MAX(AlphaTTI*(1+INDEX(ReliabilityModelGroup,A20,17)*G37)^BetaTTI-1,0)^BetaSTD*INDEX(ReliabilityModelGroup,A20,16)/INDEX(ReliabilityModelGroup,A20,17)*INDEX(RelAdjFactors,A20,5),0)</f>
        <v>8.8396575465844946E-4</v>
      </c>
      <c r="J37" s="1140">
        <f>IFERROR(AlphaSTD*MAX(AlphaTTI*(1+INDEX(ReliabilityModelGroup,A20,24)*H37)^BetaTTI-1,0)^BetaSTD*INDEX(ReliabilityModelGroup,A20,23)/INDEX(ReliabilityModelGroup,A20,24)*INDEX(RelAdjFactors,A20,5),0)</f>
        <v>8.3886546105342639E-4</v>
      </c>
      <c r="K37" s="1156">
        <f>MIN(C37*INDEX(ReliabilityModelGroup,A20,18),D37*INDEX(ReliabilityModelGroup,A20,25))*(I37-J37)*(INDEX(ReliabilityModelGroup,A20,12)*AnnualFactor)</f>
        <v>136.65207048105432</v>
      </c>
      <c r="L37" s="1157">
        <f>IF(AND(D37*INDEX(ReliabilityModelGroup,A20,25)&gt;C37*INDEX(ReliabilityModelGroup,A20,18), Induced="Y"), (D37*INDEX(ReliabilityModelGroup,A20,25)-C37*INDEX(ReliabilityModelGroup,A20,18))*(I37-J37)*0.5*(INDEX(ReliabilityModelGroup,A20,12)*AnnualFactor), 0)</f>
        <v>0</v>
      </c>
      <c r="M37" s="1143">
        <f t="shared" si="6"/>
        <v>1771.0108334344645</v>
      </c>
      <c r="N37" s="370">
        <f t="shared" si="7"/>
        <v>1106.1681413374988</v>
      </c>
      <c r="P37" s="375">
        <f t="shared" si="11"/>
        <v>2034</v>
      </c>
      <c r="Q37" s="401">
        <f>MAX(TREND(Q26:Q27,$P26:$P27,$P37),0)</f>
        <v>973.28571428571377</v>
      </c>
      <c r="R37" s="402">
        <f>MAX(TREND(R26:R27,$P26:$P27,$P37),0)</f>
        <v>903.94838709677424</v>
      </c>
      <c r="S37" s="725">
        <f>MAX(TREND(S26:S27,$P26:$P27,$P37),0)</f>
        <v>42.44072580645161</v>
      </c>
      <c r="T37" s="726">
        <f>MAX(TREND(T26:T27,$P26:$P27,$P37),0)</f>
        <v>42.155068836045047</v>
      </c>
      <c r="U37" s="1139">
        <f>IFERROR(MAX(1/S37-1/INDEX(ReliabilityModelGroup,O20,17), 0),0)</f>
        <v>0</v>
      </c>
      <c r="V37" s="1140">
        <f>IFERROR(MAX(1/T37-1/INDEX(ReliabilityModelGroup,O20,24), 0),0)</f>
        <v>0</v>
      </c>
      <c r="W37" s="1139">
        <f>IFERROR(AlphaSTD*MAX(AlphaTTI*(1+INDEX(ReliabilityModelGroup,O20,17)*U37)^BetaTTI-1,0)^BetaSTD*INDEX(ReliabilityModelGroup,O20,16)/INDEX(ReliabilityModelGroup,O20,17)*INDEX(RelAdjFactors,O20,15),0)</f>
        <v>8.8396575465844946E-4</v>
      </c>
      <c r="X37" s="1140">
        <f>IFERROR(AlphaSTD*MAX(AlphaTTI*(1+INDEX(ReliabilityModelGroup,O20,24)*V37)^BetaTTI-1,0)^BetaSTD*INDEX(ReliabilityModelGroup,O20,23)/INDEX(ReliabilityModelGroup,O20,24)*INDEX(RelAdjFactors,O20,15),0)</f>
        <v>8.3886546105342639E-4</v>
      </c>
      <c r="Y37" s="1156">
        <f>MIN(Q37,R37)*(W37-X37)*(INDEX(ReliabilityModelGroup,A20,12)*AnnualFactor)</f>
        <v>29.760886493151641</v>
      </c>
      <c r="Z37" s="1157">
        <f>IF(AND(R37&gt;Q37, Induced="Y"), (R37-Q37)*(W37-X37)*0.5*(INDEX(ReliabilityModelGroup,A20,12)*AnnualFactor), 0)</f>
        <v>0</v>
      </c>
      <c r="AA37" s="1143">
        <f t="shared" si="8"/>
        <v>1175.2574076145584</v>
      </c>
      <c r="AB37" s="370">
        <f t="shared" si="9"/>
        <v>734.06230929316916</v>
      </c>
      <c r="AD37" s="375">
        <f t="shared" si="5"/>
        <v>2037</v>
      </c>
      <c r="AE37" s="376">
        <f t="shared" ca="1" si="1"/>
        <v>1039.1556608077997</v>
      </c>
      <c r="AF37" s="376">
        <f t="shared" ca="1" si="12"/>
        <v>2372.0270804999755</v>
      </c>
      <c r="AG37" s="376">
        <f t="shared" ca="1" si="12"/>
        <v>10669.569121124548</v>
      </c>
      <c r="AH37" s="376">
        <f t="shared" ca="1" si="12"/>
        <v>20596.783163184489</v>
      </c>
      <c r="AI37" s="376">
        <f t="shared" ca="1" si="12"/>
        <v>18394.048209481789</v>
      </c>
      <c r="AJ37" s="376">
        <f t="shared" ca="1" si="12"/>
        <v>0</v>
      </c>
      <c r="AL37" s="370">
        <f t="shared" ca="1" si="3"/>
        <v>85490.472941129876</v>
      </c>
      <c r="AM37" s="377"/>
      <c r="AN37" s="370">
        <f t="shared" ca="1" si="4"/>
        <v>47469.824944379157</v>
      </c>
      <c r="AQ37" s="1144"/>
    </row>
    <row r="38" spans="2:43" x14ac:dyDescent="0.2">
      <c r="B38" s="375">
        <f t="shared" si="10"/>
        <v>2035</v>
      </c>
      <c r="C38" s="401">
        <f>MAX(TREND(C26:C27,$B26:$B27,$B38),0)</f>
        <v>3118.0357142857247</v>
      </c>
      <c r="D38" s="402">
        <f>MAX(TREND(D26:D27,$B26:$B27,$B38),0)</f>
        <v>2916.6225806451694</v>
      </c>
      <c r="E38" s="725">
        <f>MAX(TREND(E26:E27,$B26:$B27,$B38),0)</f>
        <v>42.38383736559139</v>
      </c>
      <c r="F38" s="726">
        <f>MAX(TREND(F26:F27,$B26:$B27,$B38),0)</f>
        <v>42.153175844806</v>
      </c>
      <c r="G38" s="1139">
        <f>IFERROR(MAX(1/E38-1/INDEX(ReliabilityModelGroup,A20,17), 0),0)</f>
        <v>0</v>
      </c>
      <c r="H38" s="1140">
        <f>IFERROR(MAX(1/F38-1/INDEX(ReliabilityModelGroup,A20,24), 0),0)</f>
        <v>0</v>
      </c>
      <c r="I38" s="1139">
        <f>IFERROR(AlphaSTD*MAX(AlphaTTI*(1+INDEX(ReliabilityModelGroup,A20,17)*G38)^BetaTTI-1,0)^BetaSTD*INDEX(ReliabilityModelGroup,A20,16)/INDEX(ReliabilityModelGroup,A20,17)*INDEX(RelAdjFactors,A20,5),0)</f>
        <v>8.8396575465844946E-4</v>
      </c>
      <c r="J38" s="1140">
        <f>IFERROR(AlphaSTD*MAX(AlphaTTI*(1+INDEX(ReliabilityModelGroup,A20,24)*H38)^BetaTTI-1,0)^BetaSTD*INDEX(ReliabilityModelGroup,A20,23)/INDEX(ReliabilityModelGroup,A20,24)*INDEX(RelAdjFactors,A20,5),0)</f>
        <v>8.3886546105342639E-4</v>
      </c>
      <c r="K38" s="1156">
        <f>MIN(C38*INDEX(ReliabilityModelGroup,A20,18),D38*INDEX(ReliabilityModelGroup,A20,25))*(I38-J38)*(INDEX(ReliabilityModelGroup,A20,12)*AnnualFactor)</f>
        <v>139.23565600338219</v>
      </c>
      <c r="L38" s="1157">
        <f>IF(AND(D38*INDEX(ReliabilityModelGroup,A20,25)&gt;C38*INDEX(ReliabilityModelGroup,A20,18), Induced="Y"), (D38*INDEX(ReliabilityModelGroup,A20,25)-C38*INDEX(ReliabilityModelGroup,A20,18))*(I38-J38)*0.5*(INDEX(ReliabilityModelGroup,A20,12)*AnnualFactor), 0)</f>
        <v>0</v>
      </c>
      <c r="M38" s="1143">
        <f t="shared" si="6"/>
        <v>1804.4941018038335</v>
      </c>
      <c r="N38" s="370">
        <f t="shared" si="7"/>
        <v>1083.7323961262539</v>
      </c>
      <c r="P38" s="375">
        <f t="shared" si="11"/>
        <v>2035</v>
      </c>
      <c r="Q38" s="401">
        <f>MAX(TREND(Q26:Q27,$P26:$P27,$P38),0)</f>
        <v>984.64285714285506</v>
      </c>
      <c r="R38" s="402">
        <f>MAX(TREND(R26:R27,$P26:$P27,$P38),0)</f>
        <v>921.03870967742114</v>
      </c>
      <c r="S38" s="725">
        <f>MAX(TREND(S26:S27,$P26:$P27,$P38),0)</f>
        <v>42.38383736559139</v>
      </c>
      <c r="T38" s="726">
        <f>MAX(TREND(T26:T27,$P26:$P27,$P38),0)</f>
        <v>42.153175844806</v>
      </c>
      <c r="U38" s="1139">
        <f>IFERROR(MAX(1/S38-1/INDEX(ReliabilityModelGroup,O20,17), 0),0)</f>
        <v>0</v>
      </c>
      <c r="V38" s="1140">
        <f>IFERROR(MAX(1/T38-1/INDEX(ReliabilityModelGroup,O20,24), 0),0)</f>
        <v>0</v>
      </c>
      <c r="W38" s="1139">
        <f>IFERROR(AlphaSTD*MAX(AlphaTTI*(1+INDEX(ReliabilityModelGroup,O20,17)*U38)^BetaTTI-1,0)^BetaSTD*INDEX(ReliabilityModelGroup,O20,16)/INDEX(ReliabilityModelGroup,O20,17)*INDEX(RelAdjFactors,O20,15),0)</f>
        <v>8.8396575465844946E-4</v>
      </c>
      <c r="X38" s="1140">
        <f>IFERROR(AlphaSTD*MAX(AlphaTTI*(1+INDEX(ReliabilityModelGroup,O20,24)*V38)^BetaTTI-1,0)^BetaSTD*INDEX(ReliabilityModelGroup,O20,23)/INDEX(ReliabilityModelGroup,O20,24)*INDEX(RelAdjFactors,O20,15),0)</f>
        <v>8.3886546105342639E-4</v>
      </c>
      <c r="Y38" s="1156">
        <f>MIN(Q38,R38)*(W38-X38)*(INDEX(ReliabilityModelGroup,A20,12)*AnnualFactor)</f>
        <v>30.323554846471605</v>
      </c>
      <c r="Z38" s="1157">
        <f>IF(AND(R38&gt;Q38, Induced="Y"), (R38-Q38)*(W38-X38)*0.5*(INDEX(ReliabilityModelGroup,A20,12)*AnnualFactor), 0)</f>
        <v>0</v>
      </c>
      <c r="AA38" s="1143">
        <f t="shared" si="8"/>
        <v>1197.4771808871637</v>
      </c>
      <c r="AB38" s="370">
        <f t="shared" si="9"/>
        <v>719.17376357843887</v>
      </c>
      <c r="AD38" s="375">
        <f t="shared" si="5"/>
        <v>2038</v>
      </c>
      <c r="AE38" s="376">
        <f t="shared" ca="1" si="1"/>
        <v>1017.0651261231997</v>
      </c>
      <c r="AF38" s="376">
        <f t="shared" ca="1" si="12"/>
        <v>2316.9146868279272</v>
      </c>
      <c r="AG38" s="376">
        <f t="shared" ca="1" si="12"/>
        <v>10421.597240973506</v>
      </c>
      <c r="AH38" s="376">
        <f t="shared" ca="1" si="12"/>
        <v>20027.386279272625</v>
      </c>
      <c r="AI38" s="376">
        <f t="shared" ca="1" si="12"/>
        <v>17850.219318412535</v>
      </c>
      <c r="AJ38" s="376">
        <f t="shared" ca="1" si="12"/>
        <v>0</v>
      </c>
      <c r="AL38" s="370">
        <f t="shared" ca="1" si="3"/>
        <v>83160.819375711217</v>
      </c>
      <c r="AM38" s="377"/>
      <c r="AN38" s="370">
        <f t="shared" ca="1" si="4"/>
        <v>44400.241361425717</v>
      </c>
      <c r="AQ38" s="1144"/>
    </row>
    <row r="39" spans="2:43" x14ac:dyDescent="0.2">
      <c r="B39" s="375">
        <f t="shared" si="10"/>
        <v>2036</v>
      </c>
      <c r="C39" s="401">
        <f>MAX(TREND(C26:C27,$B26:$B27,$B39),0)</f>
        <v>3154</v>
      </c>
      <c r="D39" s="402">
        <f>MAX(TREND(D26:D27,$B26:$B27,$B39),0)</f>
        <v>2970.7419354838785</v>
      </c>
      <c r="E39" s="725">
        <f>MAX(TREND(E26:E27,$B26:$B27,$B39),0)</f>
        <v>42.326948924731184</v>
      </c>
      <c r="F39" s="726">
        <f>MAX(TREND(F26:F27,$B26:$B27,$B39),0)</f>
        <v>42.151282853566954</v>
      </c>
      <c r="G39" s="1139">
        <f>IFERROR(MAX(1/E39-1/INDEX(ReliabilityModelGroup,A20,17), 0),0)</f>
        <v>0</v>
      </c>
      <c r="H39" s="1140">
        <f>IFERROR(MAX(1/F39-1/INDEX(ReliabilityModelGroup,A20,24), 0),0)</f>
        <v>0</v>
      </c>
      <c r="I39" s="1139">
        <f>IFERROR(AlphaSTD*MAX(AlphaTTI*(1+INDEX(ReliabilityModelGroup,A20,17)*G39)^BetaTTI-1,0)^BetaSTD*INDEX(ReliabilityModelGroup,A20,16)/INDEX(ReliabilityModelGroup,A20,17)*INDEX(RelAdjFactors,A20,5),0)</f>
        <v>8.8396575465844946E-4</v>
      </c>
      <c r="J39" s="1140">
        <f>IFERROR(AlphaSTD*MAX(AlphaTTI*(1+INDEX(ReliabilityModelGroup,A20,24)*H39)^BetaTTI-1,0)^BetaSTD*INDEX(ReliabilityModelGroup,A20,23)/INDEX(ReliabilityModelGroup,A20,24)*INDEX(RelAdjFactors,A20,5),0)</f>
        <v>8.3886546105342639E-4</v>
      </c>
      <c r="K39" s="1156">
        <f>MIN(C39*INDEX(ReliabilityModelGroup,A20,18),D39*INDEX(ReliabilityModelGroup,A20,25))*(I39-J39)*(INDEX(ReliabilityModelGroup,A20,12)*AnnualFactor)</f>
        <v>141.81924152570943</v>
      </c>
      <c r="L39" s="1157">
        <f>IF(AND(D39*INDEX(ReliabilityModelGroup,A20,25)&gt;C39*INDEX(ReliabilityModelGroup,A20,18), Induced="Y"), (D39*INDEX(ReliabilityModelGroup,A20,25)-C39*INDEX(ReliabilityModelGroup,A20,18))*(I39-J39)*0.5*(INDEX(ReliabilityModelGroup,A20,12)*AnnualFactor), 0)</f>
        <v>0</v>
      </c>
      <c r="M39" s="1143">
        <f t="shared" si="6"/>
        <v>1837.9773701731947</v>
      </c>
      <c r="N39" s="370">
        <f t="shared" si="7"/>
        <v>1061.3861340653705</v>
      </c>
      <c r="P39" s="375">
        <f t="shared" si="11"/>
        <v>2036</v>
      </c>
      <c r="Q39" s="401">
        <f>MAX(TREND(Q26:Q27,$P26:$P27,$P39),0)</f>
        <v>996</v>
      </c>
      <c r="R39" s="402">
        <f>MAX(TREND(R26:R27,$P26:$P27,$P39),0)</f>
        <v>938.12903225806804</v>
      </c>
      <c r="S39" s="725">
        <f>MAX(TREND(S26:S27,$P26:$P27,$P39),0)</f>
        <v>42.326948924731184</v>
      </c>
      <c r="T39" s="726">
        <f>MAX(TREND(T26:T27,$P26:$P27,$P39),0)</f>
        <v>42.151282853566954</v>
      </c>
      <c r="U39" s="1139">
        <f>IFERROR(MAX(1/S39-1/INDEX(ReliabilityModelGroup,O20,17), 0),0)</f>
        <v>0</v>
      </c>
      <c r="V39" s="1140">
        <f>IFERROR(MAX(1/T39-1/INDEX(ReliabilityModelGroup,O20,24), 0),0)</f>
        <v>0</v>
      </c>
      <c r="W39" s="1139">
        <f>IFERROR(AlphaSTD*MAX(AlphaTTI*(1+INDEX(ReliabilityModelGroup,O20,17)*U39)^BetaTTI-1,0)^BetaSTD*INDEX(ReliabilityModelGroup,O20,16)/INDEX(ReliabilityModelGroup,O20,17)*INDEX(RelAdjFactors,O20,15),0)</f>
        <v>8.8396575465844946E-4</v>
      </c>
      <c r="X39" s="1140">
        <f>IFERROR(AlphaSTD*MAX(AlphaTTI*(1+INDEX(ReliabilityModelGroup,O20,24)*V39)^BetaTTI-1,0)^BetaSTD*INDEX(ReliabilityModelGroup,O20,23)/INDEX(ReliabilityModelGroup,O20,24)*INDEX(RelAdjFactors,O20,15),0)</f>
        <v>8.3886546105342639E-4</v>
      </c>
      <c r="Y39" s="1156">
        <f>MIN(Q39,R39)*(W39-X39)*(INDEX(ReliabilityModelGroup,A20,12)*AnnualFactor)</f>
        <v>30.886223199791562</v>
      </c>
      <c r="Z39" s="1157">
        <f>IF(AND(R39&gt;Q39, Induced="Y"), (R39-Q39)*(W39-X39)*0.5*(INDEX(ReliabilityModelGroup,A20,12)*AnnualFactor), 0)</f>
        <v>0</v>
      </c>
      <c r="AA39" s="1143">
        <f t="shared" si="8"/>
        <v>1219.6969541597689</v>
      </c>
      <c r="AB39" s="370">
        <f t="shared" si="9"/>
        <v>704.34459962091682</v>
      </c>
      <c r="AD39" s="375">
        <f t="shared" si="5"/>
        <v>2039</v>
      </c>
      <c r="AE39" s="376">
        <f t="shared" ca="1" si="1"/>
        <v>995.13665082142734</v>
      </c>
      <c r="AF39" s="376">
        <f t="shared" ca="1" si="12"/>
        <v>2262.5327922541728</v>
      </c>
      <c r="AG39" s="376">
        <f t="shared" ca="1" si="12"/>
        <v>10176.91673456018</v>
      </c>
      <c r="AH39" s="376">
        <f t="shared" ca="1" si="12"/>
        <v>19471.320541514946</v>
      </c>
      <c r="AI39" s="376">
        <f t="shared" ca="1" si="12"/>
        <v>17321.013288476595</v>
      </c>
      <c r="AJ39" s="376">
        <f t="shared" ca="1" si="12"/>
        <v>0</v>
      </c>
      <c r="AL39" s="370">
        <f t="shared" ca="1" si="3"/>
        <v>80883.904734050797</v>
      </c>
      <c r="AM39" s="377"/>
      <c r="AN39" s="370">
        <f t="shared" ca="1" si="4"/>
        <v>41523.632710485021</v>
      </c>
      <c r="AQ39" s="1144"/>
    </row>
    <row r="40" spans="2:43" x14ac:dyDescent="0.2">
      <c r="B40" s="375">
        <f t="shared" si="10"/>
        <v>2037</v>
      </c>
      <c r="C40" s="401">
        <f>MAX(TREND(C26:C27,$B26:$B27,$B40),0)</f>
        <v>3189.9642857142899</v>
      </c>
      <c r="D40" s="402">
        <f>MAX(TREND(D26:D27,$B26:$B27,$B40),0)</f>
        <v>3024.8612903225876</v>
      </c>
      <c r="E40" s="725">
        <f>MAX(TREND(E26:E27,$B26:$B27,$B40),0)</f>
        <v>42.270060483870964</v>
      </c>
      <c r="F40" s="726">
        <f>MAX(TREND(F26:F27,$B26:$B27,$B40),0)</f>
        <v>42.149389862327901</v>
      </c>
      <c r="G40" s="1139">
        <f>IFERROR(MAX(1/E40-1/INDEX(ReliabilityModelGroup,A20,17), 0),0)</f>
        <v>0</v>
      </c>
      <c r="H40" s="1140">
        <f>IFERROR(MAX(1/F40-1/INDEX(ReliabilityModelGroup,A20,24), 0),0)</f>
        <v>0</v>
      </c>
      <c r="I40" s="1139">
        <f>IFERROR(AlphaSTD*MAX(AlphaTTI*(1+INDEX(ReliabilityModelGroup,A20,17)*G40)^BetaTTI-1,0)^BetaSTD*INDEX(ReliabilityModelGroup,A20,16)/INDEX(ReliabilityModelGroup,A20,17)*INDEX(RelAdjFactors,A20,5),0)</f>
        <v>8.8396575465844946E-4</v>
      </c>
      <c r="J40" s="1140">
        <f>IFERROR(AlphaSTD*MAX(AlphaTTI*(1+INDEX(ReliabilityModelGroup,A20,24)*H40)^BetaTTI-1,0)^BetaSTD*INDEX(ReliabilityModelGroup,A20,23)/INDEX(ReliabilityModelGroup,A20,24)*INDEX(RelAdjFactors,A20,5),0)</f>
        <v>8.3886546105342639E-4</v>
      </c>
      <c r="K40" s="1156">
        <f>MIN(C40*INDEX(ReliabilityModelGroup,A20,18),D40*INDEX(ReliabilityModelGroup,A20,25))*(I40-J40)*(INDEX(ReliabilityModelGroup,A20,12)*AnnualFactor)</f>
        <v>144.40282704803664</v>
      </c>
      <c r="L40" s="1157">
        <f>IF(AND(D40*INDEX(ReliabilityModelGroup,A20,25)&gt;C40*INDEX(ReliabilityModelGroup,A20,18), Induced="Y"), (D40*INDEX(ReliabilityModelGroup,A20,25)-C40*INDEX(ReliabilityModelGroup,A20,18))*(I40-J40)*0.5*(INDEX(ReliabilityModelGroup,A20,12)*AnnualFactor), 0)</f>
        <v>0</v>
      </c>
      <c r="M40" s="1143">
        <f t="shared" si="6"/>
        <v>1871.4606385425552</v>
      </c>
      <c r="N40" s="370">
        <f t="shared" si="7"/>
        <v>1039.1556608077997</v>
      </c>
      <c r="P40" s="375">
        <f t="shared" si="11"/>
        <v>2037</v>
      </c>
      <c r="Q40" s="401">
        <f>MAX(TREND(Q26:Q27,$P26:$P27,$P40),0)</f>
        <v>1007.3571428571413</v>
      </c>
      <c r="R40" s="402">
        <f>MAX(TREND(R26:R27,$P26:$P27,$P40),0)</f>
        <v>955.21935483871493</v>
      </c>
      <c r="S40" s="725">
        <f>MAX(TREND(S26:S27,$P26:$P27,$P40),0)</f>
        <v>42.270060483870964</v>
      </c>
      <c r="T40" s="726">
        <f>MAX(TREND(T26:T27,$P26:$P27,$P40),0)</f>
        <v>42.149389862327901</v>
      </c>
      <c r="U40" s="1139">
        <f>IFERROR(MAX(1/S40-1/INDEX(ReliabilityModelGroup,O20,17), 0),0)</f>
        <v>0</v>
      </c>
      <c r="V40" s="1140">
        <f>IFERROR(MAX(1/T40-1/INDEX(ReliabilityModelGroup,O20,24), 0),0)</f>
        <v>0</v>
      </c>
      <c r="W40" s="1139">
        <f>IFERROR(AlphaSTD*MAX(AlphaTTI*(1+INDEX(ReliabilityModelGroup,O20,17)*U40)^BetaTTI-1,0)^BetaSTD*INDEX(ReliabilityModelGroup,O20,16)/INDEX(ReliabilityModelGroup,O20,17)*INDEX(RelAdjFactors,O20,15),0)</f>
        <v>8.8396575465844946E-4</v>
      </c>
      <c r="X40" s="1140">
        <f>IFERROR(AlphaSTD*MAX(AlphaTTI*(1+INDEX(ReliabilityModelGroup,O20,24)*V40)^BetaTTI-1,0)^BetaSTD*INDEX(ReliabilityModelGroup,O20,23)/INDEX(ReliabilityModelGroup,O20,24)*INDEX(RelAdjFactors,O20,15),0)</f>
        <v>8.3886546105342639E-4</v>
      </c>
      <c r="Y40" s="1156">
        <f>MIN(Q40,R40)*(W40-X40)*(INDEX(ReliabilityModelGroup,A20,12)*AnnualFactor)</f>
        <v>31.44889155311153</v>
      </c>
      <c r="Z40" s="1157">
        <f>IF(AND(R40&gt;Q40, Induced="Y"), (R40-Q40)*(W40-X40)*0.5*(INDEX(ReliabilityModelGroup,A20,12)*AnnualFactor), 0)</f>
        <v>0</v>
      </c>
      <c r="AA40" s="1143">
        <f t="shared" si="8"/>
        <v>1241.9167274323745</v>
      </c>
      <c r="AB40" s="370">
        <f t="shared" si="9"/>
        <v>689.59227406903506</v>
      </c>
      <c r="AD40" s="375">
        <f t="shared" si="5"/>
        <v>2040</v>
      </c>
      <c r="AE40" s="376">
        <f t="shared" ca="1" si="1"/>
        <v>973.39044710185726</v>
      </c>
      <c r="AF40" s="376">
        <f t="shared" ca="1" si="12"/>
        <v>2208.9067317499557</v>
      </c>
      <c r="AG40" s="376">
        <f t="shared" ca="1" si="12"/>
        <v>9935.6412415973264</v>
      </c>
      <c r="AH40" s="376">
        <f t="shared" ca="1" si="12"/>
        <v>18928.402780213077</v>
      </c>
      <c r="AI40" s="376">
        <f t="shared" ca="1" si="12"/>
        <v>16806.109764810222</v>
      </c>
      <c r="AJ40" s="376">
        <f t="shared" ca="1" si="12"/>
        <v>0</v>
      </c>
      <c r="AL40" s="370">
        <f t="shared" ca="1" si="3"/>
        <v>78659.118408944516</v>
      </c>
      <c r="AM40" s="377"/>
      <c r="AN40" s="370">
        <f t="shared" ca="1" si="4"/>
        <v>38828.352820614011</v>
      </c>
      <c r="AQ40" s="1144"/>
    </row>
    <row r="41" spans="2:43" x14ac:dyDescent="0.2">
      <c r="B41" s="375">
        <f t="shared" si="10"/>
        <v>2038</v>
      </c>
      <c r="C41" s="401">
        <f>MAX(TREND(C26:C27,$B26:$B27,$B41),0)</f>
        <v>3225.9285714285797</v>
      </c>
      <c r="D41" s="402">
        <f>MAX(TREND(D26:D27,$B26:$B27,$B41),0)</f>
        <v>3078.9806451612967</v>
      </c>
      <c r="E41" s="725">
        <f>MAX(TREND(E26:E27,$B26:$B27,$B41),0)</f>
        <v>42.213172043010744</v>
      </c>
      <c r="F41" s="726">
        <f>MAX(TREND(F26:F27,$B26:$B27,$B41),0)</f>
        <v>42.147496871088855</v>
      </c>
      <c r="G41" s="1139">
        <f>IFERROR(MAX(1/E41-1/INDEX(ReliabilityModelGroup,A20,17), 0),0)</f>
        <v>0</v>
      </c>
      <c r="H41" s="1140">
        <f>IFERROR(MAX(1/F41-1/INDEX(ReliabilityModelGroup,A20,24), 0),0)</f>
        <v>0</v>
      </c>
      <c r="I41" s="1139">
        <f>IFERROR(AlphaSTD*MAX(AlphaTTI*(1+INDEX(ReliabilityModelGroup,A20,17)*G41)^BetaTTI-1,0)^BetaSTD*INDEX(ReliabilityModelGroup,A20,16)/INDEX(ReliabilityModelGroup,A20,17)*INDEX(RelAdjFactors,A20,5),0)</f>
        <v>8.8396575465844946E-4</v>
      </c>
      <c r="J41" s="1140">
        <f>IFERROR(AlphaSTD*MAX(AlphaTTI*(1+INDEX(ReliabilityModelGroup,A20,24)*H41)^BetaTTI-1,0)^BetaSTD*INDEX(ReliabilityModelGroup,A20,23)/INDEX(ReliabilityModelGroup,A20,24)*INDEX(RelAdjFactors,A20,5),0)</f>
        <v>8.3886546105342639E-4</v>
      </c>
      <c r="K41" s="1156">
        <f>MIN(C41*INDEX(ReliabilityModelGroup,A20,18),D41*INDEX(ReliabilityModelGroup,A20,25))*(I41-J41)*(INDEX(ReliabilityModelGroup,A20,12)*AnnualFactor)</f>
        <v>146.98641257036385</v>
      </c>
      <c r="L41" s="1157">
        <f>IF(AND(D41*INDEX(ReliabilityModelGroup,A20,25)&gt;C41*INDEX(ReliabilityModelGroup,A20,18), Induced="Y"), (D41*INDEX(ReliabilityModelGroup,A20,25)-C41*INDEX(ReliabilityModelGroup,A20,18))*(I41-J41)*0.5*(INDEX(ReliabilityModelGroup,A20,12)*AnnualFactor), 0)</f>
        <v>0</v>
      </c>
      <c r="M41" s="1143">
        <f t="shared" si="6"/>
        <v>1904.943906911916</v>
      </c>
      <c r="N41" s="370">
        <f t="shared" si="7"/>
        <v>1017.0651261231997</v>
      </c>
      <c r="P41" s="375">
        <f t="shared" si="11"/>
        <v>2038</v>
      </c>
      <c r="Q41" s="401">
        <f>MAX(TREND(Q26:Q27,$P26:$P27,$P41),0)</f>
        <v>1018.7142857142862</v>
      </c>
      <c r="R41" s="402">
        <f>MAX(TREND(R26:R27,$P26:$P27,$P41),0)</f>
        <v>972.30967741935456</v>
      </c>
      <c r="S41" s="725">
        <f>MAX(TREND(S26:S27,$P26:$P27,$P41),0)</f>
        <v>42.213172043010744</v>
      </c>
      <c r="T41" s="726">
        <f>MAX(TREND(T26:T27,$P26:$P27,$P41),0)</f>
        <v>42.147496871088855</v>
      </c>
      <c r="U41" s="1139">
        <f>IFERROR(MAX(1/S41-1/INDEX(ReliabilityModelGroup,O20,17), 0),0)</f>
        <v>0</v>
      </c>
      <c r="V41" s="1140">
        <f>IFERROR(MAX(1/T41-1/INDEX(ReliabilityModelGroup,O20,24), 0),0)</f>
        <v>0</v>
      </c>
      <c r="W41" s="1139">
        <f>IFERROR(AlphaSTD*MAX(AlphaTTI*(1+INDEX(ReliabilityModelGroup,O20,17)*U41)^BetaTTI-1,0)^BetaSTD*INDEX(ReliabilityModelGroup,O20,16)/INDEX(ReliabilityModelGroup,O20,17)*INDEX(RelAdjFactors,O20,15),0)</f>
        <v>8.8396575465844946E-4</v>
      </c>
      <c r="X41" s="1140">
        <f>IFERROR(AlphaSTD*MAX(AlphaTTI*(1+INDEX(ReliabilityModelGroup,O20,24)*V41)^BetaTTI-1,0)^BetaSTD*INDEX(ReliabilityModelGroup,O20,23)/INDEX(ReliabilityModelGroup,O20,24)*INDEX(RelAdjFactors,O20,15),0)</f>
        <v>8.3886546105342639E-4</v>
      </c>
      <c r="Y41" s="1156">
        <f>MIN(Q41,R41)*(W41-X41)*(INDEX(ReliabilityModelGroup,A20,12)*AnnualFactor)</f>
        <v>32.011559906431252</v>
      </c>
      <c r="Z41" s="1157">
        <f>IF(AND(R41&gt;Q41, Induced="Y"), (R41-Q41)*(W41-X41)*0.5*(INDEX(ReliabilityModelGroup,A20,12)*AnnualFactor), 0)</f>
        <v>0</v>
      </c>
      <c r="AA41" s="1143">
        <f t="shared" si="8"/>
        <v>1264.1365007049703</v>
      </c>
      <c r="AB41" s="370">
        <f t="shared" si="9"/>
        <v>674.93281290927371</v>
      </c>
      <c r="AD41" s="375">
        <f t="shared" si="5"/>
        <v>2041</v>
      </c>
      <c r="AE41" s="376">
        <f t="shared" ca="1" si="1"/>
        <v>951.84493264648347</v>
      </c>
      <c r="AF41" s="376">
        <f t="shared" ca="1" si="12"/>
        <v>2156.0588108226052</v>
      </c>
      <c r="AG41" s="376">
        <f t="shared" ca="1" si="12"/>
        <v>9697.8707913852722</v>
      </c>
      <c r="AH41" s="376">
        <f t="shared" ca="1" si="12"/>
        <v>18398.444195015032</v>
      </c>
      <c r="AI41" s="376">
        <f t="shared" ca="1" si="12"/>
        <v>16305.191403780245</v>
      </c>
      <c r="AJ41" s="376">
        <f t="shared" ca="1" si="12"/>
        <v>0</v>
      </c>
      <c r="AL41" s="370">
        <f t="shared" ca="1" si="3"/>
        <v>76485.818746813879</v>
      </c>
      <c r="AM41" s="377"/>
      <c r="AN41" s="370">
        <f t="shared" ca="1" si="4"/>
        <v>36303.414415386476</v>
      </c>
      <c r="AQ41" s="1144"/>
    </row>
    <row r="42" spans="2:43" x14ac:dyDescent="0.2">
      <c r="B42" s="375">
        <f t="shared" si="10"/>
        <v>2039</v>
      </c>
      <c r="C42" s="401">
        <f>MAX(TREND(C26:C27,$B26:$B27,$B42),0)</f>
        <v>3261.8928571428696</v>
      </c>
      <c r="D42" s="402">
        <f>MAX(TREND(D26:D27,$B26:$B27,$B42),0)</f>
        <v>3133.1000000000058</v>
      </c>
      <c r="E42" s="725">
        <f>MAX(TREND(E26:E27,$B26:$B27,$B42),0)</f>
        <v>42.156283602150538</v>
      </c>
      <c r="F42" s="726">
        <f>MAX(TREND(F26:F27,$B26:$B27,$B42),0)</f>
        <v>42.145603879849808</v>
      </c>
      <c r="G42" s="1139">
        <f>IFERROR(MAX(1/E42-1/INDEX(ReliabilityModelGroup,A20,17), 0),0)</f>
        <v>0</v>
      </c>
      <c r="H42" s="1140">
        <f>IFERROR(MAX(1/F42-1/INDEX(ReliabilityModelGroup,A20,24), 0),0)</f>
        <v>0</v>
      </c>
      <c r="I42" s="1139">
        <f>IFERROR(AlphaSTD*MAX(AlphaTTI*(1+INDEX(ReliabilityModelGroup,A20,17)*G42)^BetaTTI-1,0)^BetaSTD*INDEX(ReliabilityModelGroup,A20,16)/INDEX(ReliabilityModelGroup,A20,17)*INDEX(RelAdjFactors,A20,5),0)</f>
        <v>8.8396575465844946E-4</v>
      </c>
      <c r="J42" s="1140">
        <f>IFERROR(AlphaSTD*MAX(AlphaTTI*(1+INDEX(ReliabilityModelGroup,A20,24)*H42)^BetaTTI-1,0)^BetaSTD*INDEX(ReliabilityModelGroup,A20,23)/INDEX(ReliabilityModelGroup,A20,24)*INDEX(RelAdjFactors,A20,5),0)</f>
        <v>8.3886546105342639E-4</v>
      </c>
      <c r="K42" s="1156">
        <f>MIN(C42*INDEX(ReliabilityModelGroup,A20,18),D42*INDEX(ReliabilityModelGroup,A20,25))*(I42-J42)*(INDEX(ReliabilityModelGroup,A20,12)*AnnualFactor)</f>
        <v>149.56999809269107</v>
      </c>
      <c r="L42" s="1157">
        <f>IF(AND(D42*INDEX(ReliabilityModelGroup,A20,25)&gt;C42*INDEX(ReliabilityModelGroup,A20,18), Induced="Y"), (D42*INDEX(ReliabilityModelGroup,A20,25)-C42*INDEX(ReliabilityModelGroup,A20,18))*(I42-J42)*0.5*(INDEX(ReliabilityModelGroup,A20,12)*AnnualFactor), 0)</f>
        <v>0</v>
      </c>
      <c r="M42" s="1143">
        <f t="shared" si="6"/>
        <v>1938.4271752812765</v>
      </c>
      <c r="N42" s="370">
        <f t="shared" si="7"/>
        <v>995.13665082142734</v>
      </c>
      <c r="P42" s="375">
        <f t="shared" si="11"/>
        <v>2039</v>
      </c>
      <c r="Q42" s="401">
        <f>MAX(TREND(Q26:Q27,$P26:$P27,$P42),0)</f>
        <v>1030.0714285714275</v>
      </c>
      <c r="R42" s="402">
        <f>MAX(TREND(R26:R27,$P26:$P27,$P42),0)</f>
        <v>989.40000000000146</v>
      </c>
      <c r="S42" s="725">
        <f>MAX(TREND(S26:S27,$P26:$P27,$P42),0)</f>
        <v>42.156283602150538</v>
      </c>
      <c r="T42" s="726">
        <f>MAX(TREND(T26:T27,$P26:$P27,$P42),0)</f>
        <v>42.145603879849808</v>
      </c>
      <c r="U42" s="1139">
        <f>IFERROR(MAX(1/S42-1/INDEX(ReliabilityModelGroup,O20,17), 0),0)</f>
        <v>0</v>
      </c>
      <c r="V42" s="1140">
        <f>IFERROR(MAX(1/T42-1/INDEX(ReliabilityModelGroup,O20,24), 0),0)</f>
        <v>0</v>
      </c>
      <c r="W42" s="1139">
        <f>IFERROR(AlphaSTD*MAX(AlphaTTI*(1+INDEX(ReliabilityModelGroup,O20,17)*U42)^BetaTTI-1,0)^BetaSTD*INDEX(ReliabilityModelGroup,O20,16)/INDEX(ReliabilityModelGroup,O20,17)*INDEX(RelAdjFactors,O20,15),0)</f>
        <v>8.8396575465844946E-4</v>
      </c>
      <c r="X42" s="1140">
        <f>IFERROR(AlphaSTD*MAX(AlphaTTI*(1+INDEX(ReliabilityModelGroup,O20,24)*V42)^BetaTTI-1,0)^BetaSTD*INDEX(ReliabilityModelGroup,O20,23)/INDEX(ReliabilityModelGroup,O20,24)*INDEX(RelAdjFactors,O20,15),0)</f>
        <v>8.3886546105342639E-4</v>
      </c>
      <c r="Y42" s="1156">
        <f>MIN(Q42,R42)*(W42-X42)*(INDEX(ReliabilityModelGroup,A20,12)*AnnualFactor)</f>
        <v>32.574228259751216</v>
      </c>
      <c r="Z42" s="1157">
        <f>IF(AND(R42&gt;Q42, Induced="Y"), (R42-Q42)*(W42-X42)*0.5*(INDEX(ReliabilityModelGroup,A20,12)*AnnualFactor), 0)</f>
        <v>0</v>
      </c>
      <c r="AA42" s="1143">
        <f t="shared" si="8"/>
        <v>1286.3562739775755</v>
      </c>
      <c r="AB42" s="370">
        <f t="shared" si="9"/>
        <v>660.38089569365695</v>
      </c>
      <c r="AD42" s="375">
        <f t="shared" si="5"/>
        <v>2042</v>
      </c>
      <c r="AE42" s="376">
        <f t="shared" ca="1" si="1"/>
        <v>930.51683876001084</v>
      </c>
      <c r="AF42" s="376">
        <f t="shared" ca="1" si="12"/>
        <v>2104.0085010734733</v>
      </c>
      <c r="AG42" s="376">
        <f t="shared" ca="1" si="12"/>
        <v>9463.6926816604937</v>
      </c>
      <c r="AH42" s="376">
        <f t="shared" ca="1" si="12"/>
        <v>17881.251059003425</v>
      </c>
      <c r="AI42" s="376">
        <f t="shared" ca="1" si="12"/>
        <v>15817.944115248418</v>
      </c>
      <c r="AJ42" s="376">
        <f t="shared" ca="1" si="12"/>
        <v>0</v>
      </c>
      <c r="AL42" s="370">
        <f t="shared" ca="1" si="3"/>
        <v>74363.33633915332</v>
      </c>
      <c r="AM42" s="377"/>
      <c r="AN42" s="370">
        <f t="shared" ca="1" si="4"/>
        <v>33938.455981165753</v>
      </c>
      <c r="AQ42" s="1144"/>
    </row>
    <row r="43" spans="2:43" x14ac:dyDescent="0.2">
      <c r="B43" s="375">
        <f t="shared" si="10"/>
        <v>2040</v>
      </c>
      <c r="C43" s="401">
        <f>MAX(TREND(C26:C27,$B26:$B27,$B43),0)</f>
        <v>3297.8571428571449</v>
      </c>
      <c r="D43" s="402">
        <f>MAX(TREND(D26:D27,$B26:$B27,$B43),0)</f>
        <v>3187.2193548387149</v>
      </c>
      <c r="E43" s="725">
        <f>MAX(TREND(E26:E27,$B26:$B27,$B43),0)</f>
        <v>42.099395161290317</v>
      </c>
      <c r="F43" s="726">
        <f>MAX(TREND(F26:F27,$B26:$B27,$B43),0)</f>
        <v>42.143710888610755</v>
      </c>
      <c r="G43" s="1139">
        <f>IFERROR(MAX(1/E43-1/INDEX(ReliabilityModelGroup,A20,17), 0),0)</f>
        <v>0</v>
      </c>
      <c r="H43" s="1140">
        <f>IFERROR(MAX(1/F43-1/INDEX(ReliabilityModelGroup,A20,24), 0),0)</f>
        <v>0</v>
      </c>
      <c r="I43" s="1139">
        <f>IFERROR(AlphaSTD*MAX(AlphaTTI*(1+INDEX(ReliabilityModelGroup,A20,17)*G43)^BetaTTI-1,0)^BetaSTD*INDEX(ReliabilityModelGroup,A20,16)/INDEX(ReliabilityModelGroup,A20,17)*INDEX(RelAdjFactors,A20,5),0)</f>
        <v>8.8396575465844946E-4</v>
      </c>
      <c r="J43" s="1140">
        <f>IFERROR(AlphaSTD*MAX(AlphaTTI*(1+INDEX(ReliabilityModelGroup,A20,24)*H43)^BetaTTI-1,0)^BetaSTD*INDEX(ReliabilityModelGroup,A20,23)/INDEX(ReliabilityModelGroup,A20,24)*INDEX(RelAdjFactors,A20,5),0)</f>
        <v>8.3886546105342639E-4</v>
      </c>
      <c r="K43" s="1156">
        <f>MIN(C43*INDEX(ReliabilityModelGroup,A20,18),D43*INDEX(ReliabilityModelGroup,A20,25))*(I43-J43)*(INDEX(ReliabilityModelGroup,A20,12)*AnnualFactor)</f>
        <v>152.15358361501825</v>
      </c>
      <c r="L43" s="1157">
        <f>IF(AND(D43*INDEX(ReliabilityModelGroup,A20,25)&gt;C43*INDEX(ReliabilityModelGroup,A20,18), Induced="Y"), (D43*INDEX(ReliabilityModelGroup,A20,25)-C43*INDEX(ReliabilityModelGroup,A20,18))*(I43-J43)*0.5*(INDEX(ReliabilityModelGroup,A20,12)*AnnualFactor), 0)</f>
        <v>0</v>
      </c>
      <c r="M43" s="1143">
        <f t="shared" si="6"/>
        <v>1971.9104436506368</v>
      </c>
      <c r="N43" s="370">
        <f t="shared" si="7"/>
        <v>973.39044710185726</v>
      </c>
      <c r="P43" s="375">
        <f t="shared" si="11"/>
        <v>2040</v>
      </c>
      <c r="Q43" s="401">
        <f>MAX(TREND(Q26:Q27,$P26:$P27,$P43),0)</f>
        <v>1041.4285714285725</v>
      </c>
      <c r="R43" s="402">
        <f>MAX(TREND(R26:R27,$P26:$P27,$P43),0)</f>
        <v>1006.4903225806484</v>
      </c>
      <c r="S43" s="725">
        <f>MAX(TREND(S26:S27,$P26:$P27,$P43),0)</f>
        <v>42.099395161290317</v>
      </c>
      <c r="T43" s="726">
        <f>MAX(TREND(T26:T27,$P26:$P27,$P43),0)</f>
        <v>42.143710888610755</v>
      </c>
      <c r="U43" s="1139">
        <f>IFERROR(MAX(1/S43-1/INDEX(ReliabilityModelGroup,O20,17), 0),0)</f>
        <v>0</v>
      </c>
      <c r="V43" s="1140">
        <f>IFERROR(MAX(1/T43-1/INDEX(ReliabilityModelGroup,O20,24), 0),0)</f>
        <v>0</v>
      </c>
      <c r="W43" s="1139">
        <f>IFERROR(AlphaSTD*MAX(AlphaTTI*(1+INDEX(ReliabilityModelGroup,O20,17)*U43)^BetaTTI-1,0)^BetaSTD*INDEX(ReliabilityModelGroup,O20,16)/INDEX(ReliabilityModelGroup,O20,17)*INDEX(RelAdjFactors,O20,15),0)</f>
        <v>8.8396575465844946E-4</v>
      </c>
      <c r="X43" s="1140">
        <f>IFERROR(AlphaSTD*MAX(AlphaTTI*(1+INDEX(ReliabilityModelGroup,O20,24)*V43)^BetaTTI-1,0)^BetaSTD*INDEX(ReliabilityModelGroup,O20,23)/INDEX(ReliabilityModelGroup,O20,24)*INDEX(RelAdjFactors,O20,15),0)</f>
        <v>8.3886546105342639E-4</v>
      </c>
      <c r="Y43" s="1156">
        <f>MIN(Q43,R43)*(W43-X43)*(INDEX(ReliabilityModelGroup,A20,12)*AnnualFactor)</f>
        <v>33.13689661307118</v>
      </c>
      <c r="Z43" s="1157">
        <f>IF(AND(R43&gt;Q43, Induced="Y"), (R43-Q43)*(W43-X43)*0.5*(INDEX(ReliabilityModelGroup,A20,12)*AnnualFactor), 0)</f>
        <v>0</v>
      </c>
      <c r="AA43" s="1143">
        <f t="shared" si="8"/>
        <v>1308.5760472501809</v>
      </c>
      <c r="AB43" s="370">
        <f t="shared" si="9"/>
        <v>645.94993540452379</v>
      </c>
      <c r="AD43" s="375">
        <f t="shared" si="5"/>
        <v>2043</v>
      </c>
      <c r="AE43" s="376">
        <f t="shared" ca="1" si="1"/>
        <v>909.42131284609763</v>
      </c>
      <c r="AF43" s="376">
        <f t="shared" ca="1" si="12"/>
        <v>2052.7726251943591</v>
      </c>
      <c r="AG43" s="376">
        <f t="shared" ca="1" si="12"/>
        <v>9233.1823099746252</v>
      </c>
      <c r="AH43" s="376">
        <f t="shared" ca="1" si="12"/>
        <v>17376.625376952816</v>
      </c>
      <c r="AI43" s="376">
        <f t="shared" ca="1" si="12"/>
        <v>15344.057281745989</v>
      </c>
      <c r="AJ43" s="376">
        <f t="shared" ca="1" si="12"/>
        <v>0</v>
      </c>
      <c r="AL43" s="370">
        <f ca="1">IF(Reliability="N", 0, SUM(AE43:AK43,AK76:AK76))</f>
        <v>44916.058906713886</v>
      </c>
      <c r="AM43" s="377"/>
      <c r="AN43" s="370">
        <f t="shared" ca="1" si="4"/>
        <v>19710.675922915856</v>
      </c>
      <c r="AQ43" s="1144"/>
    </row>
    <row r="44" spans="2:43" x14ac:dyDescent="0.2">
      <c r="B44" s="375">
        <f t="shared" si="10"/>
        <v>2041</v>
      </c>
      <c r="C44" s="401">
        <f>MAX(TREND(C26:C27,$B26:$B27,$B44),0)</f>
        <v>3333.8214285714348</v>
      </c>
      <c r="D44" s="402">
        <f>MAX(TREND(D26:D27,$B26:$B27,$B44),0)</f>
        <v>3241.338709677424</v>
      </c>
      <c r="E44" s="725">
        <f>MAX(TREND(E26:E27,$B26:$B27,$B44),0)</f>
        <v>42.042506720430111</v>
      </c>
      <c r="F44" s="726">
        <f>MAX(TREND(F26:F27,$B26:$B27,$B44),0)</f>
        <v>42.141817897371709</v>
      </c>
      <c r="G44" s="1139">
        <f>IFERROR(MAX(1/E44-1/INDEX(ReliabilityModelGroup,A20,17), 0),0)</f>
        <v>0</v>
      </c>
      <c r="H44" s="1140">
        <f>IFERROR(MAX(1/F44-1/INDEX(ReliabilityModelGroup,A20,24), 0),0)</f>
        <v>0</v>
      </c>
      <c r="I44" s="1139">
        <f>IFERROR(AlphaSTD*MAX(AlphaTTI*(1+INDEX(ReliabilityModelGroup,A20,17)*G44)^BetaTTI-1,0)^BetaSTD*INDEX(ReliabilityModelGroup,A20,16)/INDEX(ReliabilityModelGroup,A20,17)*INDEX(RelAdjFactors,A20,5),0)</f>
        <v>8.8396575465844946E-4</v>
      </c>
      <c r="J44" s="1140">
        <f>IFERROR(AlphaSTD*MAX(AlphaTTI*(1+INDEX(ReliabilityModelGroup,A20,24)*H44)^BetaTTI-1,0)^BetaSTD*INDEX(ReliabilityModelGroup,A20,23)/INDEX(ReliabilityModelGroup,A20,24)*INDEX(RelAdjFactors,A20,5),0)</f>
        <v>8.3886546105342639E-4</v>
      </c>
      <c r="K44" s="1156">
        <f>MIN(C44*INDEX(ReliabilityModelGroup,A20,18),D44*INDEX(ReliabilityModelGroup,A20,25))*(I44-J44)*(INDEX(ReliabilityModelGroup,A20,12)*AnnualFactor)</f>
        <v>154.73716913734549</v>
      </c>
      <c r="L44" s="1157">
        <f>IF(AND(D44*INDEX(ReliabilityModelGroup,A20,25)&gt;C44*INDEX(ReliabilityModelGroup,A20,18), Induced="Y"), (D44*INDEX(ReliabilityModelGroup,A20,25)-C44*INDEX(ReliabilityModelGroup,A20,18))*(I44-J44)*0.5*(INDEX(ReliabilityModelGroup,A20,12)*AnnualFactor), 0)</f>
        <v>0</v>
      </c>
      <c r="M44" s="1143">
        <f t="shared" si="6"/>
        <v>2005.393712019998</v>
      </c>
      <c r="N44" s="370">
        <f t="shared" si="7"/>
        <v>951.84493264648347</v>
      </c>
      <c r="P44" s="375">
        <f t="shared" si="11"/>
        <v>2041</v>
      </c>
      <c r="Q44" s="401">
        <f>MAX(TREND(Q26:Q27,$P26:$P27,$P44),0)</f>
        <v>1052.7857142857138</v>
      </c>
      <c r="R44" s="402">
        <f>MAX(TREND(R26:R27,$P26:$P27,$P44),0)</f>
        <v>1023.5806451612953</v>
      </c>
      <c r="S44" s="725">
        <f>MAX(TREND(S26:S27,$P26:$P27,$P44),0)</f>
        <v>42.042506720430111</v>
      </c>
      <c r="T44" s="726">
        <f>MAX(TREND(T26:T27,$P26:$P27,$P44),0)</f>
        <v>42.141817897371709</v>
      </c>
      <c r="U44" s="1139">
        <f>IFERROR(MAX(1/S44-1/INDEX(ReliabilityModelGroup,O20,17), 0),0)</f>
        <v>0</v>
      </c>
      <c r="V44" s="1140">
        <f>IFERROR(MAX(1/T44-1/INDEX(ReliabilityModelGroup,O20,24), 0),0)</f>
        <v>0</v>
      </c>
      <c r="W44" s="1139">
        <f>IFERROR(AlphaSTD*MAX(AlphaTTI*(1+INDEX(ReliabilityModelGroup,O20,17)*U44)^BetaTTI-1,0)^BetaSTD*INDEX(ReliabilityModelGroup,O20,16)/INDEX(ReliabilityModelGroup,O20,17)*INDEX(RelAdjFactors,O20,15),0)</f>
        <v>8.8396575465844946E-4</v>
      </c>
      <c r="X44" s="1140">
        <f>IFERROR(AlphaSTD*MAX(AlphaTTI*(1+INDEX(ReliabilityModelGroup,O20,24)*V44)^BetaTTI-1,0)^BetaSTD*INDEX(ReliabilityModelGroup,O20,23)/INDEX(ReliabilityModelGroup,O20,24)*INDEX(RelAdjFactors,O20,15),0)</f>
        <v>8.3886546105342639E-4</v>
      </c>
      <c r="Y44" s="1156">
        <f>MIN(Q44,R44)*(W44-X44)*(INDEX(ReliabilityModelGroup,A20,12)*AnnualFactor)</f>
        <v>33.699564966391144</v>
      </c>
      <c r="Z44" s="1157">
        <f>IF(AND(R44&gt;Q44, Induced="Y"), (R44-Q44)*(W44-X44)*0.5*(INDEX(ReliabilityModelGroup,A20,12)*AnnualFactor), 0)</f>
        <v>0</v>
      </c>
      <c r="AA44" s="1143">
        <f t="shared" si="8"/>
        <v>1330.7958205227862</v>
      </c>
      <c r="AB44" s="370">
        <f t="shared" si="9"/>
        <v>631.65215416767069</v>
      </c>
      <c r="AD44" s="375">
        <f t="shared" si="5"/>
        <v>2044</v>
      </c>
      <c r="AE44" s="376">
        <f t="shared" ca="1" si="1"/>
        <v>888.57201549544402</v>
      </c>
      <c r="AF44" s="376">
        <f t="shared" ca="1" si="12"/>
        <v>2002.3655319256595</v>
      </c>
      <c r="AG44" s="376">
        <f t="shared" ca="1" si="12"/>
        <v>9006.4039599544849</v>
      </c>
      <c r="AH44" s="376">
        <f t="shared" ca="1" si="12"/>
        <v>16884.365500238939</v>
      </c>
      <c r="AI44" s="376">
        <f t="shared" ca="1" si="12"/>
        <v>14883.223955975589</v>
      </c>
      <c r="AJ44" s="376">
        <f t="shared" ca="1" si="12"/>
        <v>0</v>
      </c>
      <c r="AL44" s="370">
        <f ca="1">IF(Reliability="N", 0, SUM(AE44:AK44,AK77:AK77))</f>
        <v>43664.930963590115</v>
      </c>
      <c r="AM44" s="377"/>
      <c r="AN44" s="370">
        <f t="shared" ca="1" si="4"/>
        <v>18424.652827813545</v>
      </c>
      <c r="AQ44" s="1144"/>
    </row>
    <row r="45" spans="2:43" x14ac:dyDescent="0.2">
      <c r="B45" s="375">
        <f t="shared" si="10"/>
        <v>2042</v>
      </c>
      <c r="C45" s="401">
        <f>MAX(TREND(C26:C27,$B26:$B27,$B45),0)</f>
        <v>3369.7857142857247</v>
      </c>
      <c r="D45" s="402">
        <f>MAX(TREND(D26:D27,$B26:$B27,$B45),0)</f>
        <v>3295.4580645161332</v>
      </c>
      <c r="E45" s="725">
        <f>MAX(TREND(E26:E27,$B26:$B27,$B45),0)</f>
        <v>41.985618279569891</v>
      </c>
      <c r="F45" s="726">
        <f>MAX(TREND(F26:F27,$B26:$B27,$B45),0)</f>
        <v>42.139924906132663</v>
      </c>
      <c r="G45" s="1139">
        <f>IFERROR(MAX(1/E45-1/INDEX(ReliabilityModelGroup,A20,17), 0),0)</f>
        <v>0</v>
      </c>
      <c r="H45" s="1140">
        <f>IFERROR(MAX(1/F45-1/INDEX(ReliabilityModelGroup,A20,24), 0),0)</f>
        <v>0</v>
      </c>
      <c r="I45" s="1139">
        <f>IFERROR(AlphaSTD*MAX(AlphaTTI*(1+INDEX(ReliabilityModelGroup,A20,17)*G45)^BetaTTI-1,0)^BetaSTD*INDEX(ReliabilityModelGroup,A20,16)/INDEX(ReliabilityModelGroup,A20,17)*INDEX(RelAdjFactors,A20,5),0)</f>
        <v>8.8396575465844946E-4</v>
      </c>
      <c r="J45" s="1140">
        <f>IFERROR(AlphaSTD*MAX(AlphaTTI*(1+INDEX(ReliabilityModelGroup,A20,24)*H45)^BetaTTI-1,0)^BetaSTD*INDEX(ReliabilityModelGroup,A20,23)/INDEX(ReliabilityModelGroup,A20,24)*INDEX(RelAdjFactors,A20,5),0)</f>
        <v>8.3886546105342639E-4</v>
      </c>
      <c r="K45" s="1156">
        <f>MIN(C45*INDEX(ReliabilityModelGroup,A20,18),D45*INDEX(ReliabilityModelGroup,A20,25))*(I45-J45)*(INDEX(ReliabilityModelGroup,A20,12)*AnnualFactor)</f>
        <v>157.32075465967267</v>
      </c>
      <c r="L45" s="1157">
        <f>IF(AND(D45*INDEX(ReliabilityModelGroup,A20,25)&gt;C45*INDEX(ReliabilityModelGroup,A20,18), Induced="Y"), (D45*INDEX(ReliabilityModelGroup,A20,25)-C45*INDEX(ReliabilityModelGroup,A20,18))*(I45-J45)*0.5*(INDEX(ReliabilityModelGroup,A20,12)*AnnualFactor), 0)</f>
        <v>0</v>
      </c>
      <c r="M45" s="1143">
        <f t="shared" si="6"/>
        <v>2038.8769803893583</v>
      </c>
      <c r="N45" s="370">
        <f t="shared" si="7"/>
        <v>930.51683876001084</v>
      </c>
      <c r="P45" s="375">
        <f t="shared" si="11"/>
        <v>2042</v>
      </c>
      <c r="Q45" s="401">
        <f>MAX(TREND(Q26:Q27,$P26:$P27,$P45),0)</f>
        <v>1064.1428571428551</v>
      </c>
      <c r="R45" s="402">
        <f>MAX(TREND(R26:R27,$P26:$P27,$P45),0)</f>
        <v>1040.6709677419349</v>
      </c>
      <c r="S45" s="725">
        <f>MAX(TREND(S26:S27,$P26:$P27,$P45),0)</f>
        <v>41.985618279569891</v>
      </c>
      <c r="T45" s="726">
        <f>MAX(TREND(T26:T27,$P26:$P27,$P45),0)</f>
        <v>42.139924906132663</v>
      </c>
      <c r="U45" s="1139">
        <f>IFERROR(MAX(1/S45-1/INDEX(ReliabilityModelGroup,O20,17), 0),0)</f>
        <v>0</v>
      </c>
      <c r="V45" s="1140">
        <f>IFERROR(MAX(1/T45-1/INDEX(ReliabilityModelGroup,O20,24), 0),0)</f>
        <v>0</v>
      </c>
      <c r="W45" s="1139">
        <f>IFERROR(AlphaSTD*MAX(AlphaTTI*(1+INDEX(ReliabilityModelGroup,O20,17)*U45)^BetaTTI-1,0)^BetaSTD*INDEX(ReliabilityModelGroup,O20,16)/INDEX(ReliabilityModelGroup,O20,17)*INDEX(RelAdjFactors,O20,15),0)</f>
        <v>8.8396575465844946E-4</v>
      </c>
      <c r="X45" s="1140">
        <f>IFERROR(AlphaSTD*MAX(AlphaTTI*(1+INDEX(ReliabilityModelGroup,O20,24)*V45)^BetaTTI-1,0)^BetaSTD*INDEX(ReliabilityModelGroup,O20,23)/INDEX(ReliabilityModelGroup,O20,24)*INDEX(RelAdjFactors,O20,15),0)</f>
        <v>8.3886546105342639E-4</v>
      </c>
      <c r="Y45" s="1156">
        <f>MIN(Q45,R45)*(W45-X45)*(INDEX(ReliabilityModelGroup,A20,12)*AnnualFactor)</f>
        <v>34.262233319710866</v>
      </c>
      <c r="Z45" s="1157">
        <f>IF(AND(R45&gt;Q45, Induced="Y"), (R45-Q45)*(W45-X45)*0.5*(INDEX(ReliabilityModelGroup,A20,12)*AnnualFactor), 0)</f>
        <v>0</v>
      </c>
      <c r="AA45" s="1143">
        <f t="shared" si="8"/>
        <v>1353.0155937953823</v>
      </c>
      <c r="AB45" s="370">
        <f t="shared" si="9"/>
        <v>617.49865501500233</v>
      </c>
      <c r="AD45" s="375">
        <f t="shared" si="5"/>
        <v>2045</v>
      </c>
      <c r="AE45" s="376">
        <f t="shared" ca="1" si="1"/>
        <v>867.98121244861886</v>
      </c>
      <c r="AF45" s="376">
        <f t="shared" ca="1" si="12"/>
        <v>1952.7992614746797</v>
      </c>
      <c r="AG45" s="376">
        <f t="shared" ca="1" si="12"/>
        <v>8783.4115446844171</v>
      </c>
      <c r="AH45" s="376">
        <f t="shared" ca="1" si="12"/>
        <v>16404.266700761997</v>
      </c>
      <c r="AI45" s="376">
        <f t="shared" ca="1" si="12"/>
        <v>14435.141037983802</v>
      </c>
      <c r="AJ45" s="376">
        <f t="shared" ca="1" si="12"/>
        <v>0</v>
      </c>
      <c r="AL45" s="370">
        <f ca="1">IF(Reliability="N", 0, SUM(AE45:AK45,AK78:AK78))</f>
        <v>42443.599757353513</v>
      </c>
      <c r="AM45" s="377"/>
      <c r="AN45" s="370">
        <f t="shared" ca="1" si="4"/>
        <v>17220.486102363015</v>
      </c>
      <c r="AQ45" s="1144"/>
    </row>
    <row r="46" spans="2:43" x14ac:dyDescent="0.2">
      <c r="B46" s="375">
        <f t="shared" si="10"/>
        <v>2043</v>
      </c>
      <c r="C46" s="401">
        <f>MAX(TREND(C26:C27,$B26:$B27,$B46),0)</f>
        <v>3405.75</v>
      </c>
      <c r="D46" s="402">
        <f>MAX(TREND(D26:D27,$B26:$B27,$B46),0)</f>
        <v>3349.5774193548423</v>
      </c>
      <c r="E46" s="725">
        <f>MAX(TREND(E26:E27,$B26:$B27,$B46),0)</f>
        <v>41.928729838709671</v>
      </c>
      <c r="F46" s="726">
        <f>MAX(TREND(F26:F27,$B26:$B27,$B46),0)</f>
        <v>42.13803191489361</v>
      </c>
      <c r="G46" s="1139">
        <f>IFERROR(MAX(1/E46-1/INDEX(ReliabilityModelGroup,A20,17), 0),0)</f>
        <v>0</v>
      </c>
      <c r="H46" s="1140">
        <f>IFERROR(MAX(1/F46-1/INDEX(ReliabilityModelGroup,A20,24), 0),0)</f>
        <v>0</v>
      </c>
      <c r="I46" s="1139">
        <f>IFERROR(AlphaSTD*MAX(AlphaTTI*(1+INDEX(ReliabilityModelGroup,A20,17)*G46)^BetaTTI-1,0)^BetaSTD*INDEX(ReliabilityModelGroup,A20,16)/INDEX(ReliabilityModelGroup,A20,17)*INDEX(RelAdjFactors,A20,5),0)</f>
        <v>8.8396575465844946E-4</v>
      </c>
      <c r="J46" s="1140">
        <f>IFERROR(AlphaSTD*MAX(AlphaTTI*(1+INDEX(ReliabilityModelGroup,A20,24)*H46)^BetaTTI-1,0)^BetaSTD*INDEX(ReliabilityModelGroup,A20,23)/INDEX(ReliabilityModelGroup,A20,24)*INDEX(RelAdjFactors,A20,5),0)</f>
        <v>8.3886546105342639E-4</v>
      </c>
      <c r="K46" s="1156">
        <f>MIN(C46*INDEX(ReliabilityModelGroup,A20,18),D46*INDEX(ReliabilityModelGroup,A20,25))*(I46-J46)*(INDEX(ReliabilityModelGroup,A20,12)*AnnualFactor)</f>
        <v>159.90434018199988</v>
      </c>
      <c r="L46" s="1157">
        <f>IF(AND(D46*INDEX(ReliabilityModelGroup,A20,25)&gt;C46*INDEX(ReliabilityModelGroup,A20,18), Induced="Y"), (D46*INDEX(ReliabilityModelGroup,A20,25)-C46*INDEX(ReliabilityModelGroup,A20,18))*(I46-J46)*0.5*(INDEX(ReliabilityModelGroup,A20,12)*AnnualFactor), 0)</f>
        <v>0</v>
      </c>
      <c r="M46" s="1143">
        <f t="shared" si="6"/>
        <v>2072.3602487587191</v>
      </c>
      <c r="N46" s="370">
        <f t="shared" si="7"/>
        <v>909.42131284609763</v>
      </c>
      <c r="P46" s="375">
        <f t="shared" si="11"/>
        <v>2043</v>
      </c>
      <c r="Q46" s="401">
        <f>MAX(TREND(Q26:Q27,$P26:$P27,$P46),0)</f>
        <v>1075.5</v>
      </c>
      <c r="R46" s="402">
        <f>MAX(TREND(R26:R27,$P26:$P27,$P46),0)</f>
        <v>1057.7612903225818</v>
      </c>
      <c r="S46" s="725">
        <f>MAX(TREND(S26:S27,$P26:$P27,$P46),0)</f>
        <v>41.928729838709671</v>
      </c>
      <c r="T46" s="726">
        <f>MAX(TREND(T26:T27,$P26:$P27,$P46),0)</f>
        <v>42.13803191489361</v>
      </c>
      <c r="U46" s="1139">
        <f>IFERROR(MAX(1/S46-1/INDEX(ReliabilityModelGroup,O20,17), 0),0)</f>
        <v>0</v>
      </c>
      <c r="V46" s="1140">
        <f>IFERROR(MAX(1/T46-1/INDEX(ReliabilityModelGroup,O20,24), 0),0)</f>
        <v>0</v>
      </c>
      <c r="W46" s="1139">
        <f>IFERROR(AlphaSTD*MAX(AlphaTTI*(1+INDEX(ReliabilityModelGroup,O20,17)*U46)^BetaTTI-1,0)^BetaSTD*INDEX(ReliabilityModelGroup,O20,16)/INDEX(ReliabilityModelGroup,O20,17)*INDEX(RelAdjFactors,O20,15),0)</f>
        <v>8.8396575465844946E-4</v>
      </c>
      <c r="X46" s="1140">
        <f>IFERROR(AlphaSTD*MAX(AlphaTTI*(1+INDEX(ReliabilityModelGroup,O20,24)*V46)^BetaTTI-1,0)^BetaSTD*INDEX(ReliabilityModelGroup,O20,23)/INDEX(ReliabilityModelGroup,O20,24)*INDEX(RelAdjFactors,O20,15),0)</f>
        <v>8.3886546105342639E-4</v>
      </c>
      <c r="Y46" s="1156">
        <f>MIN(Q46,R46)*(W46-X46)*(INDEX(ReliabilityModelGroup,A20,12)*AnnualFactor)</f>
        <v>34.82490167303083</v>
      </c>
      <c r="Z46" s="1157">
        <f>IF(AND(R46&gt;Q46, Induced="Y"), (R46-Q46)*(W46-X46)*0.5*(INDEX(ReliabilityModelGroup,A20,12)*AnnualFactor), 0)</f>
        <v>0</v>
      </c>
      <c r="AA46" s="1143">
        <f t="shared" si="8"/>
        <v>1375.2353670679875</v>
      </c>
      <c r="AB46" s="370">
        <f t="shared" si="9"/>
        <v>603.4994898886265</v>
      </c>
      <c r="AD46" s="1148"/>
      <c r="AE46" s="389"/>
      <c r="AF46" s="389"/>
      <c r="AG46" s="389"/>
      <c r="AH46" s="389"/>
      <c r="AI46" s="389"/>
      <c r="AJ46" s="389"/>
      <c r="AL46" s="389"/>
      <c r="AM46" s="390"/>
      <c r="AN46" s="389"/>
      <c r="AQ46" s="1144"/>
    </row>
    <row r="47" spans="2:43" x14ac:dyDescent="0.2">
      <c r="B47" s="375">
        <f t="shared" si="10"/>
        <v>2044</v>
      </c>
      <c r="C47" s="401">
        <f>MAX(TREND(C26:C27,$B26:$B27,$B47),0)</f>
        <v>3441.7142857142899</v>
      </c>
      <c r="D47" s="402">
        <f>MAX(TREND(D26:D27,$B26:$B27,$B47),0)</f>
        <v>3403.6967741935514</v>
      </c>
      <c r="E47" s="725">
        <f>MAX(TREND(E26:E27,$B26:$B27,$B47),0)</f>
        <v>41.871841397849465</v>
      </c>
      <c r="F47" s="726">
        <f>MAX(TREND(F26:F27,$B26:$B27,$B47),0)</f>
        <v>42.136138923654563</v>
      </c>
      <c r="G47" s="1139">
        <f>IFERROR(MAX(1/E47-1/INDEX(ReliabilityModelGroup,A20,17), 0),0)</f>
        <v>0</v>
      </c>
      <c r="H47" s="1140">
        <f>IFERROR(MAX(1/F47-1/INDEX(ReliabilityModelGroup,A20,24), 0),0)</f>
        <v>0</v>
      </c>
      <c r="I47" s="1139">
        <f>IFERROR(AlphaSTD*MAX(AlphaTTI*(1+INDEX(ReliabilityModelGroup,A20,17)*G47)^BetaTTI-1,0)^BetaSTD*INDEX(ReliabilityModelGroup,A20,16)/INDEX(ReliabilityModelGroup,A20,17)*INDEX(RelAdjFactors,A20,5),0)</f>
        <v>8.8396575465844946E-4</v>
      </c>
      <c r="J47" s="1140">
        <f>IFERROR(AlphaSTD*MAX(AlphaTTI*(1+INDEX(ReliabilityModelGroup,A20,24)*H47)^BetaTTI-1,0)^BetaSTD*INDEX(ReliabilityModelGroup,A20,23)/INDEX(ReliabilityModelGroup,A20,24)*INDEX(RelAdjFactors,A20,5),0)</f>
        <v>8.3886546105342639E-4</v>
      </c>
      <c r="K47" s="1156">
        <f>MIN(C47*INDEX(ReliabilityModelGroup,A20,18),D47*INDEX(ReliabilityModelGroup,A20,25))*(I47-J47)*(INDEX(ReliabilityModelGroup,A20,12)*AnnualFactor)</f>
        <v>162.4879257043271</v>
      </c>
      <c r="L47" s="1157">
        <f>IF(AND(D47*INDEX(ReliabilityModelGroup,A20,25)&gt;C47*INDEX(ReliabilityModelGroup,A20,18), Induced="Y"), (D47*INDEX(ReliabilityModelGroup,A20,25)-C47*INDEX(ReliabilityModelGroup,A20,18))*(I47-J47)*0.5*(INDEX(ReliabilityModelGroup,A20,12)*AnnualFactor), 0)</f>
        <v>0</v>
      </c>
      <c r="M47" s="1143">
        <f t="shared" si="6"/>
        <v>2105.8435171280794</v>
      </c>
      <c r="N47" s="370">
        <f t="shared" si="7"/>
        <v>888.57201549544402</v>
      </c>
      <c r="P47" s="375">
        <f t="shared" si="11"/>
        <v>2044</v>
      </c>
      <c r="Q47" s="401">
        <f>MAX(TREND(Q26:Q27,$P26:$P27,$P47),0)</f>
        <v>1086.8571428571413</v>
      </c>
      <c r="R47" s="402">
        <f>MAX(TREND(R26:R27,$P26:$P27,$P47),0)</f>
        <v>1074.8516129032287</v>
      </c>
      <c r="S47" s="725">
        <f>MAX(TREND(S26:S27,$P26:$P27,$P47),0)</f>
        <v>41.871841397849465</v>
      </c>
      <c r="T47" s="726">
        <f>MAX(TREND(T26:T27,$P26:$P27,$P47),0)</f>
        <v>42.136138923654563</v>
      </c>
      <c r="U47" s="1139">
        <f>IFERROR(MAX(1/S47-1/INDEX(ReliabilityModelGroup,O20,17), 0),0)</f>
        <v>0</v>
      </c>
      <c r="V47" s="1140">
        <f>IFERROR(MAX(1/T47-1/INDEX(ReliabilityModelGroup,O20,24), 0),0)</f>
        <v>0</v>
      </c>
      <c r="W47" s="1139">
        <f>IFERROR(AlphaSTD*MAX(AlphaTTI*(1+INDEX(ReliabilityModelGroup,O20,17)*U47)^BetaTTI-1,0)^BetaSTD*INDEX(ReliabilityModelGroup,O20,16)/INDEX(ReliabilityModelGroup,O20,17)*INDEX(RelAdjFactors,O20,15),0)</f>
        <v>8.8396575465844946E-4</v>
      </c>
      <c r="X47" s="1140">
        <f>IFERROR(AlphaSTD*MAX(AlphaTTI*(1+INDEX(ReliabilityModelGroup,O20,24)*V47)^BetaTTI-1,0)^BetaSTD*INDEX(ReliabilityModelGroup,O20,23)/INDEX(ReliabilityModelGroup,O20,24)*INDEX(RelAdjFactors,O20,15),0)</f>
        <v>8.3886546105342639E-4</v>
      </c>
      <c r="Y47" s="1156">
        <f>MIN(Q47,R47)*(W47-X47)*(INDEX(ReliabilityModelGroup,A20,12)*AnnualFactor)</f>
        <v>35.387570026350794</v>
      </c>
      <c r="Z47" s="1157">
        <f>IF(AND(R47&gt;Q47, Induced="Y"), (R47-Q47)*(W47-X47)*0.5*(INDEX(ReliabilityModelGroup,A20,12)*AnnualFactor), 0)</f>
        <v>0</v>
      </c>
      <c r="AA47" s="1143">
        <f t="shared" si="8"/>
        <v>1397.4551403405928</v>
      </c>
      <c r="AB47" s="370">
        <f t="shared" si="9"/>
        <v>589.66372406928724</v>
      </c>
      <c r="AD47" s="1158" t="s">
        <v>56</v>
      </c>
      <c r="AE47" s="408">
        <f t="shared" ref="AE47:AJ47" ca="1" si="13">SUM(AE26:AE45)</f>
        <v>21481.509888208595</v>
      </c>
      <c r="AF47" s="408">
        <f t="shared" ca="1" si="13"/>
        <v>49330.770027027102</v>
      </c>
      <c r="AG47" s="408">
        <f t="shared" ca="1" si="13"/>
        <v>221898.32236549477</v>
      </c>
      <c r="AH47" s="408">
        <f t="shared" ca="1" si="13"/>
        <v>434086.15562494588</v>
      </c>
      <c r="AI47" s="408">
        <f t="shared" ca="1" si="13"/>
        <v>389893.58290282136</v>
      </c>
      <c r="AJ47" s="408">
        <f t="shared" ca="1" si="13"/>
        <v>0</v>
      </c>
      <c r="AL47" s="1160">
        <f ca="1">SUM(AL26:AL45)</f>
        <v>1719790.7867254629</v>
      </c>
      <c r="AM47" s="410"/>
      <c r="AN47" s="1160">
        <f ca="1">SUM(AN26:AN45)</f>
        <v>1091696.3277626883</v>
      </c>
      <c r="AQ47" s="1144"/>
    </row>
    <row r="48" spans="2:43" x14ac:dyDescent="0.2">
      <c r="B48" s="375">
        <f t="shared" si="10"/>
        <v>2045</v>
      </c>
      <c r="C48" s="401">
        <f>MAX(TREND(C26:C27,$B26:$B27,$B48),0)</f>
        <v>3477.6785714285797</v>
      </c>
      <c r="D48" s="402">
        <f>MAX(TREND(D26:D27,$B26:$B27,$B48),0)</f>
        <v>3457.8161290322605</v>
      </c>
      <c r="E48" s="725">
        <f>MAX(TREND(E26:E27,$B26:$B27,$B48),0)</f>
        <v>41.814952956989245</v>
      </c>
      <c r="F48" s="726">
        <f>MAX(TREND(F26:F27,$B26:$B27,$B48),0)</f>
        <v>42.13424593241551</v>
      </c>
      <c r="G48" s="1139">
        <f>IFERROR(MAX(1/E48-1/INDEX(ReliabilityModelGroup,A20,17), 0),0)</f>
        <v>0</v>
      </c>
      <c r="H48" s="1140">
        <f>IFERROR(MAX(1/F48-1/INDEX(ReliabilityModelGroup,A20,24), 0),0)</f>
        <v>0</v>
      </c>
      <c r="I48" s="1139">
        <f>IFERROR(AlphaSTD*MAX(AlphaTTI*(1+INDEX(ReliabilityModelGroup,A20,17)*G48)^BetaTTI-1,0)^BetaSTD*INDEX(ReliabilityModelGroup,A20,16)/INDEX(ReliabilityModelGroup,A20,17)*INDEX(RelAdjFactors,A20,5),0)</f>
        <v>8.8396575465844946E-4</v>
      </c>
      <c r="J48" s="1140">
        <f>IFERROR(AlphaSTD*MAX(AlphaTTI*(1+INDEX(ReliabilityModelGroup,A20,24)*H48)^BetaTTI-1,0)^BetaSTD*INDEX(ReliabilityModelGroup,A20,23)/INDEX(ReliabilityModelGroup,A20,24)*INDEX(RelAdjFactors,A20,5),0)</f>
        <v>8.3886546105342639E-4</v>
      </c>
      <c r="K48" s="1156">
        <f>MIN(C48*INDEX(ReliabilityModelGroup,A20,18),D48*INDEX(ReliabilityModelGroup,A20,25))*(I48-J48)*(INDEX(ReliabilityModelGroup,A20,12)*AnnualFactor)</f>
        <v>165.07151122665431</v>
      </c>
      <c r="L48" s="1157">
        <f>IF(AND(D48*INDEX(ReliabilityModelGroup,A20,25)&gt;C48*INDEX(ReliabilityModelGroup,A20,18), Induced="Y"), (D48*INDEX(ReliabilityModelGroup,A20,25)-C48*INDEX(ReliabilityModelGroup,A20,18))*(I48-J48)*0.5*(INDEX(ReliabilityModelGroup,A20,12)*AnnualFactor), 0)</f>
        <v>0</v>
      </c>
      <c r="M48" s="1143">
        <f t="shared" si="6"/>
        <v>2139.3267854974401</v>
      </c>
      <c r="N48" s="370">
        <f t="shared" si="7"/>
        <v>867.98121244861886</v>
      </c>
      <c r="P48" s="375">
        <f t="shared" si="11"/>
        <v>2045</v>
      </c>
      <c r="Q48" s="401">
        <f>MAX(TREND(Q26:Q27,$P26:$P27,$P48),0)</f>
        <v>1098.2142857142862</v>
      </c>
      <c r="R48" s="402">
        <f>MAX(TREND(R26:R27,$P26:$P27,$P48),0)</f>
        <v>1091.9419354838756</v>
      </c>
      <c r="S48" s="725">
        <f>MAX(TREND(S26:S27,$P26:$P27,$P48),0)</f>
        <v>41.814952956989245</v>
      </c>
      <c r="T48" s="726">
        <f>MAX(TREND(T26:T27,$P26:$P27,$P48),0)</f>
        <v>42.13424593241551</v>
      </c>
      <c r="U48" s="1139">
        <f>IFERROR(MAX(1/S48-1/INDEX(ReliabilityModelGroup,O20,17), 0),0)</f>
        <v>0</v>
      </c>
      <c r="V48" s="1140">
        <f>IFERROR(MAX(1/T48-1/INDEX(ReliabilityModelGroup,O20,24), 0),0)</f>
        <v>0</v>
      </c>
      <c r="W48" s="1139">
        <f>IFERROR(AlphaSTD*MAX(AlphaTTI*(1+INDEX(ReliabilityModelGroup,O20,17)*U48)^BetaTTI-1,0)^BetaSTD*INDEX(ReliabilityModelGroup,O20,16)/INDEX(ReliabilityModelGroup,O20,17)*INDEX(RelAdjFactors,O20,15),0)</f>
        <v>8.8396575465844946E-4</v>
      </c>
      <c r="X48" s="1140">
        <f>IFERROR(AlphaSTD*MAX(AlphaTTI*(1+INDEX(ReliabilityModelGroup,O20,24)*V48)^BetaTTI-1,0)^BetaSTD*INDEX(ReliabilityModelGroup,O20,23)/INDEX(ReliabilityModelGroup,O20,24)*INDEX(RelAdjFactors,O20,15),0)</f>
        <v>8.3886546105342639E-4</v>
      </c>
      <c r="Y48" s="1156">
        <f>MIN(Q48,R48)*(W48-X48)*(INDEX(ReliabilityModelGroup,A20,12)*AnnualFactor)</f>
        <v>35.950238379670758</v>
      </c>
      <c r="Z48" s="1157">
        <f>IF(AND(R48&gt;Q48, Induced="Y"), (R48-Q48)*(W48-X48)*0.5*(INDEX(ReliabilityModelGroup,A20,12)*AnnualFactor), 0)</f>
        <v>0</v>
      </c>
      <c r="AA48" s="1143">
        <f t="shared" si="8"/>
        <v>1419.6749136131982</v>
      </c>
      <c r="AB48" s="370">
        <f t="shared" si="9"/>
        <v>575.99949720367135</v>
      </c>
      <c r="AD48" s="1047"/>
      <c r="AQ48" s="1144"/>
    </row>
    <row r="49" spans="1:43" x14ac:dyDescent="0.2">
      <c r="B49" s="1148"/>
      <c r="C49" s="386"/>
      <c r="D49" s="386"/>
      <c r="E49" s="386"/>
      <c r="F49" s="386"/>
      <c r="G49" s="386"/>
      <c r="H49" s="386"/>
      <c r="I49" s="1150"/>
      <c r="J49" s="1150"/>
      <c r="K49" s="1150"/>
      <c r="L49" s="1150"/>
      <c r="M49" s="1150"/>
      <c r="N49" s="389"/>
      <c r="P49" s="1148"/>
      <c r="Q49" s="386"/>
      <c r="R49" s="386"/>
      <c r="S49" s="386"/>
      <c r="T49" s="386"/>
      <c r="U49" s="386"/>
      <c r="V49" s="386"/>
      <c r="W49" s="1150"/>
      <c r="X49" s="1150"/>
      <c r="Y49" s="1150"/>
      <c r="Z49" s="1150"/>
      <c r="AA49" s="1150"/>
      <c r="AB49" s="389"/>
      <c r="AD49" s="1047"/>
      <c r="AQ49" s="1144"/>
    </row>
    <row r="50" spans="1:43" x14ac:dyDescent="0.2">
      <c r="B50" s="1158" t="s">
        <v>56</v>
      </c>
      <c r="C50" s="1159"/>
      <c r="D50" s="1159"/>
      <c r="E50" s="1159"/>
      <c r="F50" s="1159"/>
      <c r="G50" s="1159"/>
      <c r="H50" s="1159"/>
      <c r="I50" s="1159"/>
      <c r="J50" s="1159"/>
      <c r="K50" s="1159"/>
      <c r="L50" s="1159"/>
      <c r="M50" s="1160">
        <f>SUM(M29:M48)</f>
        <v>36424.714719770207</v>
      </c>
      <c r="N50" s="1160">
        <f>SUM(N29:N48)</f>
        <v>21481.509888208595</v>
      </c>
      <c r="P50" s="1158" t="s">
        <v>56</v>
      </c>
      <c r="Q50" s="1159"/>
      <c r="R50" s="1159"/>
      <c r="S50" s="1159"/>
      <c r="T50" s="1159"/>
      <c r="U50" s="1159"/>
      <c r="V50" s="1159"/>
      <c r="W50" s="1159"/>
      <c r="X50" s="1159"/>
      <c r="Y50" s="1159"/>
      <c r="Z50" s="1159"/>
      <c r="AA50" s="1160">
        <f>SUM(AA29:AA48)</f>
        <v>24171.741350469329</v>
      </c>
      <c r="AB50" s="1160">
        <f>SUM(AB29:AB48)</f>
        <v>14255.307277767019</v>
      </c>
      <c r="AD50" s="1047"/>
      <c r="AQ50" s="1144"/>
    </row>
    <row r="51" spans="1:43" x14ac:dyDescent="0.2">
      <c r="G51" s="1046"/>
      <c r="H51" s="1046"/>
      <c r="I51" s="1047"/>
      <c r="K51" s="678"/>
      <c r="O51" s="1047"/>
      <c r="P51" s="1047"/>
      <c r="Q51" s="678"/>
      <c r="R51" s="1045"/>
      <c r="S51" s="1045"/>
      <c r="W51" s="1046"/>
      <c r="X51" s="1046"/>
      <c r="Y51" s="1046"/>
      <c r="AQ51" s="1144"/>
    </row>
    <row r="52" spans="1:43" x14ac:dyDescent="0.2">
      <c r="A52" s="678">
        <f>MAX($A$1:A51)+1</f>
        <v>2</v>
      </c>
      <c r="B52" s="1106" t="str">
        <f>IF(ISBLANK(INDEX(ReliabilityGroup,A52,2)),"Not Used",INDEX(ReliabilityGroup,A52,2))</f>
        <v>SB On-ramp from Ave 280</v>
      </c>
      <c r="C52" s="1049"/>
      <c r="D52" s="1049"/>
      <c r="E52" s="1049"/>
      <c r="F52" s="1049"/>
      <c r="G52" s="1049"/>
      <c r="H52" s="1049"/>
      <c r="I52" s="1102"/>
      <c r="K52" s="1107"/>
      <c r="L52" s="1102"/>
      <c r="M52" s="1102"/>
      <c r="N52" s="1049"/>
      <c r="O52" s="1045">
        <f>MAX($O$1:O51)+1</f>
        <v>2</v>
      </c>
      <c r="P52" s="1106" t="str">
        <f>IF(ISBLANK(INDEX(ReliabilityGroup,O52,2)),"Not Used",INDEX(ReliabilityGroup,O52,2))</f>
        <v>SB On-ramp from Ave 280</v>
      </c>
      <c r="Q52" s="1049"/>
      <c r="R52" s="1049"/>
      <c r="S52" s="1049"/>
      <c r="T52" s="1049"/>
      <c r="U52" s="1049"/>
      <c r="V52" s="1049"/>
      <c r="W52" s="1102"/>
      <c r="X52" s="1102"/>
      <c r="Y52" s="1102"/>
      <c r="Z52" s="1049"/>
      <c r="AA52" s="1049"/>
      <c r="AB52" s="1049"/>
      <c r="AD52" s="1185" t="s">
        <v>463</v>
      </c>
      <c r="AE52" s="1117">
        <v>1</v>
      </c>
      <c r="AF52" s="1117">
        <v>2</v>
      </c>
      <c r="AG52" s="1117">
        <v>3</v>
      </c>
      <c r="AH52" s="1117">
        <v>4</v>
      </c>
      <c r="AI52" s="1117">
        <v>5</v>
      </c>
      <c r="AJ52" s="1117">
        <v>6</v>
      </c>
      <c r="AQ52" s="1144"/>
    </row>
    <row r="53" spans="1:43" x14ac:dyDescent="0.2">
      <c r="B53" s="1049"/>
      <c r="C53" s="1049"/>
      <c r="D53" s="1108"/>
      <c r="E53" s="1108"/>
      <c r="F53" s="1108"/>
      <c r="G53" s="1108"/>
      <c r="H53" s="1108"/>
      <c r="I53" s="1109"/>
      <c r="J53" s="1049"/>
      <c r="K53" s="1109"/>
      <c r="L53" s="1049"/>
      <c r="M53" s="1049"/>
      <c r="N53" s="1105"/>
      <c r="P53" s="1049"/>
      <c r="Q53" s="1049"/>
      <c r="R53" s="1108"/>
      <c r="S53" s="1108"/>
      <c r="T53" s="1108"/>
      <c r="U53" s="1108"/>
      <c r="V53" s="1108"/>
      <c r="W53" s="1049"/>
      <c r="X53" s="1049"/>
      <c r="Y53" s="1049"/>
      <c r="Z53" s="1049"/>
      <c r="AA53" s="1049"/>
      <c r="AB53" s="1105"/>
      <c r="AD53" s="1121"/>
      <c r="AE53" s="1785" t="str">
        <f t="shared" ref="AE53:AJ53" si="14">IF(ISBLANK(INDEX(ReliabilityModelGroup,AE52,1)),"Not Used",INDEX(ReliabilityModelGroup,AE52,1))</f>
        <v>SB Off-ramp to Ave 280</v>
      </c>
      <c r="AF53" s="1785" t="str">
        <f t="shared" si="14"/>
        <v>SB On-ramp from Ave 280</v>
      </c>
      <c r="AG53" s="1785" t="str">
        <f t="shared" si="14"/>
        <v>NB Off-ramp to Ave 280</v>
      </c>
      <c r="AH53" s="1785" t="str">
        <f t="shared" si="14"/>
        <v>NB On-ramp from Ave 280</v>
      </c>
      <c r="AI53" s="1785" t="str">
        <f t="shared" si="14"/>
        <v>NB Mainline</v>
      </c>
      <c r="AJ53" s="1785" t="str">
        <f t="shared" si="14"/>
        <v>SB Mainline</v>
      </c>
      <c r="AQ53" s="1144"/>
    </row>
    <row r="54" spans="1:43" ht="15.75" x14ac:dyDescent="0.2">
      <c r="B54" s="1111"/>
      <c r="C54" s="681" t="s">
        <v>332</v>
      </c>
      <c r="D54" s="1112"/>
      <c r="E54" s="681" t="s">
        <v>272</v>
      </c>
      <c r="F54" s="1112"/>
      <c r="G54" s="681" t="s">
        <v>825</v>
      </c>
      <c r="H54" s="1113"/>
      <c r="I54" s="852" t="s">
        <v>826</v>
      </c>
      <c r="J54" s="1112"/>
      <c r="K54" s="852" t="s">
        <v>827</v>
      </c>
      <c r="L54" s="1114"/>
      <c r="M54" s="1115"/>
      <c r="N54" s="1116"/>
      <c r="P54" s="1111"/>
      <c r="Q54" s="681" t="s">
        <v>332</v>
      </c>
      <c r="R54" s="1112"/>
      <c r="S54" s="681" t="s">
        <v>272</v>
      </c>
      <c r="T54" s="1112"/>
      <c r="U54" s="681" t="s">
        <v>825</v>
      </c>
      <c r="V54" s="1113"/>
      <c r="W54" s="852" t="s">
        <v>826</v>
      </c>
      <c r="X54" s="1112"/>
      <c r="Y54" s="852" t="s">
        <v>827</v>
      </c>
      <c r="Z54" s="1114"/>
      <c r="AA54" s="1186"/>
      <c r="AB54" s="1116"/>
      <c r="AD54" s="1129" t="s">
        <v>34</v>
      </c>
      <c r="AE54" s="1785"/>
      <c r="AF54" s="1785"/>
      <c r="AG54" s="1785"/>
      <c r="AH54" s="1785"/>
      <c r="AI54" s="1785"/>
      <c r="AJ54" s="1785"/>
      <c r="AQ54" s="1144"/>
    </row>
    <row r="55" spans="1:43" ht="15.75" x14ac:dyDescent="0.2">
      <c r="B55" s="1121"/>
      <c r="C55" s="1188" t="s">
        <v>828</v>
      </c>
      <c r="D55" s="1189"/>
      <c r="E55" s="688" t="s">
        <v>276</v>
      </c>
      <c r="F55" s="1122"/>
      <c r="G55" s="688" t="s">
        <v>829</v>
      </c>
      <c r="H55" s="1123"/>
      <c r="I55" s="1124" t="s">
        <v>830</v>
      </c>
      <c r="J55" s="1122"/>
      <c r="K55" s="1125" t="s">
        <v>831</v>
      </c>
      <c r="L55" s="687"/>
      <c r="M55" s="1126"/>
      <c r="N55" s="1127"/>
      <c r="P55" s="1121"/>
      <c r="Q55" s="1188" t="s">
        <v>828</v>
      </c>
      <c r="R55" s="1189"/>
      <c r="S55" s="688" t="s">
        <v>276</v>
      </c>
      <c r="T55" s="1122"/>
      <c r="U55" s="688" t="s">
        <v>829</v>
      </c>
      <c r="V55" s="1123"/>
      <c r="W55" s="1124" t="s">
        <v>830</v>
      </c>
      <c r="X55" s="1122"/>
      <c r="Y55" s="1125" t="s">
        <v>831</v>
      </c>
      <c r="Z55" s="687"/>
      <c r="AA55" s="1126"/>
      <c r="AB55" s="1127"/>
      <c r="AD55" s="1133"/>
      <c r="AE55" s="1786"/>
      <c r="AF55" s="1786"/>
      <c r="AG55" s="1786"/>
      <c r="AH55" s="1786"/>
      <c r="AI55" s="1786"/>
      <c r="AJ55" s="1786"/>
      <c r="AQ55" s="1144"/>
    </row>
    <row r="56" spans="1:43" ht="15" x14ac:dyDescent="0.2">
      <c r="B56" s="1129" t="s">
        <v>34</v>
      </c>
      <c r="C56" s="1130"/>
      <c r="D56" s="692"/>
      <c r="E56" s="1130"/>
      <c r="F56" s="692"/>
      <c r="G56" s="1130"/>
      <c r="H56" s="692"/>
      <c r="I56" s="688" t="s">
        <v>832</v>
      </c>
      <c r="J56" s="1122"/>
      <c r="K56" s="1130" t="s">
        <v>207</v>
      </c>
      <c r="L56" s="692" t="s">
        <v>231</v>
      </c>
      <c r="M56" s="1131" t="s">
        <v>208</v>
      </c>
      <c r="N56" s="1128" t="s">
        <v>39</v>
      </c>
      <c r="P56" s="1129" t="s">
        <v>34</v>
      </c>
      <c r="Q56" s="1190"/>
      <c r="R56" s="1191"/>
      <c r="S56" s="1130"/>
      <c r="T56" s="692"/>
      <c r="U56" s="1130"/>
      <c r="V56" s="692"/>
      <c r="W56" s="688" t="s">
        <v>832</v>
      </c>
      <c r="X56" s="1122"/>
      <c r="Y56" s="1130" t="s">
        <v>207</v>
      </c>
      <c r="Z56" s="692" t="s">
        <v>231</v>
      </c>
      <c r="AA56" s="1131" t="s">
        <v>208</v>
      </c>
      <c r="AB56" s="1128" t="s">
        <v>39</v>
      </c>
      <c r="AD56" s="375">
        <f>YearOpen</f>
        <v>2026</v>
      </c>
      <c r="AE56" s="376">
        <f t="shared" ref="AE56:AE75" ca="1" si="15">OFFSET($AB9,MATCH(AE$52,$O:$O),0)</f>
        <v>852.66651503044443</v>
      </c>
      <c r="AF56" s="376">
        <f t="shared" ref="AF56:AJ65" ca="1" si="16">OFFSET($AB9,MATCH(AF$52,$O:$O),0)</f>
        <v>2001.1205489353424</v>
      </c>
      <c r="AG56" s="376">
        <f t="shared" ca="1" si="16"/>
        <v>9002.0417896125036</v>
      </c>
      <c r="AH56" s="376">
        <f t="shared" ca="1" si="16"/>
        <v>18437.837133041783</v>
      </c>
      <c r="AI56" s="376">
        <f t="shared" ca="1" si="16"/>
        <v>16878.854002366177</v>
      </c>
      <c r="AJ56" s="376">
        <f t="shared" ca="1" si="16"/>
        <v>0</v>
      </c>
      <c r="AQ56" s="1144"/>
    </row>
    <row r="57" spans="1:43" ht="15" x14ac:dyDescent="0.2">
      <c r="B57" s="1133"/>
      <c r="C57" s="1134" t="s">
        <v>74</v>
      </c>
      <c r="D57" s="696" t="s">
        <v>125</v>
      </c>
      <c r="E57" s="1134" t="s">
        <v>74</v>
      </c>
      <c r="F57" s="696" t="s">
        <v>125</v>
      </c>
      <c r="G57" s="1134" t="s">
        <v>74</v>
      </c>
      <c r="H57" s="696" t="s">
        <v>125</v>
      </c>
      <c r="I57" s="1134" t="s">
        <v>74</v>
      </c>
      <c r="J57" s="696" t="s">
        <v>125</v>
      </c>
      <c r="K57" s="1134" t="s">
        <v>211</v>
      </c>
      <c r="L57" s="696" t="s">
        <v>233</v>
      </c>
      <c r="M57" s="1135" t="s">
        <v>48</v>
      </c>
      <c r="N57" s="1136" t="s">
        <v>49</v>
      </c>
      <c r="P57" s="1133"/>
      <c r="Q57" s="1134" t="s">
        <v>74</v>
      </c>
      <c r="R57" s="696" t="s">
        <v>125</v>
      </c>
      <c r="S57" s="1134" t="s">
        <v>74</v>
      </c>
      <c r="T57" s="696" t="s">
        <v>125</v>
      </c>
      <c r="U57" s="1134" t="s">
        <v>74</v>
      </c>
      <c r="V57" s="696" t="s">
        <v>125</v>
      </c>
      <c r="W57" s="1134" t="s">
        <v>74</v>
      </c>
      <c r="X57" s="696" t="s">
        <v>125</v>
      </c>
      <c r="Y57" s="1134" t="s">
        <v>211</v>
      </c>
      <c r="Z57" s="696" t="s">
        <v>233</v>
      </c>
      <c r="AA57" s="1135" t="s">
        <v>48</v>
      </c>
      <c r="AB57" s="1136" t="s">
        <v>49</v>
      </c>
      <c r="AD57" s="375">
        <f>AD56+1</f>
        <v>2027</v>
      </c>
      <c r="AE57" s="376">
        <f t="shared" ca="1" si="15"/>
        <v>838.13468302653632</v>
      </c>
      <c r="AF57" s="376">
        <f t="shared" ca="1" si="16"/>
        <v>1961.053768918752</v>
      </c>
      <c r="AG57" s="376">
        <f t="shared" ca="1" si="16"/>
        <v>8821.7124268398165</v>
      </c>
      <c r="AH57" s="376">
        <f t="shared" ca="1" si="16"/>
        <v>17956.287592534838</v>
      </c>
      <c r="AI57" s="376">
        <f t="shared" ca="1" si="16"/>
        <v>16396.835403555655</v>
      </c>
      <c r="AJ57" s="376">
        <f t="shared" ca="1" si="16"/>
        <v>0</v>
      </c>
      <c r="AQ57" s="1144"/>
    </row>
    <row r="58" spans="1:43" x14ac:dyDescent="0.2">
      <c r="B58" s="363">
        <f>YearFirst</f>
        <v>2026</v>
      </c>
      <c r="C58" s="364">
        <f>_xlfn.SINGLE(IF(_xlfn.SINGLE(INDEX(ReliabilityGroup,$A52,1))=Hwy,IFERROR(_xlfn.SINGLE(INDEX(ReliabilityData1NB,$A52,5))*(1-_xlfn.SINGLE(INDEX(ReliabilityData1NB,$A52,3))),0),0))</f>
        <v>2352.8333333333335</v>
      </c>
      <c r="D58" s="365">
        <f>_xlfn.SINGLE(IF(_xlfn.SINGLE(INDEX(ReliabilityGroup,$A52,1))=Hwy,IFERROR(_xlfn.SINGLE(INDEX(ReliabilityData1B,A52,5))*(1-_xlfn.SINGLE(INDEX(ReliabilityData1B,A52,3))),0),0))</f>
        <v>2398.75</v>
      </c>
      <c r="E58" s="1137">
        <f>_xlfn.SINGLE(IF(_xlfn.SINGLE(INDEX(ReliabilityGroup,A52,1))=Hwy,IFERROR(_xlfn.SINGLE(INDEX(ReliabilityData1NB,A52,4)),0),0))</f>
        <v>53.071428571428569</v>
      </c>
      <c r="F58" s="1138">
        <f>_xlfn.SINGLE(IF(_xlfn.SINGLE(INDEX(ReliabilityGroup,A52,1))=Hwy,IFERROR(_xlfn.SINGLE(INDEX(ReliabilityData1B,A52,4)),0),0))</f>
        <v>54.107142857142854</v>
      </c>
      <c r="G58" s="1198">
        <f>IFERROR(MAX(1/E58-1/INDEX(ReliabilityModelGroup,A52,17), 0),0)</f>
        <v>0</v>
      </c>
      <c r="H58" s="1199">
        <f>IFERROR(MAX(1/F58-1/INDEX(ReliabilityModelGroup,A52,24), 0),0)</f>
        <v>0</v>
      </c>
      <c r="I58" s="1139">
        <f>IFERROR(AlphaSTD*MAX(AlphaTTI*(1+INDEX(ReliabilityModelGroup,A52,17)*G58)^BetaTTI-1,0)^BetaSTD*INDEX(ReliabilityModelGroup,A52,16)/INDEX(ReliabilityModelGroup,A52,17)*INDEX(RelAdjFactors,A52,5),0)</f>
        <v>7.5768493256438509E-4</v>
      </c>
      <c r="J58" s="1140">
        <f>IFERROR(AlphaSTD*MAX(AlphaTTI*(1+INDEX(ReliabilityModelGroup,A52,24)*H58)^BetaTTI-1,0)^BetaSTD*INDEX(ReliabilityModelGroup,A52,23)/INDEX(ReliabilityModelGroup,A52,24)*INDEX(RelAdjFactors,A52,5),0)</f>
        <v>6.4944422791233007E-4</v>
      </c>
      <c r="K58" s="1141">
        <f>MIN(C58*INDEX(ReliabilityModelGroup,A52,18),D58*INDEX(ReliabilityModelGroup,A52,25))*(I58-J58)*(INDEX(ReliabilityModelGroup,A52,12)*AnnualFactor)</f>
        <v>269.57066969768084</v>
      </c>
      <c r="L58" s="1142">
        <f>IF(AND(D58*INDEX(ReliabilityModelGroup,A52,25)&gt;C58*INDEX(ReliabilityModelGroup,A52,18), Induced="Y"), (D58*INDEX(ReliabilityModelGroup,A52,25)-C58*INDEX(ReliabilityModelGroup,A52,18))*(I58-J58)*0.5*(INDEX(ReliabilityModelGroup,A52,12)*AnnualFactor), 0)</f>
        <v>2.6304002090285046</v>
      </c>
      <c r="M58" s="1143">
        <f>(K58+L58)*ValTimeAuto*ValRelAuto*IF(IM,ValTimeIMFactor,1)*(1+TTUprater)^($B58-YearCurrent)</f>
        <v>3527.7258659909539</v>
      </c>
      <c r="N58" s="370">
        <f>M58/(1+DiscRate)^(B58-YearCurrent)</f>
        <v>3015.5148550530357</v>
      </c>
      <c r="P58" s="363">
        <f>YearFirst</f>
        <v>2026</v>
      </c>
      <c r="Q58" s="364">
        <f>_xlfn.SINGLE(IF(_xlfn.SINGLE(INDEX(ReliabilityGroup,$O52,1))=Hwy,IFERROR(_xlfn.SINGLE(INDEX(ReliabilityData1NB,$O52,5))*_xlfn.SINGLE(INDEX(ReliabilityData1NB,$O52,3)),0),0))</f>
        <v>743</v>
      </c>
      <c r="R58" s="365">
        <f>_xlfn.SINGLE(IF(_xlfn.SINGLE(INDEX(ReliabilityGroup,$O52,1))=Hwy,IFERROR(_xlfn.SINGLE(INDEX(ReliabilityData1B,$O52,5))*_xlfn.SINGLE(INDEX(ReliabilityData1B,$O52,3)),0),0))</f>
        <v>757.5</v>
      </c>
      <c r="S58" s="1137">
        <f>_xlfn.SINGLE(IF(_xlfn.SINGLE(INDEX(ReliabilityGroup,O52,1))=Hwy,IFERROR(_xlfn.SINGLE(INDEX(ReliabilityData1NB,O52,4)),0),0))</f>
        <v>53.071428571428569</v>
      </c>
      <c r="T58" s="1138">
        <f>_xlfn.SINGLE(IF(_xlfn.SINGLE(INDEX(ReliabilityGroup,O52,1))=Hwy,IFERROR(_xlfn.SINGLE(INDEX(ReliabilityData1B,O52,4)),0),0))</f>
        <v>54.107142857142854</v>
      </c>
      <c r="U58" s="1198">
        <f>IFERROR(MAX(1/S58-1/INDEX(ReliabilityModelGroup,O52,17), 0),0)</f>
        <v>0</v>
      </c>
      <c r="V58" s="1199">
        <f>IFERROR(MAX(1/T58-1/INDEX(ReliabilityModelGroup,O52,24), 0),0)</f>
        <v>0</v>
      </c>
      <c r="W58" s="1139">
        <f>IFERROR(AlphaSTD*MAX(AlphaTTI*(1+INDEX(ReliabilityModelGroup,O52,17)*U58)^BetaTTI-1,0)^BetaSTD*INDEX(ReliabilityModelGroup,O52,16)/INDEX(ReliabilityModelGroup,O52,17)*INDEX(RelAdjFactors,O52,15),0)</f>
        <v>7.5768493256438509E-4</v>
      </c>
      <c r="X58" s="1140">
        <f>IFERROR(AlphaSTD*MAX(AlphaTTI*(1+INDEX(ReliabilityModelGroup,O52,24)*V58)^BetaTTI-1,0)^BetaSTD*INDEX(ReliabilityModelGroup,O52,23)/INDEX(ReliabilityModelGroup,O52,24)*INDEX(RelAdjFactors,O52,15),0)</f>
        <v>6.4944422791233007E-4</v>
      </c>
      <c r="Y58" s="1141">
        <f>MIN(Q58,R58)*(W58-X58)*(INDEX(ReliabilityModelGroup,A52,12)*AnnualFactor)</f>
        <v>58.708675796228128</v>
      </c>
      <c r="Z58" s="1142">
        <f>IF(AND(R58&gt;Q58, Induced="Y"), (R58-Q58)*(W58-X58)*0.5*(INDEX(ReliabilityModelGroup,A52,12)*AnnualFactor), 0)</f>
        <v>0.57286392937100117</v>
      </c>
      <c r="AA58" s="1143">
        <f>(Y58+Z58)*ValTimeTruck*ValRelTruck*IF(IM,ValTimeIMFactor,1)*(1+TTUprater)^($B58-YearCurrent)</f>
        <v>2341.0280037639095</v>
      </c>
      <c r="AB58" s="370">
        <f>AA58/(1+DiscRate)^(P58-YearCurrent)</f>
        <v>2001.1205489353424</v>
      </c>
      <c r="AD58" s="375">
        <f t="shared" ref="AD58:AD75" si="17">AD57+1</f>
        <v>2028</v>
      </c>
      <c r="AE58" s="376">
        <f t="shared" ca="1" si="15"/>
        <v>823.45934325513224</v>
      </c>
      <c r="AF58" s="376">
        <f t="shared" ca="1" si="16"/>
        <v>1921.1088114050178</v>
      </c>
      <c r="AG58" s="376">
        <f t="shared" ca="1" si="16"/>
        <v>8641.9379236448931</v>
      </c>
      <c r="AH58" s="376">
        <f t="shared" ca="1" si="16"/>
        <v>17484.505417373039</v>
      </c>
      <c r="AI58" s="376">
        <f t="shared" ca="1" si="16"/>
        <v>15926.926439561334</v>
      </c>
      <c r="AJ58" s="376">
        <f t="shared" ca="1" si="16"/>
        <v>0</v>
      </c>
      <c r="AQ58" s="1144"/>
    </row>
    <row r="59" spans="1:43" x14ac:dyDescent="0.2">
      <c r="B59" s="379">
        <f>YearLast</f>
        <v>2046</v>
      </c>
      <c r="C59" s="380">
        <f>_xlfn.SINGLE(IF(_xlfn.SINGLE(INDEX(ReliabilityGroup,$A52,1))=Hwy,IFERROR(_xlfn.SINGLE(INDEX(ReliabilityData20NB,$A52,5))*(1-_xlfn.SINGLE(INDEX(ReliabilityData20NB,$A52,3))),0),0))</f>
        <v>3255.3333333333339</v>
      </c>
      <c r="D59" s="1145">
        <f>_xlfn.SINGLE(IF(_xlfn.SINGLE(INDEX(ReliabilityGroup,$A52,1))=Hwy,IFERROR(_xlfn.SINGLE(INDEX(ReliabilityData20B,$A52,5))*(1-_xlfn.SINGLE(INDEX(ReliabilityData20B,$A52,3))),0),0))</f>
        <v>3318.666666666667</v>
      </c>
      <c r="E59" s="1137">
        <f>_xlfn.SINGLE(IF(_xlfn.SINGLE(INDEX(ReliabilityGroup,A52,1))=Hwy,IFERROR(_xlfn.SINGLE(INDEX(ReliabilityData20NB,A52,4)),0),0))</f>
        <v>52.717948717948715</v>
      </c>
      <c r="F59" s="1022">
        <f>_xlfn.SINGLE(IF(_xlfn.SINGLE(INDEX(ReliabilityGroup,A52,1))=Hwy,IFERROR(_xlfn.SINGLE(INDEX(ReliabilityData20B,A52,4)),0),0))</f>
        <v>55.157894736842103</v>
      </c>
      <c r="G59" s="1139">
        <f>IFERROR(MAX(1/E59-1/INDEX(ReliabilityModelGroup,A52,17), 0),0)</f>
        <v>0</v>
      </c>
      <c r="H59" s="1140">
        <f>IFERROR(MAX(1/F59-1/INDEX(ReliabilityModelGroup,A52,24), 0),0)</f>
        <v>0</v>
      </c>
      <c r="I59" s="1139">
        <f>IFERROR(AlphaSTD*MAX(AlphaTTI*(1+INDEX(ReliabilityModelGroup,A52,17)*G59)^BetaTTI-1,0)^BetaSTD*INDEX(ReliabilityModelGroup,A52,16)/INDEX(ReliabilityModelGroup,A52,17)*INDEX(RelAdjFactors,A52,5),0)</f>
        <v>7.5768493256438509E-4</v>
      </c>
      <c r="J59" s="1140">
        <f>IFERROR(AlphaSTD*MAX(AlphaTTI*(1+INDEX(ReliabilityModelGroup,A52,24)*H59)^BetaTTI-1,0)^BetaSTD*INDEX(ReliabilityModelGroup,A52,23)/INDEX(ReliabilityModelGroup,A52,24)*INDEX(RelAdjFactors,A52,5),0)</f>
        <v>6.4944422791233007E-4</v>
      </c>
      <c r="K59" s="1146">
        <f>MIN(C59*INDEX(ReliabilityModelGroup,A52,18),D59*INDEX(ReliabilityModelGroup,A52,25))*(I59-J59)*(INDEX(ReliabilityModelGroup,A52,12)*AnnualFactor)</f>
        <v>372.97260894914666</v>
      </c>
      <c r="L59" s="1147">
        <f>IF(AND(D59*INDEX(ReliabilityModelGroup,A52,25)&gt;C59*INDEX(ReliabilityModelGroup,A52,18), Induced="Y"), (D59*INDEX(ReliabilityModelGroup,A52,25)-C59*INDEX(ReliabilityModelGroup,A52,18))*(I59-J59)*0.5*(INDEX(ReliabilityModelGroup,A52,12)*AnnualFactor), 0)</f>
        <v>3.6281382193496263</v>
      </c>
      <c r="M59" s="1143">
        <f>(K59+L59)*ValTimeAuto*ValRelAuto*IF(IM,ValTimeIMFactor,1)*(1+TTUprater)^($B59-YearCurrent)</f>
        <v>4880.7456833037131</v>
      </c>
      <c r="N59" s="370">
        <f>M59/(1+DiscRate)^(B59-YearCurrent)</f>
        <v>1904.0837018691557</v>
      </c>
      <c r="P59" s="379">
        <f>YearLast</f>
        <v>2046</v>
      </c>
      <c r="Q59" s="380">
        <f>_xlfn.SINGLE(IF(_xlfn.SINGLE(INDEX(ReliabilityGroup,$O52,1))=Hwy,IFERROR(_xlfn.SINGLE(INDEX(ReliabilityData20NB,$O52,5))*_xlfn.SINGLE(INDEX(ReliabilityData20NB,$O52,3)),0),0))</f>
        <v>1028</v>
      </c>
      <c r="R59" s="1145">
        <f>_xlfn.SINGLE(IF(_xlfn.SINGLE(INDEX(ReliabilityGroup,$O52,1))=Hwy,IFERROR(_xlfn.SINGLE(INDEX(ReliabilityData20B,$O52,5))*_xlfn.SINGLE(INDEX(ReliabilityData20B,$O52,3)),0),0))</f>
        <v>1048</v>
      </c>
      <c r="S59" s="1137">
        <f>_xlfn.SINGLE(IF(_xlfn.SINGLE(INDEX(ReliabilityGroup,O52,1))=Hwy,IFERROR(_xlfn.SINGLE(INDEX(ReliabilityData20NB,O52,4)),0),0))</f>
        <v>52.717948717948715</v>
      </c>
      <c r="T59" s="1022">
        <f>_xlfn.SINGLE(IF(_xlfn.SINGLE(INDEX(ReliabilityGroup,O52,1))=Hwy,IFERROR(_xlfn.SINGLE(INDEX(ReliabilityData20B,O52,4)),0),0))</f>
        <v>55.157894736842103</v>
      </c>
      <c r="U59" s="1139">
        <f>IFERROR(MAX(1/S59-1/INDEX(ReliabilityModelGroup,O52,17), 0),0)</f>
        <v>0</v>
      </c>
      <c r="V59" s="1140">
        <f>IFERROR(MAX(1/T59-1/INDEX(ReliabilityModelGroup,O52,24), 0),0)</f>
        <v>0</v>
      </c>
      <c r="W59" s="1139">
        <f>IFERROR(AlphaSTD*MAX(AlphaTTI*(1+INDEX(ReliabilityModelGroup,O52,17)*U59)^BetaTTI-1,0)^BetaSTD*INDEX(ReliabilityModelGroup,O52,16)/INDEX(ReliabilityModelGroup,O52,17)*INDEX(RelAdjFactors,O52,15),0)</f>
        <v>7.5768493256438509E-4</v>
      </c>
      <c r="X59" s="1140">
        <f>IFERROR(AlphaSTD*MAX(AlphaTTI*(1+INDEX(ReliabilityModelGroup,O52,24)*V59)^BetaTTI-1,0)^BetaSTD*INDEX(ReliabilityModelGroup,O52,23)/INDEX(ReliabilityModelGroup,O52,24)*INDEX(RelAdjFactors,O52,15),0)</f>
        <v>6.4944422791233007E-4</v>
      </c>
      <c r="Y59" s="1146">
        <f>MIN(Q59,R59)*(W59-X59)*(INDEX(ReliabilityModelGroup,A52,12)*AnnualFactor)</f>
        <v>81.228154399088169</v>
      </c>
      <c r="Z59" s="1147">
        <f>IF(AND(R59&gt;Q59, Induced="Y"), (R59-Q59)*(W59-X59)*0.5*(INDEX(ReliabilityModelGroup,A52,12)*AnnualFactor), 0)</f>
        <v>0.7901571439600017</v>
      </c>
      <c r="AA59" s="1143">
        <f>(Y59+Z59)*ValTimeTruck*ValRelTruck*IF(IM,ValTimeIMFactor,1)*(1+TTUprater)^($B59-YearCurrent)</f>
        <v>3238.9031228349722</v>
      </c>
      <c r="AB59" s="370">
        <f>AA59/(1+DiscRate)^(P59-YearCurrent)</f>
        <v>1263.5656615381615</v>
      </c>
      <c r="AD59" s="375">
        <f t="shared" si="17"/>
        <v>2029</v>
      </c>
      <c r="AE59" s="376">
        <f t="shared" ca="1" si="15"/>
        <v>808.67303156817593</v>
      </c>
      <c r="AF59" s="376">
        <f t="shared" ca="1" si="16"/>
        <v>1881.335575817016</v>
      </c>
      <c r="AG59" s="376">
        <f t="shared" ca="1" si="16"/>
        <v>8462.9423579341328</v>
      </c>
      <c r="AH59" s="376">
        <f t="shared" ca="1" si="16"/>
        <v>17022.451623151894</v>
      </c>
      <c r="AI59" s="376">
        <f t="shared" ca="1" si="16"/>
        <v>15468.908645277335</v>
      </c>
      <c r="AJ59" s="376">
        <f t="shared" ca="1" si="16"/>
        <v>0</v>
      </c>
      <c r="AQ59" s="1144"/>
    </row>
    <row r="60" spans="1:43" x14ac:dyDescent="0.2">
      <c r="B60" s="1148"/>
      <c r="C60" s="386"/>
      <c r="D60" s="386"/>
      <c r="E60" s="386"/>
      <c r="F60" s="386"/>
      <c r="G60" s="434"/>
      <c r="H60" s="434"/>
      <c r="I60" s="434"/>
      <c r="J60" s="434"/>
      <c r="K60" s="1149"/>
      <c r="L60" s="1149"/>
      <c r="M60" s="1150"/>
      <c r="N60" s="389"/>
      <c r="P60" s="1148"/>
      <c r="Q60" s="386"/>
      <c r="R60" s="386"/>
      <c r="S60" s="386"/>
      <c r="T60" s="386"/>
      <c r="U60" s="434"/>
      <c r="V60" s="434"/>
      <c r="W60" s="1151"/>
      <c r="X60" s="1152"/>
      <c r="Y60" s="1149"/>
      <c r="Z60" s="1149"/>
      <c r="AA60" s="1150"/>
      <c r="AB60" s="389"/>
      <c r="AD60" s="375">
        <f t="shared" si="17"/>
        <v>2030</v>
      </c>
      <c r="AE60" s="376">
        <f t="shared" ca="1" si="15"/>
        <v>793.805993349358</v>
      </c>
      <c r="AF60" s="376">
        <f t="shared" ca="1" si="16"/>
        <v>1841.7799429496774</v>
      </c>
      <c r="AG60" s="376">
        <f t="shared" ca="1" si="16"/>
        <v>8284.9317500537236</v>
      </c>
      <c r="AH60" s="376">
        <f t="shared" ca="1" si="16"/>
        <v>16570.075775501937</v>
      </c>
      <c r="AI60" s="376">
        <f t="shared" ca="1" si="16"/>
        <v>15022.562446944818</v>
      </c>
      <c r="AJ60" s="376">
        <f t="shared" ca="1" si="16"/>
        <v>0</v>
      </c>
      <c r="AQ60" s="1144"/>
    </row>
    <row r="61" spans="1:43" x14ac:dyDescent="0.2">
      <c r="B61" s="375">
        <f>YearOpen</f>
        <v>2026</v>
      </c>
      <c r="C61" s="393">
        <f>MAX(TREND(C58:C59,$B58:$B59,$B61),0)</f>
        <v>2352.8333333333285</v>
      </c>
      <c r="D61" s="394">
        <f>MAX(TREND(D58:D59,$B58:$B59,$B61),0)</f>
        <v>2398.7499999999854</v>
      </c>
      <c r="E61" s="1153">
        <f>MAX(TREND(E58:E59,$B58:$B59,$B61),0)</f>
        <v>53.071428571428577</v>
      </c>
      <c r="F61" s="1154">
        <f>MAX(TREND(F58:F59,$B58:$B59,$B61),0)</f>
        <v>54.107142857142854</v>
      </c>
      <c r="G61" s="1139">
        <f>IFERROR(MAX(1/E61-1/INDEX(ReliabilityModelGroup,A52,17), 0),0)</f>
        <v>0</v>
      </c>
      <c r="H61" s="1140">
        <f>IFERROR(MAX(1/F61-1/INDEX(ReliabilityModelGroup,A52,24), 0),0)</f>
        <v>0</v>
      </c>
      <c r="I61" s="1139">
        <f>IFERROR(AlphaSTD*MAX(AlphaTTI*(1+INDEX(ReliabilityModelGroup,A52,17)*G61)^BetaTTI-1,0)^BetaSTD*INDEX(ReliabilityModelGroup,A52,16)/INDEX(ReliabilityModelGroup,A52,17)*INDEX(RelAdjFactors,A52,5),0)</f>
        <v>7.5768493256438509E-4</v>
      </c>
      <c r="J61" s="1140">
        <f>IFERROR(AlphaSTD*MAX(AlphaTTI*(1+INDEX(ReliabilityModelGroup,A52,24)*H61)^BetaTTI-1,0)^BetaSTD*INDEX(ReliabilityModelGroup,A52,23)/INDEX(ReliabilityModelGroup,A52,24)*INDEX(RelAdjFactors,A52,5),0)</f>
        <v>6.4944422791233007E-4</v>
      </c>
      <c r="K61" s="1155">
        <f>MIN(C61*INDEX(ReliabilityModelGroup,A52,18),D61*INDEX(ReliabilityModelGroup,A52,25))*(I61-J61)*(INDEX(ReliabilityModelGroup,A52,12)*AnnualFactor)</f>
        <v>269.57066969768027</v>
      </c>
      <c r="L61" s="1142">
        <f>IF(AND(D61*INDEX(ReliabilityModelGroup,A52,25)&gt;C61*INDEX(ReliabilityModelGroup,A52,18), Induced="Y"), (D61*INDEX(ReliabilityModelGroup,A52,25)-C61*INDEX(ReliabilityModelGroup,A52,18))*(I61-J61)*0.5*(INDEX(ReliabilityModelGroup,A52,12)*AnnualFactor), 0)</f>
        <v>2.6304002090279477</v>
      </c>
      <c r="M61" s="1143">
        <f t="shared" ref="M61:M80" si="18">(K61+L61)*ValTimeAuto*ValRelAuto*IF(IM,ValTimeIMFactor,1)*(1+TTUprater)^($B61-YearCurrent)</f>
        <v>3527.7258659909394</v>
      </c>
      <c r="N61" s="370">
        <f t="shared" ref="N61:N80" si="19">M61/(1+DiscRate)^(B61-YearCurrent)</f>
        <v>3015.5148550530234</v>
      </c>
      <c r="P61" s="375">
        <f>YearOpen</f>
        <v>2026</v>
      </c>
      <c r="Q61" s="393">
        <f>MAX(TREND(Q58:Q59,$P58:$P59,$P61),0)</f>
        <v>743</v>
      </c>
      <c r="R61" s="394">
        <f>MAX(TREND(R58:R59,$P58:$P59,$P61),0)</f>
        <v>757.5</v>
      </c>
      <c r="S61" s="1153">
        <f>MAX(TREND(S58:S59,$P58:$P59,$P61),0)</f>
        <v>53.071428571428577</v>
      </c>
      <c r="T61" s="1154">
        <f>MAX(TREND(T58:T59,$P58:$P59,$P61),0)</f>
        <v>54.107142857142854</v>
      </c>
      <c r="U61" s="1139">
        <f>IFERROR(MAX(1/S61-1/INDEX(ReliabilityModelGroup,O52,17), 0),0)</f>
        <v>0</v>
      </c>
      <c r="V61" s="1140">
        <f>IFERROR(MAX(1/T61-1/INDEX(ReliabilityModelGroup,O52,24), 0),0)</f>
        <v>0</v>
      </c>
      <c r="W61" s="1139">
        <f>IFERROR(AlphaSTD*MAX(AlphaTTI*(1+INDEX(ReliabilityModelGroup,O52,17)*U61)^BetaTTI-1,0)^BetaSTD*INDEX(ReliabilityModelGroup,O52,16)/INDEX(ReliabilityModelGroup,O52,17)*INDEX(RelAdjFactors,O52,15),0)</f>
        <v>7.5768493256438509E-4</v>
      </c>
      <c r="X61" s="1140">
        <f>IFERROR(AlphaSTD*MAX(AlphaTTI*(1+INDEX(ReliabilityModelGroup,O52,24)*V61)^BetaTTI-1,0)^BetaSTD*INDEX(ReliabilityModelGroup,O52,23)/INDEX(ReliabilityModelGroup,O52,24)*INDEX(RelAdjFactors,O52,15),0)</f>
        <v>6.4944422791233007E-4</v>
      </c>
      <c r="Y61" s="1155">
        <f>MIN(Q61,R61)*(W61-X61)*(INDEX(ReliabilityModelGroup,A52,12)*AnnualFactor)</f>
        <v>58.708675796228128</v>
      </c>
      <c r="Z61" s="1142">
        <f>IF(AND(R61&gt;Q61, Induced="Y"), (R61-Q61)*(W61-X61)*0.5*(INDEX(ReliabilityModelGroup,A52,12)*AnnualFactor), 0)</f>
        <v>0.57286392937100117</v>
      </c>
      <c r="AA61" s="1143">
        <f t="shared" ref="AA61:AA80" si="20">(Y61+Z61)*ValTimeTruck*ValRelTruck*IF(IM,ValTimeIMFactor,1)*(1+TTUprater)^($B61-YearCurrent)</f>
        <v>2341.0280037639095</v>
      </c>
      <c r="AB61" s="370">
        <f t="shared" ref="AB61:AB80" si="21">AA61/(1+DiscRate)^(P61-YearCurrent)</f>
        <v>2001.1205489353424</v>
      </c>
      <c r="AD61" s="375">
        <f t="shared" si="17"/>
        <v>2031</v>
      </c>
      <c r="AE61" s="376">
        <f t="shared" ca="1" si="15"/>
        <v>778.88631157405359</v>
      </c>
      <c r="AF61" s="376">
        <f t="shared" ca="1" si="16"/>
        <v>1802.4840102795092</v>
      </c>
      <c r="AG61" s="376">
        <f t="shared" ca="1" si="16"/>
        <v>8108.0951203565164</v>
      </c>
      <c r="AH61" s="376">
        <f t="shared" ca="1" si="16"/>
        <v>16127.316928524533</v>
      </c>
      <c r="AI61" s="376">
        <f t="shared" ca="1" si="16"/>
        <v>14587.667570606407</v>
      </c>
      <c r="AJ61" s="376">
        <f t="shared" ca="1" si="16"/>
        <v>0</v>
      </c>
      <c r="AQ61" s="1144"/>
    </row>
    <row r="62" spans="1:43" x14ac:dyDescent="0.2">
      <c r="B62" s="375">
        <f>B61+1</f>
        <v>2027</v>
      </c>
      <c r="C62" s="401">
        <f>MAX(TREND(C58:C59,$B58:$B59,$B62),0)</f>
        <v>2397.9583333333285</v>
      </c>
      <c r="D62" s="402">
        <f>MAX(TREND(D58:D59,$B58:$B59,$B62),0)</f>
        <v>2444.7458333333198</v>
      </c>
      <c r="E62" s="725">
        <f>MAX(TREND(E58:E59,$B58:$B59,$B62),0)</f>
        <v>53.053754578754585</v>
      </c>
      <c r="F62" s="726">
        <f>MAX(TREND(F58:F59,$B58:$B59,$B62),0)</f>
        <v>54.159680451127819</v>
      </c>
      <c r="G62" s="1139">
        <f>IFERROR(MAX(1/E62-1/INDEX(ReliabilityModelGroup,A52,17), 0),0)</f>
        <v>0</v>
      </c>
      <c r="H62" s="1140">
        <f>IFERROR(MAX(1/F62-1/INDEX(ReliabilityModelGroup,A52,24), 0),0)</f>
        <v>0</v>
      </c>
      <c r="I62" s="1139">
        <f>IFERROR(AlphaSTD*MAX(AlphaTTI*(1+INDEX(ReliabilityModelGroup,A52,17)*G62)^BetaTTI-1,0)^BetaSTD*INDEX(ReliabilityModelGroup,A52,16)/INDEX(ReliabilityModelGroup,A52,17)*INDEX(RelAdjFactors,A52,5),0)</f>
        <v>7.5768493256438509E-4</v>
      </c>
      <c r="J62" s="1140">
        <f>IFERROR(AlphaSTD*MAX(AlphaTTI*(1+INDEX(ReliabilityModelGroup,A52,24)*H62)^BetaTTI-1,0)^BetaSTD*INDEX(ReliabilityModelGroup,A52,23)/INDEX(ReliabilityModelGroup,A52,24)*INDEX(RelAdjFactors,A52,5),0)</f>
        <v>6.4944422791233007E-4</v>
      </c>
      <c r="K62" s="1156">
        <f>MIN(C62*INDEX(ReliabilityModelGroup,A52,18),D62*INDEX(ReliabilityModelGroup,A52,25))*(I62-J62)*(INDEX(ReliabilityModelGroup,A52,12)*AnnualFactor)</f>
        <v>274.74076666025354</v>
      </c>
      <c r="L62" s="1157">
        <f>IF(AND(D62*INDEX(ReliabilityModelGroup,A52,25)&gt;C62*INDEX(ReliabilityModelGroup,A52,18), Induced="Y"), (D62*INDEX(ReliabilityModelGroup,A52,25)-C62*INDEX(ReliabilityModelGroup,A52,18))*(I62-J62)*0.5*(INDEX(ReliabilityModelGroup,A52,12)*AnnualFactor), 0)</f>
        <v>2.6802871095440719</v>
      </c>
      <c r="M62" s="1143">
        <f t="shared" si="18"/>
        <v>3595.3768568565779</v>
      </c>
      <c r="N62" s="370">
        <f t="shared" si="19"/>
        <v>2955.1376976656584</v>
      </c>
      <c r="P62" s="375">
        <f>P61+1</f>
        <v>2027</v>
      </c>
      <c r="Q62" s="401">
        <f>MAX(TREND(Q58:Q59,$P58:$P59,$P62),0)</f>
        <v>757.25</v>
      </c>
      <c r="R62" s="402">
        <f>MAX(TREND(R58:R59,$P58:$P59,$P62),0)</f>
        <v>772.02499999999782</v>
      </c>
      <c r="S62" s="725">
        <f>MAX(TREND(S58:S59,$P58:$P59,$P62),0)</f>
        <v>53.053754578754585</v>
      </c>
      <c r="T62" s="726">
        <f>MAX(TREND(T58:T59,$P58:$P59,$P62),0)</f>
        <v>54.159680451127819</v>
      </c>
      <c r="U62" s="1139">
        <f>IFERROR(MAX(1/S62-1/INDEX(ReliabilityModelGroup,O52,17), 0),0)</f>
        <v>0</v>
      </c>
      <c r="V62" s="1140">
        <f>IFERROR(MAX(1/T62-1/INDEX(ReliabilityModelGroup,O52,24), 0),0)</f>
        <v>0</v>
      </c>
      <c r="W62" s="1139">
        <f>IFERROR(AlphaSTD*MAX(AlphaTTI*(1+INDEX(ReliabilityModelGroup,O52,17)*U62)^BetaTTI-1,0)^BetaSTD*INDEX(ReliabilityModelGroup,O52,16)/INDEX(ReliabilityModelGroup,O52,17)*INDEX(RelAdjFactors,O52,15),0)</f>
        <v>7.5768493256438509E-4</v>
      </c>
      <c r="X62" s="1140">
        <f>IFERROR(AlphaSTD*MAX(AlphaTTI*(1+INDEX(ReliabilityModelGroup,O52,24)*V62)^BetaTTI-1,0)^BetaSTD*INDEX(ReliabilityModelGroup,O52,23)/INDEX(ReliabilityModelGroup,O52,24)*INDEX(RelAdjFactors,O52,15),0)</f>
        <v>6.4944422791233007E-4</v>
      </c>
      <c r="Y62" s="1156">
        <f>MIN(Q62,R62)*(W62-X62)*(INDEX(ReliabilityModelGroup,A52,12)*AnnualFactor)</f>
        <v>59.834649726371133</v>
      </c>
      <c r="Z62" s="1157">
        <f>IF(AND(R62&gt;Q62, Induced="Y"), (R62-Q62)*(W62-X62)*0.5*(INDEX(ReliabilityModelGroup,A52,12)*AnnualFactor), 0)</f>
        <v>0.58372859010036504</v>
      </c>
      <c r="AA62" s="1143">
        <f t="shared" si="20"/>
        <v>2385.9217597174593</v>
      </c>
      <c r="AB62" s="370">
        <f t="shared" si="21"/>
        <v>1961.053768918752</v>
      </c>
      <c r="AD62" s="375">
        <f t="shared" si="17"/>
        <v>2032</v>
      </c>
      <c r="AE62" s="376">
        <f t="shared" ca="1" si="15"/>
        <v>763.94002840668759</v>
      </c>
      <c r="AF62" s="376">
        <f t="shared" ca="1" si="16"/>
        <v>1763.4863151180641</v>
      </c>
      <c r="AG62" s="376">
        <f t="shared" ca="1" si="16"/>
        <v>7932.6054921300238</v>
      </c>
      <c r="AH62" s="376">
        <f t="shared" ca="1" si="16"/>
        <v>15694.104507978083</v>
      </c>
      <c r="AI62" s="376">
        <f t="shared" ca="1" si="16"/>
        <v>14164.003420780797</v>
      </c>
      <c r="AJ62" s="376">
        <f t="shared" ca="1" si="16"/>
        <v>0</v>
      </c>
      <c r="AQ62" s="1144"/>
    </row>
    <row r="63" spans="1:43" x14ac:dyDescent="0.2">
      <c r="B63" s="375">
        <f t="shared" ref="B63:B80" si="22">B62+1</f>
        <v>2028</v>
      </c>
      <c r="C63" s="401">
        <f>MAX(TREND(C58:C59,$B58:$B59,$B63),0)</f>
        <v>2443.0833333333285</v>
      </c>
      <c r="D63" s="402">
        <f>MAX(TREND(D58:D59,$B58:$B59,$B63),0)</f>
        <v>2490.7416666666541</v>
      </c>
      <c r="E63" s="725">
        <f>MAX(TREND(E58:E59,$B58:$B59,$B63),0)</f>
        <v>53.036080586080594</v>
      </c>
      <c r="F63" s="726">
        <f>MAX(TREND(F58:F59,$B58:$B59,$B63),0)</f>
        <v>54.212218045112785</v>
      </c>
      <c r="G63" s="1139">
        <f>IFERROR(MAX(1/E63-1/INDEX(ReliabilityModelGroup,A52,17), 0),0)</f>
        <v>0</v>
      </c>
      <c r="H63" s="1140">
        <f>IFERROR(MAX(1/F63-1/INDEX(ReliabilityModelGroup,A52,24), 0),0)</f>
        <v>0</v>
      </c>
      <c r="I63" s="1139">
        <f>IFERROR(AlphaSTD*MAX(AlphaTTI*(1+INDEX(ReliabilityModelGroup,A52,17)*G63)^BetaTTI-1,0)^BetaSTD*INDEX(ReliabilityModelGroup,A52,16)/INDEX(ReliabilityModelGroup,A52,17)*INDEX(RelAdjFactors,A52,5),0)</f>
        <v>7.5768493256438509E-4</v>
      </c>
      <c r="J63" s="1140">
        <f>IFERROR(AlphaSTD*MAX(AlphaTTI*(1+INDEX(ReliabilityModelGroup,A52,24)*H63)^BetaTTI-1,0)^BetaSTD*INDEX(ReliabilityModelGroup,A52,23)/INDEX(ReliabilityModelGroup,A52,24)*INDEX(RelAdjFactors,A52,5),0)</f>
        <v>6.4944422791233007E-4</v>
      </c>
      <c r="K63" s="1156">
        <f>MIN(C63*INDEX(ReliabilityModelGroup,A52,18),D63*INDEX(ReliabilityModelGroup,A52,25))*(I63-J63)*(INDEX(ReliabilityModelGroup,A52,12)*AnnualFactor)</f>
        <v>279.91086362282681</v>
      </c>
      <c r="L63" s="1157">
        <f>IF(AND(D63*INDEX(ReliabilityModelGroup,A52,25)&gt;C63*INDEX(ReliabilityModelGroup,A52,18), Induced="Y"), (D63*INDEX(ReliabilityModelGroup,A52,25)-C63*INDEX(ReliabilityModelGroup,A52,18))*(I63-J63)*0.5*(INDEX(ReliabilityModelGroup,A52,12)*AnnualFactor), 0)</f>
        <v>2.7301740100601966</v>
      </c>
      <c r="M63" s="1143">
        <f t="shared" si="18"/>
        <v>3663.0278477222164</v>
      </c>
      <c r="N63" s="370">
        <f t="shared" si="19"/>
        <v>2894.9441162088997</v>
      </c>
      <c r="P63" s="375">
        <f t="shared" ref="P63:P80" si="23">P62+1</f>
        <v>2028</v>
      </c>
      <c r="Q63" s="401">
        <f>MAX(TREND(Q58:Q59,$P58:$P59,$P63),0)</f>
        <v>771.5</v>
      </c>
      <c r="R63" s="402">
        <f>MAX(TREND(R58:R59,$P58:$P59,$P63),0)</f>
        <v>786.54999999999927</v>
      </c>
      <c r="S63" s="725">
        <f>MAX(TREND(S58:S59,$P58:$P59,$P63),0)</f>
        <v>53.036080586080594</v>
      </c>
      <c r="T63" s="726">
        <f>MAX(TREND(T58:T59,$P58:$P59,$P63),0)</f>
        <v>54.212218045112785</v>
      </c>
      <c r="U63" s="1139">
        <f>IFERROR(MAX(1/S63-1/INDEX(ReliabilityModelGroup,O52,17), 0),0)</f>
        <v>0</v>
      </c>
      <c r="V63" s="1140">
        <f>IFERROR(MAX(1/T63-1/INDEX(ReliabilityModelGroup,O52,24), 0),0)</f>
        <v>0</v>
      </c>
      <c r="W63" s="1139">
        <f>IFERROR(AlphaSTD*MAX(AlphaTTI*(1+INDEX(ReliabilityModelGroup,O52,17)*U63)^BetaTTI-1,0)^BetaSTD*INDEX(ReliabilityModelGroup,O52,16)/INDEX(ReliabilityModelGroup,O52,17)*INDEX(RelAdjFactors,O52,15),0)</f>
        <v>7.5768493256438509E-4</v>
      </c>
      <c r="X63" s="1140">
        <f>IFERROR(AlphaSTD*MAX(AlphaTTI*(1+INDEX(ReliabilityModelGroup,O52,24)*V63)^BetaTTI-1,0)^BetaSTD*INDEX(ReliabilityModelGroup,O52,23)/INDEX(ReliabilityModelGroup,O52,24)*INDEX(RelAdjFactors,O52,15),0)</f>
        <v>6.4944422791233007E-4</v>
      </c>
      <c r="Y63" s="1156">
        <f>MIN(Q63,R63)*(W63-X63)*(INDEX(ReliabilityModelGroup,A52,12)*AnnualFactor)</f>
        <v>60.960623656514137</v>
      </c>
      <c r="Z63" s="1157">
        <f>IF(AND(R63&gt;Q63, Induced="Y"), (R63-Q63)*(W63-X63)*0.5*(INDEX(ReliabilityModelGroup,A52,12)*AnnualFactor), 0)</f>
        <v>0.59459325082987258</v>
      </c>
      <c r="AA63" s="1143">
        <f t="shared" si="20"/>
        <v>2430.815515671015</v>
      </c>
      <c r="AB63" s="370">
        <f t="shared" si="21"/>
        <v>1921.1088114050178</v>
      </c>
      <c r="AD63" s="375">
        <f t="shared" si="17"/>
        <v>2033</v>
      </c>
      <c r="AE63" s="376">
        <f t="shared" ca="1" si="15"/>
        <v>748.99126064335849</v>
      </c>
      <c r="AF63" s="376">
        <f t="shared" ca="1" si="16"/>
        <v>1724.8220461964388</v>
      </c>
      <c r="AG63" s="376">
        <f t="shared" ca="1" si="16"/>
        <v>7758.6208425239747</v>
      </c>
      <c r="AH63" s="376">
        <f t="shared" ca="1" si="16"/>
        <v>15270.359142076442</v>
      </c>
      <c r="AI63" s="376">
        <f t="shared" ca="1" si="16"/>
        <v>13751.349431044422</v>
      </c>
      <c r="AJ63" s="376">
        <f t="shared" ca="1" si="16"/>
        <v>0</v>
      </c>
      <c r="AQ63" s="1144"/>
    </row>
    <row r="64" spans="1:43" x14ac:dyDescent="0.2">
      <c r="B64" s="375">
        <f t="shared" si="22"/>
        <v>2029</v>
      </c>
      <c r="C64" s="401">
        <f>MAX(TREND(C58:C59,$B58:$B59,$B64),0)</f>
        <v>2488.2083333333285</v>
      </c>
      <c r="D64" s="402">
        <f>MAX(TREND(D58:D59,$B58:$B59,$B64),0)</f>
        <v>2536.7374999999884</v>
      </c>
      <c r="E64" s="725">
        <f>MAX(TREND(E58:E59,$B58:$B59,$B64),0)</f>
        <v>53.018406593406603</v>
      </c>
      <c r="F64" s="726">
        <f>MAX(TREND(F58:F59,$B58:$B59,$B64),0)</f>
        <v>54.26475563909775</v>
      </c>
      <c r="G64" s="1139">
        <f>IFERROR(MAX(1/E64-1/INDEX(ReliabilityModelGroup,A52,17), 0),0)</f>
        <v>0</v>
      </c>
      <c r="H64" s="1140">
        <f>IFERROR(MAX(1/F64-1/INDEX(ReliabilityModelGroup,A52,24), 0),0)</f>
        <v>0</v>
      </c>
      <c r="I64" s="1139">
        <f>IFERROR(AlphaSTD*MAX(AlphaTTI*(1+INDEX(ReliabilityModelGroup,A52,17)*G64)^BetaTTI-1,0)^BetaSTD*INDEX(ReliabilityModelGroup,A52,16)/INDEX(ReliabilityModelGroup,A52,17)*INDEX(RelAdjFactors,A52,5),0)</f>
        <v>7.5768493256438509E-4</v>
      </c>
      <c r="J64" s="1140">
        <f>IFERROR(AlphaSTD*MAX(AlphaTTI*(1+INDEX(ReliabilityModelGroup,A52,24)*H64)^BetaTTI-1,0)^BetaSTD*INDEX(ReliabilityModelGroup,A52,23)/INDEX(ReliabilityModelGroup,A52,24)*INDEX(RelAdjFactors,A52,5),0)</f>
        <v>6.4944422791233007E-4</v>
      </c>
      <c r="K64" s="1156">
        <f>MIN(C64*INDEX(ReliabilityModelGroup,A52,18),D64*INDEX(ReliabilityModelGroup,A52,25))*(I64-J64)*(INDEX(ReliabilityModelGroup,A52,12)*AnnualFactor)</f>
        <v>285.08096058540013</v>
      </c>
      <c r="L64" s="1157">
        <f>IF(AND(D64*INDEX(ReliabilityModelGroup,A52,25)&gt;C64*INDEX(ReliabilityModelGroup,A52,18), Induced="Y"), (D64*INDEX(ReliabilityModelGroup,A52,25)-C64*INDEX(ReliabilityModelGroup,A52,18))*(I64-J64)*0.5*(INDEX(ReliabilityModelGroup,A52,12)*AnnualFactor), 0)</f>
        <v>2.7800609105763026</v>
      </c>
      <c r="M64" s="1143">
        <f t="shared" si="18"/>
        <v>3730.6788385878558</v>
      </c>
      <c r="N64" s="370">
        <f t="shared" si="19"/>
        <v>2835.0093047788964</v>
      </c>
      <c r="P64" s="375">
        <f t="shared" si="23"/>
        <v>2029</v>
      </c>
      <c r="Q64" s="401">
        <f>MAX(TREND(Q58:Q59,$P58:$P59,$P64),0)</f>
        <v>785.75</v>
      </c>
      <c r="R64" s="402">
        <f>MAX(TREND(R58:R59,$P58:$P59,$P64),0)</f>
        <v>801.07500000000073</v>
      </c>
      <c r="S64" s="725">
        <f>MAX(TREND(S58:S59,$P58:$P59,$P64),0)</f>
        <v>53.018406593406603</v>
      </c>
      <c r="T64" s="726">
        <f>MAX(TREND(T58:T59,$P58:$P59,$P64),0)</f>
        <v>54.26475563909775</v>
      </c>
      <c r="U64" s="1139">
        <f>IFERROR(MAX(1/S64-1/INDEX(ReliabilityModelGroup,O52,17), 0),0)</f>
        <v>0</v>
      </c>
      <c r="V64" s="1140">
        <f>IFERROR(MAX(1/T64-1/INDEX(ReliabilityModelGroup,O52,24), 0),0)</f>
        <v>0</v>
      </c>
      <c r="W64" s="1139">
        <f>IFERROR(AlphaSTD*MAX(AlphaTTI*(1+INDEX(ReliabilityModelGroup,O52,17)*U64)^BetaTTI-1,0)^BetaSTD*INDEX(ReliabilityModelGroup,O52,16)/INDEX(ReliabilityModelGroup,O52,17)*INDEX(RelAdjFactors,O52,15),0)</f>
        <v>7.5768493256438509E-4</v>
      </c>
      <c r="X64" s="1140">
        <f>IFERROR(AlphaSTD*MAX(AlphaTTI*(1+INDEX(ReliabilityModelGroup,O52,24)*V64)^BetaTTI-1,0)^BetaSTD*INDEX(ReliabilityModelGroup,O52,23)/INDEX(ReliabilityModelGroup,O52,24)*INDEX(RelAdjFactors,O52,15),0)</f>
        <v>6.4944422791233007E-4</v>
      </c>
      <c r="Y64" s="1156">
        <f>MIN(Q64,R64)*(W64-X64)*(INDEX(ReliabilityModelGroup,A52,12)*AnnualFactor)</f>
        <v>62.086597586657128</v>
      </c>
      <c r="Z64" s="1157">
        <f>IF(AND(R64&gt;Q64, Induced="Y"), (R64-Q64)*(W64-X64)*0.5*(INDEX(ReliabilityModelGroup,A52,12)*AnnualFactor), 0)</f>
        <v>0.60545791155938</v>
      </c>
      <c r="AA64" s="1143">
        <f t="shared" si="20"/>
        <v>2475.7092716245697</v>
      </c>
      <c r="AB64" s="370">
        <f t="shared" si="21"/>
        <v>1881.335575817016</v>
      </c>
      <c r="AD64" s="375">
        <f t="shared" si="17"/>
        <v>2034</v>
      </c>
      <c r="AE64" s="376">
        <f t="shared" ca="1" si="15"/>
        <v>734.06230929316916</v>
      </c>
      <c r="AF64" s="376">
        <f t="shared" ca="1" si="16"/>
        <v>1686.5232442405024</v>
      </c>
      <c r="AG64" s="376">
        <f t="shared" ca="1" si="16"/>
        <v>7586.2850039939376</v>
      </c>
      <c r="AH64" s="376">
        <f t="shared" ca="1" si="16"/>
        <v>14855.993442622885</v>
      </c>
      <c r="AI64" s="376">
        <f t="shared" ca="1" si="16"/>
        <v>13349.485388120931</v>
      </c>
      <c r="AJ64" s="376">
        <f t="shared" ca="1" si="16"/>
        <v>0</v>
      </c>
      <c r="AQ64" s="1144"/>
    </row>
    <row r="65" spans="2:43" x14ac:dyDescent="0.2">
      <c r="B65" s="375">
        <f t="shared" si="22"/>
        <v>2030</v>
      </c>
      <c r="C65" s="401">
        <f>MAX(TREND(C58:C59,$B58:$B59,$B65),0)</f>
        <v>2533.3333333333285</v>
      </c>
      <c r="D65" s="402">
        <f>MAX(TREND(D58:D59,$B58:$B59,$B65),0)</f>
        <v>2582.7333333333227</v>
      </c>
      <c r="E65" s="725">
        <f>MAX(TREND(E58:E59,$B58:$B59,$B65),0)</f>
        <v>53.000732600732611</v>
      </c>
      <c r="F65" s="726">
        <f>MAX(TREND(F58:F59,$B58:$B59,$B65),0)</f>
        <v>54.317293233082715</v>
      </c>
      <c r="G65" s="1139">
        <f>IFERROR(MAX(1/E65-1/INDEX(ReliabilityModelGroup,A52,17), 0),0)</f>
        <v>0</v>
      </c>
      <c r="H65" s="1140">
        <f>IFERROR(MAX(1/F65-1/INDEX(ReliabilityModelGroup,A52,24), 0),0)</f>
        <v>0</v>
      </c>
      <c r="I65" s="1139">
        <f>IFERROR(AlphaSTD*MAX(AlphaTTI*(1+INDEX(ReliabilityModelGroup,A52,17)*G65)^BetaTTI-1,0)^BetaSTD*INDEX(ReliabilityModelGroup,A52,16)/INDEX(ReliabilityModelGroup,A52,17)*INDEX(RelAdjFactors,A52,5),0)</f>
        <v>7.5768493256438509E-4</v>
      </c>
      <c r="J65" s="1140">
        <f>IFERROR(AlphaSTD*MAX(AlphaTTI*(1+INDEX(ReliabilityModelGroup,A52,24)*H65)^BetaTTI-1,0)^BetaSTD*INDEX(ReliabilityModelGroup,A52,23)/INDEX(ReliabilityModelGroup,A52,24)*INDEX(RelAdjFactors,A52,5),0)</f>
        <v>6.4944422791233007E-4</v>
      </c>
      <c r="K65" s="1156">
        <f>MIN(C65*INDEX(ReliabilityModelGroup,A52,18),D65*INDEX(ReliabilityModelGroup,A52,25))*(I65-J65)*(INDEX(ReliabilityModelGroup,A52,12)*AnnualFactor)</f>
        <v>290.2510575479734</v>
      </c>
      <c r="L65" s="1157">
        <f>IF(AND(D65*INDEX(ReliabilityModelGroup,A52,25)&gt;C65*INDEX(ReliabilityModelGroup,A52,18), Induced="Y"), (D65*INDEX(ReliabilityModelGroup,A52,25)-C65*INDEX(ReliabilityModelGroup,A52,18))*(I65-J65)*0.5*(INDEX(ReliabilityModelGroup,A52,12)*AnnualFactor), 0)</f>
        <v>2.829947811092409</v>
      </c>
      <c r="M65" s="1143">
        <f t="shared" si="18"/>
        <v>3798.3298294534939</v>
      </c>
      <c r="N65" s="370">
        <f t="shared" si="19"/>
        <v>2775.4024017485235</v>
      </c>
      <c r="P65" s="375">
        <f t="shared" si="23"/>
        <v>2030</v>
      </c>
      <c r="Q65" s="401">
        <f>MAX(TREND(Q58:Q59,$P58:$P59,$P65),0)</f>
        <v>800</v>
      </c>
      <c r="R65" s="402">
        <f>MAX(TREND(R58:R59,$P58:$P59,$P65),0)</f>
        <v>815.59999999999854</v>
      </c>
      <c r="S65" s="725">
        <f>MAX(TREND(S58:S59,$P58:$P59,$P65),0)</f>
        <v>53.000732600732611</v>
      </c>
      <c r="T65" s="726">
        <f>MAX(TREND(T58:T59,$P58:$P59,$P65),0)</f>
        <v>54.317293233082715</v>
      </c>
      <c r="U65" s="1139">
        <f>IFERROR(MAX(1/S65-1/INDEX(ReliabilityModelGroup,O52,17), 0),0)</f>
        <v>0</v>
      </c>
      <c r="V65" s="1140">
        <f>IFERROR(MAX(1/T65-1/INDEX(ReliabilityModelGroup,O52,24), 0),0)</f>
        <v>0</v>
      </c>
      <c r="W65" s="1139">
        <f>IFERROR(AlphaSTD*MAX(AlphaTTI*(1+INDEX(ReliabilityModelGroup,O52,17)*U65)^BetaTTI-1,0)^BetaSTD*INDEX(ReliabilityModelGroup,O52,16)/INDEX(ReliabilityModelGroup,O52,17)*INDEX(RelAdjFactors,O52,15),0)</f>
        <v>7.5768493256438509E-4</v>
      </c>
      <c r="X65" s="1140">
        <f>IFERROR(AlphaSTD*MAX(AlphaTTI*(1+INDEX(ReliabilityModelGroup,O52,24)*V65)^BetaTTI-1,0)^BetaSTD*INDEX(ReliabilityModelGroup,O52,23)/INDEX(ReliabilityModelGroup,O52,24)*INDEX(RelAdjFactors,O52,15),0)</f>
        <v>6.4944422791233007E-4</v>
      </c>
      <c r="Y65" s="1156">
        <f>MIN(Q65,R65)*(W65-X65)*(INDEX(ReliabilityModelGroup,A52,12)*AnnualFactor)</f>
        <v>63.212571516800132</v>
      </c>
      <c r="Z65" s="1157">
        <f>IF(AND(R65&gt;Q65, Induced="Y"), (R65-Q65)*(W65-X65)*0.5*(INDEX(ReliabilityModelGroup,A52,12)*AnnualFactor), 0)</f>
        <v>0.61632257228874376</v>
      </c>
      <c r="AA65" s="1143">
        <f t="shared" si="20"/>
        <v>2520.60302757812</v>
      </c>
      <c r="AB65" s="370">
        <f t="shared" si="21"/>
        <v>1841.7799429496774</v>
      </c>
      <c r="AD65" s="375">
        <f t="shared" si="17"/>
        <v>2035</v>
      </c>
      <c r="AE65" s="376">
        <f t="shared" ca="1" si="15"/>
        <v>719.17376357843887</v>
      </c>
      <c r="AF65" s="376">
        <f t="shared" ca="1" si="16"/>
        <v>1648.6189920708241</v>
      </c>
      <c r="AG65" s="376">
        <f t="shared" ca="1" si="16"/>
        <v>7415.728518660705</v>
      </c>
      <c r="AH65" s="376">
        <f t="shared" ca="1" si="16"/>
        <v>14450.912739070971</v>
      </c>
      <c r="AI65" s="376">
        <f t="shared" ca="1" si="16"/>
        <v>12958.191730997709</v>
      </c>
      <c r="AJ65" s="376">
        <f t="shared" ca="1" si="16"/>
        <v>0</v>
      </c>
      <c r="AQ65" s="1144"/>
    </row>
    <row r="66" spans="2:43" x14ac:dyDescent="0.2">
      <c r="B66" s="375">
        <f t="shared" si="22"/>
        <v>2031</v>
      </c>
      <c r="C66" s="401">
        <f>MAX(TREND(C58:C59,$B58:$B59,$B66),0)</f>
        <v>2578.4583333333285</v>
      </c>
      <c r="D66" s="402">
        <f>MAX(TREND(D58:D59,$B58:$B59,$B66),0)</f>
        <v>2628.729166666657</v>
      </c>
      <c r="E66" s="725">
        <f>MAX(TREND(E58:E59,$B58:$B59,$B66),0)</f>
        <v>52.983058608058613</v>
      </c>
      <c r="F66" s="726">
        <f>MAX(TREND(F58:F59,$B58:$B59,$B66),0)</f>
        <v>54.369830827067666</v>
      </c>
      <c r="G66" s="1139">
        <f>IFERROR(MAX(1/E66-1/INDEX(ReliabilityModelGroup,A52,17), 0),0)</f>
        <v>0</v>
      </c>
      <c r="H66" s="1140">
        <f>IFERROR(MAX(1/F66-1/INDEX(ReliabilityModelGroup,A52,24), 0),0)</f>
        <v>0</v>
      </c>
      <c r="I66" s="1139">
        <f>IFERROR(AlphaSTD*MAX(AlphaTTI*(1+INDEX(ReliabilityModelGroup,A52,17)*G66)^BetaTTI-1,0)^BetaSTD*INDEX(ReliabilityModelGroup,A52,16)/INDEX(ReliabilityModelGroup,A52,17)*INDEX(RelAdjFactors,A52,5),0)</f>
        <v>7.5768493256438509E-4</v>
      </c>
      <c r="J66" s="1140">
        <f>IFERROR(AlphaSTD*MAX(AlphaTTI*(1+INDEX(ReliabilityModelGroup,A52,24)*H66)^BetaTTI-1,0)^BetaSTD*INDEX(ReliabilityModelGroup,A52,23)/INDEX(ReliabilityModelGroup,A52,24)*INDEX(RelAdjFactors,A52,5),0)</f>
        <v>6.4944422791233007E-4</v>
      </c>
      <c r="K66" s="1156">
        <f>MIN(C66*INDEX(ReliabilityModelGroup,A52,18),D66*INDEX(ReliabilityModelGroup,A52,25))*(I66-J66)*(INDEX(ReliabilityModelGroup,A52,12)*AnnualFactor)</f>
        <v>295.42115451054673</v>
      </c>
      <c r="L66" s="1157">
        <f>IF(AND(D66*INDEX(ReliabilityModelGroup,A52,25)&gt;C66*INDEX(ReliabilityModelGroup,A52,18), Induced="Y"), (D66*INDEX(ReliabilityModelGroup,A52,25)-C66*INDEX(ReliabilityModelGroup,A52,18))*(I66-J66)*0.5*(INDEX(ReliabilityModelGroup,A52,12)*AnnualFactor), 0)</f>
        <v>2.8798347116085155</v>
      </c>
      <c r="M66" s="1143">
        <f t="shared" si="18"/>
        <v>3865.9808203191333</v>
      </c>
      <c r="N66" s="370">
        <f t="shared" si="19"/>
        <v>2716.186844358389</v>
      </c>
      <c r="P66" s="375">
        <f t="shared" si="23"/>
        <v>2031</v>
      </c>
      <c r="Q66" s="401">
        <f>MAX(TREND(Q58:Q59,$P58:$P59,$P66),0)</f>
        <v>814.25</v>
      </c>
      <c r="R66" s="402">
        <f>MAX(TREND(R58:R59,$P58:$P59,$P66),0)</f>
        <v>830.125</v>
      </c>
      <c r="S66" s="725">
        <f>MAX(TREND(S58:S59,$P58:$P59,$P66),0)</f>
        <v>52.983058608058613</v>
      </c>
      <c r="T66" s="726">
        <f>MAX(TREND(T58:T59,$P58:$P59,$P66),0)</f>
        <v>54.369830827067666</v>
      </c>
      <c r="U66" s="1139">
        <f>IFERROR(MAX(1/S66-1/INDEX(ReliabilityModelGroup,O52,17), 0),0)</f>
        <v>0</v>
      </c>
      <c r="V66" s="1140">
        <f>IFERROR(MAX(1/T66-1/INDEX(ReliabilityModelGroup,O52,24), 0),0)</f>
        <v>0</v>
      </c>
      <c r="W66" s="1139">
        <f>IFERROR(AlphaSTD*MAX(AlphaTTI*(1+INDEX(ReliabilityModelGroup,O52,17)*U66)^BetaTTI-1,0)^BetaSTD*INDEX(ReliabilityModelGroup,O52,16)/INDEX(ReliabilityModelGroup,O52,17)*INDEX(RelAdjFactors,O52,15),0)</f>
        <v>7.5768493256438509E-4</v>
      </c>
      <c r="X66" s="1140">
        <f>IFERROR(AlphaSTD*MAX(AlphaTTI*(1+INDEX(ReliabilityModelGroup,O52,24)*V66)^BetaTTI-1,0)^BetaSTD*INDEX(ReliabilityModelGroup,O52,23)/INDEX(ReliabilityModelGroup,O52,24)*INDEX(RelAdjFactors,O52,15),0)</f>
        <v>6.4944422791233007E-4</v>
      </c>
      <c r="Y66" s="1156">
        <f>MIN(Q66,R66)*(W66-X66)*(INDEX(ReliabilityModelGroup,A52,12)*AnnualFactor)</f>
        <v>64.338545446943144</v>
      </c>
      <c r="Z66" s="1157">
        <f>IF(AND(R66&gt;Q66, Induced="Y"), (R66-Q66)*(W66-X66)*0.5*(INDEX(ReliabilityModelGroup,A52,12)*AnnualFactor), 0)</f>
        <v>0.62718723301825141</v>
      </c>
      <c r="AA66" s="1143">
        <f t="shared" si="20"/>
        <v>2565.4967835316752</v>
      </c>
      <c r="AB66" s="370">
        <f t="shared" si="21"/>
        <v>1802.4840102795092</v>
      </c>
      <c r="AD66" s="375">
        <f t="shared" si="17"/>
        <v>2036</v>
      </c>
      <c r="AE66" s="376">
        <f t="shared" ca="1" si="15"/>
        <v>704.34459962091682</v>
      </c>
      <c r="AF66" s="376">
        <f t="shared" ref="AF66:AJ75" ca="1" si="24">OFFSET($AB19,MATCH(AF$52,$O:$O),0)</f>
        <v>1611.1355947363306</v>
      </c>
      <c r="AG66" s="376">
        <f t="shared" ca="1" si="24"/>
        <v>7247.0694478738224</v>
      </c>
      <c r="AH66" s="376">
        <f t="shared" ca="1" si="24"/>
        <v>14055.015767977749</v>
      </c>
      <c r="AI66" s="376">
        <f t="shared" ca="1" si="24"/>
        <v>12577.249826510972</v>
      </c>
      <c r="AJ66" s="376">
        <f t="shared" ca="1" si="24"/>
        <v>0</v>
      </c>
      <c r="AQ66" s="1144"/>
    </row>
    <row r="67" spans="2:43" x14ac:dyDescent="0.2">
      <c r="B67" s="375">
        <f t="shared" si="22"/>
        <v>2032</v>
      </c>
      <c r="C67" s="401">
        <f>MAX(TREND(C58:C59,$B58:$B59,$B67),0)</f>
        <v>2623.5833333333285</v>
      </c>
      <c r="D67" s="402">
        <f>MAX(TREND(D58:D59,$B58:$B59,$B67),0)</f>
        <v>2674.7249999999913</v>
      </c>
      <c r="E67" s="725">
        <f>MAX(TREND(E58:E59,$B58:$B59,$B67),0)</f>
        <v>52.965384615384622</v>
      </c>
      <c r="F67" s="726">
        <f>MAX(TREND(F58:F59,$B58:$B59,$B67),0)</f>
        <v>54.422368421052632</v>
      </c>
      <c r="G67" s="1139">
        <f>IFERROR(MAX(1/E67-1/INDEX(ReliabilityModelGroup,A52,17), 0),0)</f>
        <v>0</v>
      </c>
      <c r="H67" s="1140">
        <f>IFERROR(MAX(1/F67-1/INDEX(ReliabilityModelGroup,A52,24), 0),0)</f>
        <v>0</v>
      </c>
      <c r="I67" s="1139">
        <f>IFERROR(AlphaSTD*MAX(AlphaTTI*(1+INDEX(ReliabilityModelGroup,A52,17)*G67)^BetaTTI-1,0)^BetaSTD*INDEX(ReliabilityModelGroup,A52,16)/INDEX(ReliabilityModelGroup,A52,17)*INDEX(RelAdjFactors,A52,5),0)</f>
        <v>7.5768493256438509E-4</v>
      </c>
      <c r="J67" s="1140">
        <f>IFERROR(AlphaSTD*MAX(AlphaTTI*(1+INDEX(ReliabilityModelGroup,A52,24)*H67)^BetaTTI-1,0)^BetaSTD*INDEX(ReliabilityModelGroup,A52,23)/INDEX(ReliabilityModelGroup,A52,24)*INDEX(RelAdjFactors,A52,5),0)</f>
        <v>6.4944422791233007E-4</v>
      </c>
      <c r="K67" s="1156">
        <f>MIN(C67*INDEX(ReliabilityModelGroup,A52,18),D67*INDEX(ReliabilityModelGroup,A52,25))*(I67-J67)*(INDEX(ReliabilityModelGroup,A52,12)*AnnualFactor)</f>
        <v>300.59125147312</v>
      </c>
      <c r="L67" s="1157">
        <f>IF(AND(D67*INDEX(ReliabilityModelGroup,A52,25)&gt;C67*INDEX(ReliabilityModelGroup,A52,18), Induced="Y"), (D67*INDEX(ReliabilityModelGroup,A52,25)-C67*INDEX(ReliabilityModelGroup,A52,18))*(I67-J67)*0.5*(INDEX(ReliabilityModelGroup,A52,12)*AnnualFactor), 0)</f>
        <v>2.9297216121246397</v>
      </c>
      <c r="M67" s="1143">
        <f t="shared" si="18"/>
        <v>3933.6318111847718</v>
      </c>
      <c r="N67" s="370">
        <f t="shared" si="19"/>
        <v>2657.4207049897609</v>
      </c>
      <c r="P67" s="375">
        <f t="shared" si="23"/>
        <v>2032</v>
      </c>
      <c r="Q67" s="401">
        <f>MAX(TREND(Q58:Q59,$P58:$P59,$P67),0)</f>
        <v>828.5</v>
      </c>
      <c r="R67" s="402">
        <f>MAX(TREND(R58:R59,$P58:$P59,$P67),0)</f>
        <v>844.64999999999782</v>
      </c>
      <c r="S67" s="725">
        <f>MAX(TREND(S58:S59,$P58:$P59,$P67),0)</f>
        <v>52.965384615384622</v>
      </c>
      <c r="T67" s="726">
        <f>MAX(TREND(T58:T59,$P58:$P59,$P67),0)</f>
        <v>54.422368421052632</v>
      </c>
      <c r="U67" s="1139">
        <f>IFERROR(MAX(1/S67-1/INDEX(ReliabilityModelGroup,O52,17), 0),0)</f>
        <v>0</v>
      </c>
      <c r="V67" s="1140">
        <f>IFERROR(MAX(1/T67-1/INDEX(ReliabilityModelGroup,O52,24), 0),0)</f>
        <v>0</v>
      </c>
      <c r="W67" s="1139">
        <f>IFERROR(AlphaSTD*MAX(AlphaTTI*(1+INDEX(ReliabilityModelGroup,O52,17)*U67)^BetaTTI-1,0)^BetaSTD*INDEX(ReliabilityModelGroup,O52,16)/INDEX(ReliabilityModelGroup,O52,17)*INDEX(RelAdjFactors,O52,15),0)</f>
        <v>7.5768493256438509E-4</v>
      </c>
      <c r="X67" s="1140">
        <f>IFERROR(AlphaSTD*MAX(AlphaTTI*(1+INDEX(ReliabilityModelGroup,O52,24)*V67)^BetaTTI-1,0)^BetaSTD*INDEX(ReliabilityModelGroup,O52,23)/INDEX(ReliabilityModelGroup,O52,24)*INDEX(RelAdjFactors,O52,15),0)</f>
        <v>6.4944422791233007E-4</v>
      </c>
      <c r="Y67" s="1156">
        <f>MIN(Q67,R67)*(W67-X67)*(INDEX(ReliabilityModelGroup,A52,12)*AnnualFactor)</f>
        <v>65.464519377086148</v>
      </c>
      <c r="Z67" s="1157">
        <f>IF(AND(R67&gt;Q67, Induced="Y"), (R67-Q67)*(W67-X67)*0.5*(INDEX(ReliabilityModelGroup,A52,12)*AnnualFactor), 0)</f>
        <v>0.63805189374761517</v>
      </c>
      <c r="AA67" s="1143">
        <f t="shared" si="20"/>
        <v>2610.3905394852254</v>
      </c>
      <c r="AB67" s="370">
        <f t="shared" si="21"/>
        <v>1763.4863151180641</v>
      </c>
      <c r="AD67" s="375">
        <f t="shared" si="17"/>
        <v>2037</v>
      </c>
      <c r="AE67" s="376">
        <f t="shared" ca="1" si="15"/>
        <v>689.59227406903506</v>
      </c>
      <c r="AF67" s="376">
        <f t="shared" ca="1" si="24"/>
        <v>1574.0967501671048</v>
      </c>
      <c r="AG67" s="376">
        <f t="shared" ca="1" si="24"/>
        <v>7080.4141391612839</v>
      </c>
      <c r="AH67" s="376">
        <f t="shared" ca="1" si="24"/>
        <v>13668.195320194851</v>
      </c>
      <c r="AI67" s="376">
        <f t="shared" ca="1" si="24"/>
        <v>12206.442222767333</v>
      </c>
      <c r="AJ67" s="376">
        <f t="shared" ca="1" si="24"/>
        <v>0</v>
      </c>
      <c r="AQ67" s="1144"/>
    </row>
    <row r="68" spans="2:43" x14ac:dyDescent="0.2">
      <c r="B68" s="375">
        <f t="shared" si="22"/>
        <v>2033</v>
      </c>
      <c r="C68" s="401">
        <f>MAX(TREND(C58:C59,$B58:$B59,$B68),0)</f>
        <v>2668.7083333333285</v>
      </c>
      <c r="D68" s="402">
        <f>MAX(TREND(D58:D59,$B58:$B59,$B68),0)</f>
        <v>2720.7208333333256</v>
      </c>
      <c r="E68" s="725">
        <f>MAX(TREND(E58:E59,$B58:$B59,$B68),0)</f>
        <v>52.94771062271063</v>
      </c>
      <c r="F68" s="726">
        <f>MAX(TREND(F58:F59,$B58:$B59,$B68),0)</f>
        <v>54.474906015037597</v>
      </c>
      <c r="G68" s="1139">
        <f>IFERROR(MAX(1/E68-1/INDEX(ReliabilityModelGroup,A52,17), 0),0)</f>
        <v>0</v>
      </c>
      <c r="H68" s="1140">
        <f>IFERROR(MAX(1/F68-1/INDEX(ReliabilityModelGroup,A52,24), 0),0)</f>
        <v>0</v>
      </c>
      <c r="I68" s="1139">
        <f>IFERROR(AlphaSTD*MAX(AlphaTTI*(1+INDEX(ReliabilityModelGroup,A52,17)*G68)^BetaTTI-1,0)^BetaSTD*INDEX(ReliabilityModelGroup,A52,16)/INDEX(ReliabilityModelGroup,A52,17)*INDEX(RelAdjFactors,A52,5),0)</f>
        <v>7.5768493256438509E-4</v>
      </c>
      <c r="J68" s="1140">
        <f>IFERROR(AlphaSTD*MAX(AlphaTTI*(1+INDEX(ReliabilityModelGroup,A52,24)*H68)^BetaTTI-1,0)^BetaSTD*INDEX(ReliabilityModelGroup,A52,23)/INDEX(ReliabilityModelGroup,A52,24)*INDEX(RelAdjFactors,A52,5),0)</f>
        <v>6.4944422791233007E-4</v>
      </c>
      <c r="K68" s="1156">
        <f>MIN(C68*INDEX(ReliabilityModelGroup,A52,18),D68*INDEX(ReliabilityModelGroup,A52,25))*(I68-J68)*(INDEX(ReliabilityModelGroup,A52,12)*AnnualFactor)</f>
        <v>305.76134843569326</v>
      </c>
      <c r="L68" s="1157">
        <f>IF(AND(D68*INDEX(ReliabilityModelGroup,A52,25)&gt;C68*INDEX(ReliabilityModelGroup,A52,18), Induced="Y"), (D68*INDEX(ReliabilityModelGroup,A52,25)-C68*INDEX(ReliabilityModelGroup,A52,18))*(I68-J68)*0.5*(INDEX(ReliabilityModelGroup,A52,12)*AnnualFactor), 0)</f>
        <v>2.9796085126407643</v>
      </c>
      <c r="M68" s="1143">
        <f t="shared" si="18"/>
        <v>4001.2828020504103</v>
      </c>
      <c r="N68" s="370">
        <f t="shared" si="19"/>
        <v>2599.1570100039885</v>
      </c>
      <c r="P68" s="375">
        <f t="shared" si="23"/>
        <v>2033</v>
      </c>
      <c r="Q68" s="401">
        <f>MAX(TREND(Q58:Q59,$P58:$P59,$P68),0)</f>
        <v>842.75</v>
      </c>
      <c r="R68" s="402">
        <f>MAX(TREND(R58:R59,$P58:$P59,$P68),0)</f>
        <v>859.17499999999927</v>
      </c>
      <c r="S68" s="725">
        <f>MAX(TREND(S58:S59,$P58:$P59,$P68),0)</f>
        <v>52.94771062271063</v>
      </c>
      <c r="T68" s="726">
        <f>MAX(TREND(T58:T59,$P58:$P59,$P68),0)</f>
        <v>54.474906015037597</v>
      </c>
      <c r="U68" s="1139">
        <f>IFERROR(MAX(1/S68-1/INDEX(ReliabilityModelGroup,O52,17), 0),0)</f>
        <v>0</v>
      </c>
      <c r="V68" s="1140">
        <f>IFERROR(MAX(1/T68-1/INDEX(ReliabilityModelGroup,O52,24), 0),0)</f>
        <v>0</v>
      </c>
      <c r="W68" s="1139">
        <f>IFERROR(AlphaSTD*MAX(AlphaTTI*(1+INDEX(ReliabilityModelGroup,O52,17)*U68)^BetaTTI-1,0)^BetaSTD*INDEX(ReliabilityModelGroup,O52,16)/INDEX(ReliabilityModelGroup,O52,17)*INDEX(RelAdjFactors,O52,15),0)</f>
        <v>7.5768493256438509E-4</v>
      </c>
      <c r="X68" s="1140">
        <f>IFERROR(AlphaSTD*MAX(AlphaTTI*(1+INDEX(ReliabilityModelGroup,O52,24)*V68)^BetaTTI-1,0)^BetaSTD*INDEX(ReliabilityModelGroup,O52,23)/INDEX(ReliabilityModelGroup,O52,24)*INDEX(RelAdjFactors,O52,15),0)</f>
        <v>6.4944422791233007E-4</v>
      </c>
      <c r="Y68" s="1156">
        <f>MIN(Q68,R68)*(W68-X68)*(INDEX(ReliabilityModelGroup,A52,12)*AnnualFactor)</f>
        <v>66.590493307229153</v>
      </c>
      <c r="Z68" s="1157">
        <f>IF(AND(R68&gt;Q68, Induced="Y"), (R68-Q68)*(W68-X68)*0.5*(INDEX(ReliabilityModelGroup,A52,12)*AnnualFactor), 0)</f>
        <v>0.6489165544771226</v>
      </c>
      <c r="AA68" s="1143">
        <f t="shared" si="20"/>
        <v>2655.2842954387811</v>
      </c>
      <c r="AB68" s="370">
        <f t="shared" si="21"/>
        <v>1724.8220461964388</v>
      </c>
      <c r="AD68" s="375">
        <f t="shared" si="17"/>
        <v>2038</v>
      </c>
      <c r="AE68" s="376">
        <f t="shared" ca="1" si="15"/>
        <v>674.93281290927371</v>
      </c>
      <c r="AF68" s="376">
        <f t="shared" ca="1" si="24"/>
        <v>1537.5237108092181</v>
      </c>
      <c r="AG68" s="376">
        <f t="shared" ca="1" si="24"/>
        <v>6915.857952645757</v>
      </c>
      <c r="AH68" s="376">
        <f t="shared" ca="1" si="24"/>
        <v>13290.338848028416</v>
      </c>
      <c r="AI68" s="376">
        <f t="shared" ca="1" si="24"/>
        <v>11845.552881698479</v>
      </c>
      <c r="AJ68" s="376">
        <f t="shared" ca="1" si="24"/>
        <v>0</v>
      </c>
      <c r="AQ68" s="1144"/>
    </row>
    <row r="69" spans="2:43" x14ac:dyDescent="0.2">
      <c r="B69" s="375">
        <f t="shared" si="22"/>
        <v>2034</v>
      </c>
      <c r="C69" s="401">
        <f>MAX(TREND(C58:C59,$B58:$B59,$B69),0)</f>
        <v>2713.8333333333285</v>
      </c>
      <c r="D69" s="402">
        <f>MAX(TREND(D58:D59,$B58:$B59,$B69),0)</f>
        <v>2766.7166666666599</v>
      </c>
      <c r="E69" s="725">
        <f>MAX(TREND(E58:E59,$B58:$B59,$B69),0)</f>
        <v>52.930036630036639</v>
      </c>
      <c r="F69" s="726">
        <f>MAX(TREND(F58:F59,$B58:$B59,$B69),0)</f>
        <v>54.527443609022562</v>
      </c>
      <c r="G69" s="1139">
        <f>IFERROR(MAX(1/E69-1/INDEX(ReliabilityModelGroup,A52,17), 0),0)</f>
        <v>0</v>
      </c>
      <c r="H69" s="1140">
        <f>IFERROR(MAX(1/F69-1/INDEX(ReliabilityModelGroup,A52,24), 0),0)</f>
        <v>0</v>
      </c>
      <c r="I69" s="1139">
        <f>IFERROR(AlphaSTD*MAX(AlphaTTI*(1+INDEX(ReliabilityModelGroup,A52,17)*G69)^BetaTTI-1,0)^BetaSTD*INDEX(ReliabilityModelGroup,A52,16)/INDEX(ReliabilityModelGroup,A52,17)*INDEX(RelAdjFactors,A52,5),0)</f>
        <v>7.5768493256438509E-4</v>
      </c>
      <c r="J69" s="1140">
        <f>IFERROR(AlphaSTD*MAX(AlphaTTI*(1+INDEX(ReliabilityModelGroup,A52,24)*H69)^BetaTTI-1,0)^BetaSTD*INDEX(ReliabilityModelGroup,A52,23)/INDEX(ReliabilityModelGroup,A52,24)*INDEX(RelAdjFactors,A52,5),0)</f>
        <v>6.4944422791233007E-4</v>
      </c>
      <c r="K69" s="1156">
        <f>MIN(C69*INDEX(ReliabilityModelGroup,A52,18),D69*INDEX(ReliabilityModelGroup,A52,25))*(I69-J69)*(INDEX(ReliabilityModelGroup,A52,12)*AnnualFactor)</f>
        <v>310.93144539826653</v>
      </c>
      <c r="L69" s="1157">
        <f>IF(AND(D69*INDEX(ReliabilityModelGroup,A52,25)&gt;C69*INDEX(ReliabilityModelGroup,A52,18), Induced="Y"), (D69*INDEX(ReliabilityModelGroup,A52,25)-C69*INDEX(ReliabilityModelGroup,A52,18))*(I69-J69)*0.5*(INDEX(ReliabilityModelGroup,A52,12)*AnnualFactor), 0)</f>
        <v>3.0294954131568708</v>
      </c>
      <c r="M69" s="1143">
        <f t="shared" si="18"/>
        <v>4068.9337929160483</v>
      </c>
      <c r="N69" s="370">
        <f t="shared" si="19"/>
        <v>2541.4440419919874</v>
      </c>
      <c r="P69" s="375">
        <f t="shared" si="23"/>
        <v>2034</v>
      </c>
      <c r="Q69" s="401">
        <f>MAX(TREND(Q58:Q59,$P58:$P59,$P69),0)</f>
        <v>857</v>
      </c>
      <c r="R69" s="402">
        <f>MAX(TREND(R58:R59,$P58:$P59,$P69),0)</f>
        <v>873.70000000000073</v>
      </c>
      <c r="S69" s="725">
        <f>MAX(TREND(S58:S59,$P58:$P59,$P69),0)</f>
        <v>52.930036630036639</v>
      </c>
      <c r="T69" s="726">
        <f>MAX(TREND(T58:T59,$P58:$P59,$P69),0)</f>
        <v>54.527443609022562</v>
      </c>
      <c r="U69" s="1139">
        <f>IFERROR(MAX(1/S69-1/INDEX(ReliabilityModelGroup,O52,17), 0),0)</f>
        <v>0</v>
      </c>
      <c r="V69" s="1140">
        <f>IFERROR(MAX(1/T69-1/INDEX(ReliabilityModelGroup,O52,24), 0),0)</f>
        <v>0</v>
      </c>
      <c r="W69" s="1139">
        <f>IFERROR(AlphaSTD*MAX(AlphaTTI*(1+INDEX(ReliabilityModelGroup,O52,17)*U69)^BetaTTI-1,0)^BetaSTD*INDEX(ReliabilityModelGroup,O52,16)/INDEX(ReliabilityModelGroup,O52,17)*INDEX(RelAdjFactors,O52,15),0)</f>
        <v>7.5768493256438509E-4</v>
      </c>
      <c r="X69" s="1140">
        <f>IFERROR(AlphaSTD*MAX(AlphaTTI*(1+INDEX(ReliabilityModelGroup,O52,24)*V69)^BetaTTI-1,0)^BetaSTD*INDEX(ReliabilityModelGroup,O52,23)/INDEX(ReliabilityModelGroup,O52,24)*INDEX(RelAdjFactors,O52,15),0)</f>
        <v>6.4944422791233007E-4</v>
      </c>
      <c r="Y69" s="1156">
        <f>MIN(Q69,R69)*(W69-X69)*(INDEX(ReliabilityModelGroup,A52,12)*AnnualFactor)</f>
        <v>67.716467237372143</v>
      </c>
      <c r="Z69" s="1157">
        <f>IF(AND(R69&gt;Q69, Induced="Y"), (R69-Q69)*(W69-X69)*0.5*(INDEX(ReliabilityModelGroup,A52,12)*AnnualFactor), 0)</f>
        <v>0.65978121520663024</v>
      </c>
      <c r="AA69" s="1143">
        <f t="shared" si="20"/>
        <v>2700.1780513923359</v>
      </c>
      <c r="AB69" s="370">
        <f t="shared" si="21"/>
        <v>1686.5232442405024</v>
      </c>
      <c r="AD69" s="375">
        <f t="shared" si="17"/>
        <v>2039</v>
      </c>
      <c r="AE69" s="376">
        <f t="shared" ca="1" si="15"/>
        <v>660.38089569365695</v>
      </c>
      <c r="AF69" s="376">
        <f t="shared" ca="1" si="24"/>
        <v>1501.4354366827558</v>
      </c>
      <c r="AG69" s="376">
        <f t="shared" ca="1" si="24"/>
        <v>6753.4859489107712</v>
      </c>
      <c r="AH69" s="376">
        <f t="shared" ca="1" si="24"/>
        <v>12921.329034489883</v>
      </c>
      <c r="AI69" s="376">
        <f t="shared" ca="1" si="24"/>
        <v>11494.367391979944</v>
      </c>
      <c r="AJ69" s="376">
        <f t="shared" ca="1" si="24"/>
        <v>0</v>
      </c>
      <c r="AQ69" s="1144"/>
    </row>
    <row r="70" spans="2:43" x14ac:dyDescent="0.2">
      <c r="B70" s="375">
        <f t="shared" si="22"/>
        <v>2035</v>
      </c>
      <c r="C70" s="401">
        <f>MAX(TREND(C58:C59,$B58:$B59,$B70),0)</f>
        <v>2758.9583333333285</v>
      </c>
      <c r="D70" s="402">
        <f>MAX(TREND(D58:D59,$B58:$B59,$B70),0)</f>
        <v>2812.7124999999942</v>
      </c>
      <c r="E70" s="725">
        <f>MAX(TREND(E58:E59,$B58:$B59,$B70),0)</f>
        <v>52.912362637362648</v>
      </c>
      <c r="F70" s="726">
        <f>MAX(TREND(F58:F59,$B58:$B59,$B70),0)</f>
        <v>54.579981203007527</v>
      </c>
      <c r="G70" s="1139">
        <f>IFERROR(MAX(1/E70-1/INDEX(ReliabilityModelGroup,A52,17), 0),0)</f>
        <v>0</v>
      </c>
      <c r="H70" s="1140">
        <f>IFERROR(MAX(1/F70-1/INDEX(ReliabilityModelGroup,A52,24), 0),0)</f>
        <v>0</v>
      </c>
      <c r="I70" s="1139">
        <f>IFERROR(AlphaSTD*MAX(AlphaTTI*(1+INDEX(ReliabilityModelGroup,A52,17)*G70)^BetaTTI-1,0)^BetaSTD*INDEX(ReliabilityModelGroup,A52,16)/INDEX(ReliabilityModelGroup,A52,17)*INDEX(RelAdjFactors,A52,5),0)</f>
        <v>7.5768493256438509E-4</v>
      </c>
      <c r="J70" s="1140">
        <f>IFERROR(AlphaSTD*MAX(AlphaTTI*(1+INDEX(ReliabilityModelGroup,A52,24)*H70)^BetaTTI-1,0)^BetaSTD*INDEX(ReliabilityModelGroup,A52,23)/INDEX(ReliabilityModelGroup,A52,24)*INDEX(RelAdjFactors,A52,5),0)</f>
        <v>6.4944422791233007E-4</v>
      </c>
      <c r="K70" s="1156">
        <f>MIN(C70*INDEX(ReliabilityModelGroup,A52,18),D70*INDEX(ReliabilityModelGroup,A52,25))*(I70-J70)*(INDEX(ReliabilityModelGroup,A52,12)*AnnualFactor)</f>
        <v>316.1015423608398</v>
      </c>
      <c r="L70" s="1157">
        <f>IF(AND(D70*INDEX(ReliabilityModelGroup,A52,25)&gt;C70*INDEX(ReliabilityModelGroup,A52,18), Induced="Y"), (D70*INDEX(ReliabilityModelGroup,A52,25)-C70*INDEX(ReliabilityModelGroup,A52,18))*(I70-J70)*0.5*(INDEX(ReliabilityModelGroup,A52,12)*AnnualFactor), 0)</f>
        <v>3.0793823136729772</v>
      </c>
      <c r="M70" s="1143">
        <f t="shared" si="18"/>
        <v>4136.5847837816864</v>
      </c>
      <c r="N70" s="370">
        <f t="shared" si="19"/>
        <v>2484.3256262383011</v>
      </c>
      <c r="P70" s="375">
        <f t="shared" si="23"/>
        <v>2035</v>
      </c>
      <c r="Q70" s="401">
        <f>MAX(TREND(Q58:Q59,$P58:$P59,$P70),0)</f>
        <v>871.25</v>
      </c>
      <c r="R70" s="402">
        <f>MAX(TREND(R58:R59,$P58:$P59,$P70),0)</f>
        <v>888.22499999999854</v>
      </c>
      <c r="S70" s="725">
        <f>MAX(TREND(S58:S59,$P58:$P59,$P70),0)</f>
        <v>52.912362637362648</v>
      </c>
      <c r="T70" s="726">
        <f>MAX(TREND(T58:T59,$P58:$P59,$P70),0)</f>
        <v>54.579981203007527</v>
      </c>
      <c r="U70" s="1139">
        <f>IFERROR(MAX(1/S70-1/INDEX(ReliabilityModelGroup,O52,17), 0),0)</f>
        <v>0</v>
      </c>
      <c r="V70" s="1140">
        <f>IFERROR(MAX(1/T70-1/INDEX(ReliabilityModelGroup,O52,24), 0),0)</f>
        <v>0</v>
      </c>
      <c r="W70" s="1139">
        <f>IFERROR(AlphaSTD*MAX(AlphaTTI*(1+INDEX(ReliabilityModelGroup,O52,17)*U70)^BetaTTI-1,0)^BetaSTD*INDEX(ReliabilityModelGroup,O52,16)/INDEX(ReliabilityModelGroup,O52,17)*INDEX(RelAdjFactors,O52,15),0)</f>
        <v>7.5768493256438509E-4</v>
      </c>
      <c r="X70" s="1140">
        <f>IFERROR(AlphaSTD*MAX(AlphaTTI*(1+INDEX(ReliabilityModelGroup,O52,24)*V70)^BetaTTI-1,0)^BetaSTD*INDEX(ReliabilityModelGroup,O52,23)/INDEX(ReliabilityModelGroup,O52,24)*INDEX(RelAdjFactors,O52,15),0)</f>
        <v>6.4944422791233007E-4</v>
      </c>
      <c r="Y70" s="1156">
        <f>MIN(Q70,R70)*(W70-X70)*(INDEX(ReliabilityModelGroup,A52,12)*AnnualFactor)</f>
        <v>68.842441167515148</v>
      </c>
      <c r="Z70" s="1157">
        <f>IF(AND(R70&gt;Q70, Induced="Y"), (R70-Q70)*(W70-X70)*0.5*(INDEX(ReliabilityModelGroup,A52,12)*AnnualFactor), 0)</f>
        <v>0.67064587593599401</v>
      </c>
      <c r="AA70" s="1143">
        <f t="shared" si="20"/>
        <v>2745.0718073458856</v>
      </c>
      <c r="AB70" s="370">
        <f t="shared" si="21"/>
        <v>1648.6189920708241</v>
      </c>
      <c r="AD70" s="375">
        <f t="shared" si="17"/>
        <v>2040</v>
      </c>
      <c r="AE70" s="376">
        <f t="shared" ca="1" si="15"/>
        <v>645.94993540452379</v>
      </c>
      <c r="AF70" s="376">
        <f t="shared" ca="1" si="24"/>
        <v>1465.8487402837563</v>
      </c>
      <c r="AG70" s="376">
        <f t="shared" ca="1" si="24"/>
        <v>6593.3735402076964</v>
      </c>
      <c r="AH70" s="376">
        <f t="shared" ca="1" si="24"/>
        <v>12561.044326655454</v>
      </c>
      <c r="AI70" s="376">
        <f t="shared" ca="1" si="24"/>
        <v>11152.673163479843</v>
      </c>
      <c r="AJ70" s="376">
        <f t="shared" ca="1" si="24"/>
        <v>0</v>
      </c>
      <c r="AQ70" s="1144"/>
    </row>
    <row r="71" spans="2:43" x14ac:dyDescent="0.2">
      <c r="B71" s="375">
        <f t="shared" si="22"/>
        <v>2036</v>
      </c>
      <c r="C71" s="401">
        <f>MAX(TREND(C58:C59,$B58:$B59,$B71),0)</f>
        <v>2804.0833333333285</v>
      </c>
      <c r="D71" s="402">
        <f>MAX(TREND(D58:D59,$B58:$B59,$B71),0)</f>
        <v>2858.7083333333285</v>
      </c>
      <c r="E71" s="725">
        <f>MAX(TREND(E58:E59,$B58:$B59,$B71),0)</f>
        <v>52.89468864468865</v>
      </c>
      <c r="F71" s="726">
        <f>MAX(TREND(F58:F59,$B58:$B59,$B71),0)</f>
        <v>54.632518796992478</v>
      </c>
      <c r="G71" s="1139">
        <f>IFERROR(MAX(1/E71-1/INDEX(ReliabilityModelGroup,A52,17), 0),0)</f>
        <v>0</v>
      </c>
      <c r="H71" s="1140">
        <f>IFERROR(MAX(1/F71-1/INDEX(ReliabilityModelGroup,A52,24), 0),0)</f>
        <v>0</v>
      </c>
      <c r="I71" s="1139">
        <f>IFERROR(AlphaSTD*MAX(AlphaTTI*(1+INDEX(ReliabilityModelGroup,A52,17)*G71)^BetaTTI-1,0)^BetaSTD*INDEX(ReliabilityModelGroup,A52,16)/INDEX(ReliabilityModelGroup,A52,17)*INDEX(RelAdjFactors,A52,5),0)</f>
        <v>7.5768493256438509E-4</v>
      </c>
      <c r="J71" s="1140">
        <f>IFERROR(AlphaSTD*MAX(AlphaTTI*(1+INDEX(ReliabilityModelGroup,A52,24)*H71)^BetaTTI-1,0)^BetaSTD*INDEX(ReliabilityModelGroup,A52,23)/INDEX(ReliabilityModelGroup,A52,24)*INDEX(RelAdjFactors,A52,5),0)</f>
        <v>6.4944422791233007E-4</v>
      </c>
      <c r="K71" s="1156">
        <f>MIN(C71*INDEX(ReliabilityModelGroup,A52,18),D71*INDEX(ReliabilityModelGroup,A52,25))*(I71-J71)*(INDEX(ReliabilityModelGroup,A52,12)*AnnualFactor)</f>
        <v>321.27163932341313</v>
      </c>
      <c r="L71" s="1157">
        <f>IF(AND(D71*INDEX(ReliabilityModelGroup,A52,25)&gt;C71*INDEX(ReliabilityModelGroup,A52,18), Induced="Y"), (D71*INDEX(ReliabilityModelGroup,A52,25)-C71*INDEX(ReliabilityModelGroup,A52,18))*(I71-J71)*0.5*(INDEX(ReliabilityModelGroup,A52,12)*AnnualFactor), 0)</f>
        <v>3.1292692141891014</v>
      </c>
      <c r="M71" s="1143">
        <f t="shared" si="18"/>
        <v>4204.2357746473253</v>
      </c>
      <c r="N71" s="370">
        <f t="shared" si="19"/>
        <v>2427.8414021668632</v>
      </c>
      <c r="P71" s="375">
        <f t="shared" si="23"/>
        <v>2036</v>
      </c>
      <c r="Q71" s="401">
        <f>MAX(TREND(Q58:Q59,$P58:$P59,$P71),0)</f>
        <v>885.5</v>
      </c>
      <c r="R71" s="402">
        <f>MAX(TREND(R58:R59,$P58:$P59,$P71),0)</f>
        <v>902.75</v>
      </c>
      <c r="S71" s="725">
        <f>MAX(TREND(S58:S59,$P58:$P59,$P71),0)</f>
        <v>52.89468864468865</v>
      </c>
      <c r="T71" s="726">
        <f>MAX(TREND(T58:T59,$P58:$P59,$P71),0)</f>
        <v>54.632518796992478</v>
      </c>
      <c r="U71" s="1139">
        <f>IFERROR(MAX(1/S71-1/INDEX(ReliabilityModelGroup,O52,17), 0),0)</f>
        <v>0</v>
      </c>
      <c r="V71" s="1140">
        <f>IFERROR(MAX(1/T71-1/INDEX(ReliabilityModelGroup,O52,24), 0),0)</f>
        <v>0</v>
      </c>
      <c r="W71" s="1139">
        <f>IFERROR(AlphaSTD*MAX(AlphaTTI*(1+INDEX(ReliabilityModelGroup,O52,17)*U71)^BetaTTI-1,0)^BetaSTD*INDEX(ReliabilityModelGroup,O52,16)/INDEX(ReliabilityModelGroup,O52,17)*INDEX(RelAdjFactors,O52,15),0)</f>
        <v>7.5768493256438509E-4</v>
      </c>
      <c r="X71" s="1140">
        <f>IFERROR(AlphaSTD*MAX(AlphaTTI*(1+INDEX(ReliabilityModelGroup,O52,24)*V71)^BetaTTI-1,0)^BetaSTD*INDEX(ReliabilityModelGroup,O52,23)/INDEX(ReliabilityModelGroup,O52,24)*INDEX(RelAdjFactors,O52,15),0)</f>
        <v>6.4944422791233007E-4</v>
      </c>
      <c r="Y71" s="1156">
        <f>MIN(Q71,R71)*(W71-X71)*(INDEX(ReliabilityModelGroup,A52,12)*AnnualFactor)</f>
        <v>69.968415097658152</v>
      </c>
      <c r="Z71" s="1157">
        <f>IF(AND(R71&gt;Q71, Induced="Y"), (R71-Q71)*(W71-X71)*0.5*(INDEX(ReliabilityModelGroup,A52,12)*AnnualFactor), 0)</f>
        <v>0.68151053666550143</v>
      </c>
      <c r="AA71" s="1143">
        <f t="shared" si="20"/>
        <v>2789.9655632994409</v>
      </c>
      <c r="AB71" s="370">
        <f t="shared" si="21"/>
        <v>1611.1355947363306</v>
      </c>
      <c r="AD71" s="375">
        <f t="shared" si="17"/>
        <v>2041</v>
      </c>
      <c r="AE71" s="376">
        <f t="shared" ca="1" si="15"/>
        <v>631.65215416767069</v>
      </c>
      <c r="AF71" s="376">
        <f t="shared" ca="1" si="24"/>
        <v>1430.77842373101</v>
      </c>
      <c r="AG71" s="376">
        <f t="shared" ca="1" si="24"/>
        <v>6435.5871068058805</v>
      </c>
      <c r="AH71" s="376">
        <f t="shared" ca="1" si="24"/>
        <v>12209.359435053171</v>
      </c>
      <c r="AI71" s="376">
        <f t="shared" ca="1" si="24"/>
        <v>10820.259604343692</v>
      </c>
      <c r="AJ71" s="376">
        <f t="shared" ca="1" si="24"/>
        <v>0</v>
      </c>
      <c r="AQ71" s="1144"/>
    </row>
    <row r="72" spans="2:43" x14ac:dyDescent="0.2">
      <c r="B72" s="375">
        <f t="shared" si="22"/>
        <v>2037</v>
      </c>
      <c r="C72" s="401">
        <f>MAX(TREND(C58:C59,$B58:$B59,$B72),0)</f>
        <v>2849.2083333333285</v>
      </c>
      <c r="D72" s="402">
        <f>MAX(TREND(D58:D59,$B58:$B59,$B72),0)</f>
        <v>2904.7041666666628</v>
      </c>
      <c r="E72" s="725">
        <f>MAX(TREND(E58:E59,$B58:$B59,$B72),0)</f>
        <v>52.877014652014658</v>
      </c>
      <c r="F72" s="726">
        <f>MAX(TREND(F58:F59,$B58:$B59,$B72),0)</f>
        <v>54.685056390977444</v>
      </c>
      <c r="G72" s="1139">
        <f>IFERROR(MAX(1/E72-1/INDEX(ReliabilityModelGroup,A52,17), 0),0)</f>
        <v>0</v>
      </c>
      <c r="H72" s="1140">
        <f>IFERROR(MAX(1/F72-1/INDEX(ReliabilityModelGroup,A52,24), 0),0)</f>
        <v>0</v>
      </c>
      <c r="I72" s="1139">
        <f>IFERROR(AlphaSTD*MAX(AlphaTTI*(1+INDEX(ReliabilityModelGroup,A52,17)*G72)^BetaTTI-1,0)^BetaSTD*INDEX(ReliabilityModelGroup,A52,16)/INDEX(ReliabilityModelGroup,A52,17)*INDEX(RelAdjFactors,A52,5),0)</f>
        <v>7.5768493256438509E-4</v>
      </c>
      <c r="J72" s="1140">
        <f>IFERROR(AlphaSTD*MAX(AlphaTTI*(1+INDEX(ReliabilityModelGroup,A52,24)*H72)^BetaTTI-1,0)^BetaSTD*INDEX(ReliabilityModelGroup,A52,23)/INDEX(ReliabilityModelGroup,A52,24)*INDEX(RelAdjFactors,A52,5),0)</f>
        <v>6.4944422791233007E-4</v>
      </c>
      <c r="K72" s="1156">
        <f>MIN(C72*INDEX(ReliabilityModelGroup,A52,18),D72*INDEX(ReliabilityModelGroup,A52,25))*(I72-J72)*(INDEX(ReliabilityModelGroup,A52,12)*AnnualFactor)</f>
        <v>326.44173628598634</v>
      </c>
      <c r="L72" s="1157">
        <f>IF(AND(D72*INDEX(ReliabilityModelGroup,A52,25)&gt;C72*INDEX(ReliabilityModelGroup,A52,18), Induced="Y"), (D72*INDEX(ReliabilityModelGroup,A52,25)-C72*INDEX(ReliabilityModelGroup,A52,18))*(I72-J72)*0.5*(INDEX(ReliabilityModelGroup,A52,12)*AnnualFactor), 0)</f>
        <v>3.1791561147052079</v>
      </c>
      <c r="M72" s="1143">
        <f t="shared" si="18"/>
        <v>4271.8867655129634</v>
      </c>
      <c r="N72" s="370">
        <f t="shared" si="19"/>
        <v>2372.0270804999755</v>
      </c>
      <c r="P72" s="375">
        <f t="shared" si="23"/>
        <v>2037</v>
      </c>
      <c r="Q72" s="401">
        <f>MAX(TREND(Q58:Q59,$P58:$P59,$P72),0)</f>
        <v>899.75</v>
      </c>
      <c r="R72" s="402">
        <f>MAX(TREND(R58:R59,$P58:$P59,$P72),0)</f>
        <v>917.27499999999782</v>
      </c>
      <c r="S72" s="725">
        <f>MAX(TREND(S58:S59,$P58:$P59,$P72),0)</f>
        <v>52.877014652014658</v>
      </c>
      <c r="T72" s="726">
        <f>MAX(TREND(T58:T59,$P58:$P59,$P72),0)</f>
        <v>54.685056390977444</v>
      </c>
      <c r="U72" s="1139">
        <f>IFERROR(MAX(1/S72-1/INDEX(ReliabilityModelGroup,O52,17), 0),0)</f>
        <v>0</v>
      </c>
      <c r="V72" s="1140">
        <f>IFERROR(MAX(1/T72-1/INDEX(ReliabilityModelGroup,O52,24), 0),0)</f>
        <v>0</v>
      </c>
      <c r="W72" s="1139">
        <f>IFERROR(AlphaSTD*MAX(AlphaTTI*(1+INDEX(ReliabilityModelGroup,O52,17)*U72)^BetaTTI-1,0)^BetaSTD*INDEX(ReliabilityModelGroup,O52,16)/INDEX(ReliabilityModelGroup,O52,17)*INDEX(RelAdjFactors,O52,15),0)</f>
        <v>7.5768493256438509E-4</v>
      </c>
      <c r="X72" s="1140">
        <f>IFERROR(AlphaSTD*MAX(AlphaTTI*(1+INDEX(ReliabilityModelGroup,O52,24)*V72)^BetaTTI-1,0)^BetaSTD*INDEX(ReliabilityModelGroup,O52,23)/INDEX(ReliabilityModelGroup,O52,24)*INDEX(RelAdjFactors,O52,15),0)</f>
        <v>6.4944422791233007E-4</v>
      </c>
      <c r="Y72" s="1156">
        <f>MIN(Q72,R72)*(W72-X72)*(INDEX(ReliabilityModelGroup,A52,12)*AnnualFactor)</f>
        <v>71.094389027801157</v>
      </c>
      <c r="Z72" s="1157">
        <f>IF(AND(R72&gt;Q72, Induced="Y"), (R72-Q72)*(W72-X72)*0.5*(INDEX(ReliabilityModelGroup,A52,12)*AnnualFactor), 0)</f>
        <v>0.69237519739486519</v>
      </c>
      <c r="AA72" s="1143">
        <f t="shared" si="20"/>
        <v>2834.8593192529911</v>
      </c>
      <c r="AB72" s="370">
        <f t="shared" si="21"/>
        <v>1574.0967501671048</v>
      </c>
      <c r="AD72" s="375">
        <f t="shared" si="17"/>
        <v>2042</v>
      </c>
      <c r="AE72" s="376">
        <f t="shared" ca="1" si="15"/>
        <v>617.49865501500233</v>
      </c>
      <c r="AF72" s="376">
        <f t="shared" ca="1" si="24"/>
        <v>1396.2374085398872</v>
      </c>
      <c r="AG72" s="376">
        <f t="shared" ca="1" si="24"/>
        <v>6280.1845802038961</v>
      </c>
      <c r="AH72" s="376">
        <f t="shared" ca="1" si="24"/>
        <v>11866.145800901531</v>
      </c>
      <c r="AI72" s="376">
        <f t="shared" ca="1" si="24"/>
        <v>10496.918281763159</v>
      </c>
      <c r="AJ72" s="376">
        <f t="shared" ca="1" si="24"/>
        <v>0</v>
      </c>
      <c r="AQ72" s="1144"/>
    </row>
    <row r="73" spans="2:43" x14ac:dyDescent="0.2">
      <c r="B73" s="375">
        <f t="shared" si="22"/>
        <v>2038</v>
      </c>
      <c r="C73" s="401">
        <f>MAX(TREND(C58:C59,$B58:$B59,$B73),0)</f>
        <v>2894.3333333333285</v>
      </c>
      <c r="D73" s="402">
        <f>MAX(TREND(D58:D59,$B58:$B59,$B73),0)</f>
        <v>2950.6999999999971</v>
      </c>
      <c r="E73" s="725">
        <f>MAX(TREND(E58:E59,$B58:$B59,$B73),0)</f>
        <v>52.859340659340667</v>
      </c>
      <c r="F73" s="726">
        <f>MAX(TREND(F58:F59,$B58:$B59,$B73),0)</f>
        <v>54.737593984962409</v>
      </c>
      <c r="G73" s="1139">
        <f>IFERROR(MAX(1/E73-1/INDEX(ReliabilityModelGroup,A52,17), 0),0)</f>
        <v>0</v>
      </c>
      <c r="H73" s="1140">
        <f>IFERROR(MAX(1/F73-1/INDEX(ReliabilityModelGroup,A52,24), 0),0)</f>
        <v>0</v>
      </c>
      <c r="I73" s="1139">
        <f>IFERROR(AlphaSTD*MAX(AlphaTTI*(1+INDEX(ReliabilityModelGroup,A52,17)*G73)^BetaTTI-1,0)^BetaSTD*INDEX(ReliabilityModelGroup,A52,16)/INDEX(ReliabilityModelGroup,A52,17)*INDEX(RelAdjFactors,A52,5),0)</f>
        <v>7.5768493256438509E-4</v>
      </c>
      <c r="J73" s="1140">
        <f>IFERROR(AlphaSTD*MAX(AlphaTTI*(1+INDEX(ReliabilityModelGroup,A52,24)*H73)^BetaTTI-1,0)^BetaSTD*INDEX(ReliabilityModelGroup,A52,23)/INDEX(ReliabilityModelGroup,A52,24)*INDEX(RelAdjFactors,A52,5),0)</f>
        <v>6.4944422791233007E-4</v>
      </c>
      <c r="K73" s="1156">
        <f>MIN(C73*INDEX(ReliabilityModelGroup,A52,18),D73*INDEX(ReliabilityModelGroup,A52,25))*(I73-J73)*(INDEX(ReliabilityModelGroup,A52,12)*AnnualFactor)</f>
        <v>331.61183324855972</v>
      </c>
      <c r="L73" s="1157">
        <f>IF(AND(D73*INDEX(ReliabilityModelGroup,A52,25)&gt;C73*INDEX(ReliabilityModelGroup,A52,18), Induced="Y"), (D73*INDEX(ReliabilityModelGroup,A52,25)-C73*INDEX(ReliabilityModelGroup,A52,18))*(I73-J73)*0.5*(INDEX(ReliabilityModelGroup,A52,12)*AnnualFactor), 0)</f>
        <v>3.2290430152213143</v>
      </c>
      <c r="M73" s="1143">
        <f t="shared" si="18"/>
        <v>4339.5377563786024</v>
      </c>
      <c r="N73" s="370">
        <f t="shared" si="19"/>
        <v>2316.9146868279272</v>
      </c>
      <c r="P73" s="375">
        <f t="shared" si="23"/>
        <v>2038</v>
      </c>
      <c r="Q73" s="401">
        <f>MAX(TREND(Q58:Q59,$P58:$P59,$P73),0)</f>
        <v>914</v>
      </c>
      <c r="R73" s="402">
        <f>MAX(TREND(R58:R59,$P58:$P59,$P73),0)</f>
        <v>931.79999999999927</v>
      </c>
      <c r="S73" s="725">
        <f>MAX(TREND(S58:S59,$P58:$P59,$P73),0)</f>
        <v>52.859340659340667</v>
      </c>
      <c r="T73" s="726">
        <f>MAX(TREND(T58:T59,$P58:$P59,$P73),0)</f>
        <v>54.737593984962409</v>
      </c>
      <c r="U73" s="1139">
        <f>IFERROR(MAX(1/S73-1/INDEX(ReliabilityModelGroup,O52,17), 0),0)</f>
        <v>0</v>
      </c>
      <c r="V73" s="1140">
        <f>IFERROR(MAX(1/T73-1/INDEX(ReliabilityModelGroup,O52,24), 0),0)</f>
        <v>0</v>
      </c>
      <c r="W73" s="1139">
        <f>IFERROR(AlphaSTD*MAX(AlphaTTI*(1+INDEX(ReliabilityModelGroup,O52,17)*U73)^BetaTTI-1,0)^BetaSTD*INDEX(ReliabilityModelGroup,O52,16)/INDEX(ReliabilityModelGroup,O52,17)*INDEX(RelAdjFactors,O52,15),0)</f>
        <v>7.5768493256438509E-4</v>
      </c>
      <c r="X73" s="1140">
        <f>IFERROR(AlphaSTD*MAX(AlphaTTI*(1+INDEX(ReliabilityModelGroup,O52,24)*V73)^BetaTTI-1,0)^BetaSTD*INDEX(ReliabilityModelGroup,O52,23)/INDEX(ReliabilityModelGroup,O52,24)*INDEX(RelAdjFactors,O52,15),0)</f>
        <v>6.4944422791233007E-4</v>
      </c>
      <c r="Y73" s="1156">
        <f>MIN(Q73,R73)*(W73-X73)*(INDEX(ReliabilityModelGroup,A52,12)*AnnualFactor)</f>
        <v>72.220362957944161</v>
      </c>
      <c r="Z73" s="1157">
        <f>IF(AND(R73&gt;Q73, Induced="Y"), (R73-Q73)*(W73-X73)*0.5*(INDEX(ReliabilityModelGroup,A52,12)*AnnualFactor), 0)</f>
        <v>0.70323985812437284</v>
      </c>
      <c r="AA73" s="1143">
        <f t="shared" si="20"/>
        <v>2879.7530752065468</v>
      </c>
      <c r="AB73" s="370">
        <f t="shared" si="21"/>
        <v>1537.5237108092181</v>
      </c>
      <c r="AD73" s="375">
        <f t="shared" si="17"/>
        <v>2043</v>
      </c>
      <c r="AE73" s="376">
        <f t="shared" ca="1" si="15"/>
        <v>603.4994898886265</v>
      </c>
      <c r="AF73" s="376">
        <f t="shared" ca="1" si="24"/>
        <v>1362.2368583875348</v>
      </c>
      <c r="AG73" s="376">
        <f t="shared" ca="1" si="24"/>
        <v>6127.2159948393337</v>
      </c>
      <c r="AH73" s="376">
        <f t="shared" ca="1" si="24"/>
        <v>11531.272032934552</v>
      </c>
      <c r="AI73" s="376">
        <f t="shared" ca="1" si="24"/>
        <v>10182.44306742204</v>
      </c>
      <c r="AJ73" s="376">
        <f t="shared" ca="1" si="24"/>
        <v>0</v>
      </c>
      <c r="AQ73" s="1144"/>
    </row>
    <row r="74" spans="2:43" x14ac:dyDescent="0.2">
      <c r="B74" s="375">
        <f t="shared" si="22"/>
        <v>2039</v>
      </c>
      <c r="C74" s="401">
        <f>MAX(TREND(C58:C59,$B58:$B59,$B74),0)</f>
        <v>2939.4583333333285</v>
      </c>
      <c r="D74" s="402">
        <f>MAX(TREND(D58:D59,$B58:$B59,$B74),0)</f>
        <v>2996.6958333333314</v>
      </c>
      <c r="E74" s="725">
        <f>MAX(TREND(E58:E59,$B58:$B59,$B74),0)</f>
        <v>52.841666666666676</v>
      </c>
      <c r="F74" s="726">
        <f>MAX(TREND(F58:F59,$B58:$B59,$B74),0)</f>
        <v>54.790131578947374</v>
      </c>
      <c r="G74" s="1139">
        <f>IFERROR(MAX(1/E74-1/INDEX(ReliabilityModelGroup,A52,17), 0),0)</f>
        <v>0</v>
      </c>
      <c r="H74" s="1140">
        <f>IFERROR(MAX(1/F74-1/INDEX(ReliabilityModelGroup,A52,24), 0),0)</f>
        <v>0</v>
      </c>
      <c r="I74" s="1139">
        <f>IFERROR(AlphaSTD*MAX(AlphaTTI*(1+INDEX(ReliabilityModelGroup,A52,17)*G74)^BetaTTI-1,0)^BetaSTD*INDEX(ReliabilityModelGroup,A52,16)/INDEX(ReliabilityModelGroup,A52,17)*INDEX(RelAdjFactors,A52,5),0)</f>
        <v>7.5768493256438509E-4</v>
      </c>
      <c r="J74" s="1140">
        <f>IFERROR(AlphaSTD*MAX(AlphaTTI*(1+INDEX(ReliabilityModelGroup,A52,24)*H74)^BetaTTI-1,0)^BetaSTD*INDEX(ReliabilityModelGroup,A52,23)/INDEX(ReliabilityModelGroup,A52,24)*INDEX(RelAdjFactors,A52,5),0)</f>
        <v>6.4944422791233007E-4</v>
      </c>
      <c r="K74" s="1156">
        <f>MIN(C74*INDEX(ReliabilityModelGroup,A52,18),D74*INDEX(ReliabilityModelGroup,A52,25))*(I74-J74)*(INDEX(ReliabilityModelGroup,A52,12)*AnnualFactor)</f>
        <v>336.78193021113293</v>
      </c>
      <c r="L74" s="1157">
        <f>IF(AND(D74*INDEX(ReliabilityModelGroup,A52,25)&gt;C74*INDEX(ReliabilityModelGroup,A52,18), Induced="Y"), (D74*INDEX(ReliabilityModelGroup,A52,25)-C74*INDEX(ReliabilityModelGroup,A52,18))*(I74-J74)*0.5*(INDEX(ReliabilityModelGroup,A52,12)*AnnualFactor), 0)</f>
        <v>3.2789299157374208</v>
      </c>
      <c r="M74" s="1143">
        <f t="shared" si="18"/>
        <v>4407.1887472442404</v>
      </c>
      <c r="N74" s="370">
        <f t="shared" si="19"/>
        <v>2262.5327922541728</v>
      </c>
      <c r="P74" s="375">
        <f t="shared" si="23"/>
        <v>2039</v>
      </c>
      <c r="Q74" s="401">
        <f>MAX(TREND(Q58:Q59,$P58:$P59,$P74),0)</f>
        <v>928.25</v>
      </c>
      <c r="R74" s="402">
        <f>MAX(TREND(R58:R59,$P58:$P59,$P74),0)</f>
        <v>946.32500000000073</v>
      </c>
      <c r="S74" s="725">
        <f>MAX(TREND(S58:S59,$P58:$P59,$P74),0)</f>
        <v>52.841666666666676</v>
      </c>
      <c r="T74" s="726">
        <f>MAX(TREND(T58:T59,$P58:$P59,$P74),0)</f>
        <v>54.790131578947374</v>
      </c>
      <c r="U74" s="1139">
        <f>IFERROR(MAX(1/S74-1/INDEX(ReliabilityModelGroup,O52,17), 0),0)</f>
        <v>0</v>
      </c>
      <c r="V74" s="1140">
        <f>IFERROR(MAX(1/T74-1/INDEX(ReliabilityModelGroup,O52,24), 0),0)</f>
        <v>0</v>
      </c>
      <c r="W74" s="1139">
        <f>IFERROR(AlphaSTD*MAX(AlphaTTI*(1+INDEX(ReliabilityModelGroup,O52,17)*U74)^BetaTTI-1,0)^BetaSTD*INDEX(ReliabilityModelGroup,O52,16)/INDEX(ReliabilityModelGroup,O52,17)*INDEX(RelAdjFactors,O52,15),0)</f>
        <v>7.5768493256438509E-4</v>
      </c>
      <c r="X74" s="1140">
        <f>IFERROR(AlphaSTD*MAX(AlphaTTI*(1+INDEX(ReliabilityModelGroup,O52,24)*V74)^BetaTTI-1,0)^BetaSTD*INDEX(ReliabilityModelGroup,O52,23)/INDEX(ReliabilityModelGroup,O52,24)*INDEX(RelAdjFactors,O52,15),0)</f>
        <v>6.4944422791233007E-4</v>
      </c>
      <c r="Y74" s="1156">
        <f>MIN(Q74,R74)*(W74-X74)*(INDEX(ReliabilityModelGroup,A52,12)*AnnualFactor)</f>
        <v>73.346336888087166</v>
      </c>
      <c r="Z74" s="1157">
        <f>IF(AND(R74&gt;Q74, Induced="Y"), (R74-Q74)*(W74-X74)*0.5*(INDEX(ReliabilityModelGroup,A52,12)*AnnualFactor), 0)</f>
        <v>0.71410451885388027</v>
      </c>
      <c r="AA74" s="1143">
        <f t="shared" si="20"/>
        <v>2924.646831160102</v>
      </c>
      <c r="AB74" s="370">
        <f t="shared" si="21"/>
        <v>1501.4354366827558</v>
      </c>
      <c r="AD74" s="375">
        <f t="shared" si="17"/>
        <v>2044</v>
      </c>
      <c r="AE74" s="376">
        <f t="shared" ca="1" si="15"/>
        <v>589.66372406928724</v>
      </c>
      <c r="AF74" s="376">
        <f t="shared" ca="1" si="24"/>
        <v>1328.7862952165174</v>
      </c>
      <c r="AG74" s="376">
        <f t="shared" ca="1" si="24"/>
        <v>5976.7240098575421</v>
      </c>
      <c r="AH74" s="376">
        <f t="shared" ca="1" si="24"/>
        <v>11204.604315460743</v>
      </c>
      <c r="AI74" s="376">
        <f t="shared" ca="1" si="24"/>
        <v>9876.6302685601531</v>
      </c>
      <c r="AJ74" s="376">
        <f t="shared" ca="1" si="24"/>
        <v>0</v>
      </c>
      <c r="AQ74" s="1144"/>
    </row>
    <row r="75" spans="2:43" x14ac:dyDescent="0.2">
      <c r="B75" s="375">
        <f t="shared" si="22"/>
        <v>2040</v>
      </c>
      <c r="C75" s="401">
        <f>MAX(TREND(C58:C59,$B58:$B59,$B75),0)</f>
        <v>2984.5833333333285</v>
      </c>
      <c r="D75" s="402">
        <f>MAX(TREND(D58:D59,$B58:$B59,$B75),0)</f>
        <v>3042.6916666666657</v>
      </c>
      <c r="E75" s="725">
        <f>MAX(TREND(E58:E59,$B58:$B59,$B75),0)</f>
        <v>52.823992673992684</v>
      </c>
      <c r="F75" s="726">
        <f>MAX(TREND(F58:F59,$B58:$B59,$B75),0)</f>
        <v>54.842669172932339</v>
      </c>
      <c r="G75" s="1139">
        <f>IFERROR(MAX(1/E75-1/INDEX(ReliabilityModelGroup,A52,17), 0),0)</f>
        <v>0</v>
      </c>
      <c r="H75" s="1140">
        <f>IFERROR(MAX(1/F75-1/INDEX(ReliabilityModelGroup,A52,24), 0),0)</f>
        <v>0</v>
      </c>
      <c r="I75" s="1139">
        <f>IFERROR(AlphaSTD*MAX(AlphaTTI*(1+INDEX(ReliabilityModelGroup,A52,17)*G75)^BetaTTI-1,0)^BetaSTD*INDEX(ReliabilityModelGroup,A52,16)/INDEX(ReliabilityModelGroup,A52,17)*INDEX(RelAdjFactors,A52,5),0)</f>
        <v>7.5768493256438509E-4</v>
      </c>
      <c r="J75" s="1140">
        <f>IFERROR(AlphaSTD*MAX(AlphaTTI*(1+INDEX(ReliabilityModelGroup,A52,24)*H75)^BetaTTI-1,0)^BetaSTD*INDEX(ReliabilityModelGroup,A52,23)/INDEX(ReliabilityModelGroup,A52,24)*INDEX(RelAdjFactors,A52,5),0)</f>
        <v>6.4944422791233007E-4</v>
      </c>
      <c r="K75" s="1156">
        <f>MIN(C75*INDEX(ReliabilityModelGroup,A52,18),D75*INDEX(ReliabilityModelGroup,A52,25))*(I75-J75)*(INDEX(ReliabilityModelGroup,A52,12)*AnnualFactor)</f>
        <v>341.9520271737062</v>
      </c>
      <c r="L75" s="1157">
        <f>IF(AND(D75*INDEX(ReliabilityModelGroup,A52,25)&gt;C75*INDEX(ReliabilityModelGroup,A52,18), Induced="Y"), (D75*INDEX(ReliabilityModelGroup,A52,25)-C75*INDEX(ReliabilityModelGroup,A52,18))*(I75-J75)*0.5*(INDEX(ReliabilityModelGroup,A52,12)*AnnualFactor), 0)</f>
        <v>3.3288168162535627</v>
      </c>
      <c r="M75" s="1143">
        <f t="shared" si="18"/>
        <v>4474.8397381098794</v>
      </c>
      <c r="N75" s="370">
        <f t="shared" si="19"/>
        <v>2208.9067317499557</v>
      </c>
      <c r="P75" s="375">
        <f t="shared" si="23"/>
        <v>2040</v>
      </c>
      <c r="Q75" s="401">
        <f>MAX(TREND(Q58:Q59,$P58:$P59,$P75),0)</f>
        <v>942.5</v>
      </c>
      <c r="R75" s="402">
        <f>MAX(TREND(R58:R59,$P58:$P59,$P75),0)</f>
        <v>960.84999999999854</v>
      </c>
      <c r="S75" s="725">
        <f>MAX(TREND(S58:S59,$P58:$P59,$P75),0)</f>
        <v>52.823992673992684</v>
      </c>
      <c r="T75" s="726">
        <f>MAX(TREND(T58:T59,$P58:$P59,$P75),0)</f>
        <v>54.842669172932339</v>
      </c>
      <c r="U75" s="1139">
        <f>IFERROR(MAX(1/S75-1/INDEX(ReliabilityModelGroup,O52,17), 0),0)</f>
        <v>0</v>
      </c>
      <c r="V75" s="1140">
        <f>IFERROR(MAX(1/T75-1/INDEX(ReliabilityModelGroup,O52,24), 0),0)</f>
        <v>0</v>
      </c>
      <c r="W75" s="1139">
        <f>IFERROR(AlphaSTD*MAX(AlphaTTI*(1+INDEX(ReliabilityModelGroup,O52,17)*U75)^BetaTTI-1,0)^BetaSTD*INDEX(ReliabilityModelGroup,O52,16)/INDEX(ReliabilityModelGroup,O52,17)*INDEX(RelAdjFactors,O52,15),0)</f>
        <v>7.5768493256438509E-4</v>
      </c>
      <c r="X75" s="1140">
        <f>IFERROR(AlphaSTD*MAX(AlphaTTI*(1+INDEX(ReliabilityModelGroup,O52,24)*V75)^BetaTTI-1,0)^BetaSTD*INDEX(ReliabilityModelGroup,O52,23)/INDEX(ReliabilityModelGroup,O52,24)*INDEX(RelAdjFactors,O52,15),0)</f>
        <v>6.4944422791233007E-4</v>
      </c>
      <c r="Y75" s="1156">
        <f>MIN(Q75,R75)*(W75-X75)*(INDEX(ReliabilityModelGroup,A52,12)*AnnualFactor)</f>
        <v>74.472310818230156</v>
      </c>
      <c r="Z75" s="1157">
        <f>IF(AND(R75&gt;Q75, Induced="Y"), (R75-Q75)*(W75-X75)*0.5*(INDEX(ReliabilityModelGroup,A52,12)*AnnualFactor), 0)</f>
        <v>0.72496917958324403</v>
      </c>
      <c r="AA75" s="1143">
        <f t="shared" si="20"/>
        <v>2969.5405871136513</v>
      </c>
      <c r="AB75" s="370">
        <f t="shared" si="21"/>
        <v>1465.8487402837563</v>
      </c>
      <c r="AD75" s="375">
        <f t="shared" si="17"/>
        <v>2045</v>
      </c>
      <c r="AE75" s="376">
        <f t="shared" ca="1" si="15"/>
        <v>575.99949720367135</v>
      </c>
      <c r="AF75" s="376">
        <f t="shared" ca="1" si="24"/>
        <v>1295.8937090077841</v>
      </c>
      <c r="AG75" s="376">
        <f t="shared" ca="1" si="24"/>
        <v>5828.7444024263641</v>
      </c>
      <c r="AH75" s="376">
        <f t="shared" ca="1" si="24"/>
        <v>10886.006789223185</v>
      </c>
      <c r="AI75" s="376">
        <f t="shared" ca="1" si="24"/>
        <v>9579.2787455465041</v>
      </c>
      <c r="AJ75" s="376">
        <f t="shared" ca="1" si="24"/>
        <v>0</v>
      </c>
      <c r="AQ75" s="1144"/>
    </row>
    <row r="76" spans="2:43" x14ac:dyDescent="0.2">
      <c r="B76" s="375">
        <f t="shared" si="22"/>
        <v>2041</v>
      </c>
      <c r="C76" s="401">
        <f>MAX(TREND(C58:C59,$B58:$B59,$B76),0)</f>
        <v>3029.7083333333285</v>
      </c>
      <c r="D76" s="402">
        <f>MAX(TREND(D58:D59,$B58:$B59,$B76),0)</f>
        <v>3088.6874999999854</v>
      </c>
      <c r="E76" s="725">
        <f>MAX(TREND(E58:E59,$B58:$B59,$B76),0)</f>
        <v>52.806318681318686</v>
      </c>
      <c r="F76" s="726">
        <f>MAX(TREND(F58:F59,$B58:$B59,$B76),0)</f>
        <v>54.895206766917291</v>
      </c>
      <c r="G76" s="1139">
        <f>IFERROR(MAX(1/E76-1/INDEX(ReliabilityModelGroup,A52,17), 0),0)</f>
        <v>0</v>
      </c>
      <c r="H76" s="1140">
        <f>IFERROR(MAX(1/F76-1/INDEX(ReliabilityModelGroup,A52,24), 0),0)</f>
        <v>0</v>
      </c>
      <c r="I76" s="1139">
        <f>IFERROR(AlphaSTD*MAX(AlphaTTI*(1+INDEX(ReliabilityModelGroup,A52,17)*G76)^BetaTTI-1,0)^BetaSTD*INDEX(ReliabilityModelGroup,A52,16)/INDEX(ReliabilityModelGroup,A52,17)*INDEX(RelAdjFactors,A52,5),0)</f>
        <v>7.5768493256438509E-4</v>
      </c>
      <c r="J76" s="1140">
        <f>IFERROR(AlphaSTD*MAX(AlphaTTI*(1+INDEX(ReliabilityModelGroup,A52,24)*H76)^BetaTTI-1,0)^BetaSTD*INDEX(ReliabilityModelGroup,A52,23)/INDEX(ReliabilityModelGroup,A52,24)*INDEX(RelAdjFactors,A52,5),0)</f>
        <v>6.4944422791233007E-4</v>
      </c>
      <c r="K76" s="1156">
        <f>MIN(C76*INDEX(ReliabilityModelGroup,A52,18),D76*INDEX(ReliabilityModelGroup,A52,25))*(I76-J76)*(INDEX(ReliabilityModelGroup,A52,12)*AnnualFactor)</f>
        <v>347.12212413627952</v>
      </c>
      <c r="L76" s="1157">
        <f>IF(AND(D76*INDEX(ReliabilityModelGroup,A52,25)&gt;C76*INDEX(ReliabilityModelGroup,A52,18), Induced="Y"), (D76*INDEX(ReliabilityModelGroup,A52,25)-C76*INDEX(ReliabilityModelGroup,A52,18))*(I76-J76)*0.5*(INDEX(ReliabilityModelGroup,A52,12)*AnnualFactor), 0)</f>
        <v>3.3787037167688072</v>
      </c>
      <c r="M76" s="1143">
        <f t="shared" si="18"/>
        <v>4542.4907289755074</v>
      </c>
      <c r="N76" s="370">
        <f t="shared" si="19"/>
        <v>2156.0588108226052</v>
      </c>
      <c r="P76" s="375">
        <f t="shared" si="23"/>
        <v>2041</v>
      </c>
      <c r="Q76" s="401">
        <f>MAX(TREND(Q58:Q59,$P58:$P59,$P76),0)</f>
        <v>956.75</v>
      </c>
      <c r="R76" s="402">
        <f>MAX(TREND(R58:R59,$P58:$P59,$P76),0)</f>
        <v>975.375</v>
      </c>
      <c r="S76" s="725">
        <f>MAX(TREND(S58:S59,$P58:$P59,$P76),0)</f>
        <v>52.806318681318686</v>
      </c>
      <c r="T76" s="726">
        <f>MAX(TREND(T58:T59,$P58:$P59,$P76),0)</f>
        <v>54.895206766917291</v>
      </c>
      <c r="U76" s="1139">
        <f>IFERROR(MAX(1/S76-1/INDEX(ReliabilityModelGroup,O52,17), 0),0)</f>
        <v>0</v>
      </c>
      <c r="V76" s="1140">
        <f>IFERROR(MAX(1/T76-1/INDEX(ReliabilityModelGroup,O52,24), 0),0)</f>
        <v>0</v>
      </c>
      <c r="W76" s="1139">
        <f>IFERROR(AlphaSTD*MAX(AlphaTTI*(1+INDEX(ReliabilityModelGroup,O52,17)*U76)^BetaTTI-1,0)^BetaSTD*INDEX(ReliabilityModelGroup,O52,16)/INDEX(ReliabilityModelGroup,O52,17)*INDEX(RelAdjFactors,O52,15),0)</f>
        <v>7.5768493256438509E-4</v>
      </c>
      <c r="X76" s="1140">
        <f>IFERROR(AlphaSTD*MAX(AlphaTTI*(1+INDEX(ReliabilityModelGroup,O52,24)*V76)^BetaTTI-1,0)^BetaSTD*INDEX(ReliabilityModelGroup,O52,23)/INDEX(ReliabilityModelGroup,O52,24)*INDEX(RelAdjFactors,O52,15),0)</f>
        <v>6.4944422791233007E-4</v>
      </c>
      <c r="Y76" s="1156">
        <f>MIN(Q76,R76)*(W76-X76)*(INDEX(ReliabilityModelGroup,A52,12)*AnnualFactor)</f>
        <v>75.59828474837316</v>
      </c>
      <c r="Z76" s="1157">
        <f>IF(AND(R76&gt;Q76, Induced="Y"), (R76-Q76)*(W76-X76)*0.5*(INDEX(ReliabilityModelGroup,A52,12)*AnnualFactor), 0)</f>
        <v>0.73583384031275156</v>
      </c>
      <c r="AA76" s="1143">
        <f t="shared" si="20"/>
        <v>3014.4343430672066</v>
      </c>
      <c r="AB76" s="370">
        <f t="shared" si="21"/>
        <v>1430.77842373101</v>
      </c>
      <c r="AD76" s="1148"/>
      <c r="AE76" s="389"/>
      <c r="AF76" s="389"/>
      <c r="AG76" s="389"/>
      <c r="AH76" s="389"/>
      <c r="AI76" s="389"/>
      <c r="AJ76" s="389"/>
      <c r="AQ76" s="1144"/>
    </row>
    <row r="77" spans="2:43" x14ac:dyDescent="0.2">
      <c r="B77" s="375">
        <f t="shared" si="22"/>
        <v>2042</v>
      </c>
      <c r="C77" s="401">
        <f>MAX(TREND(C58:C59,$B58:$B59,$B77),0)</f>
        <v>3074.8333333333285</v>
      </c>
      <c r="D77" s="402">
        <f>MAX(TREND(D58:D59,$B58:$B59,$B77),0)</f>
        <v>3134.6833333333198</v>
      </c>
      <c r="E77" s="725">
        <f>MAX(TREND(E58:E59,$B58:$B59,$B77),0)</f>
        <v>52.788644688644695</v>
      </c>
      <c r="F77" s="726">
        <f>MAX(TREND(F58:F59,$B58:$B59,$B77),0)</f>
        <v>54.947744360902256</v>
      </c>
      <c r="G77" s="1139">
        <f>IFERROR(MAX(1/E77-1/INDEX(ReliabilityModelGroup,A52,17), 0),0)</f>
        <v>0</v>
      </c>
      <c r="H77" s="1140">
        <f>IFERROR(MAX(1/F77-1/INDEX(ReliabilityModelGroup,A52,24), 0),0)</f>
        <v>0</v>
      </c>
      <c r="I77" s="1139">
        <f>IFERROR(AlphaSTD*MAX(AlphaTTI*(1+INDEX(ReliabilityModelGroup,A52,17)*G77)^BetaTTI-1,0)^BetaSTD*INDEX(ReliabilityModelGroup,A52,16)/INDEX(ReliabilityModelGroup,A52,17)*INDEX(RelAdjFactors,A52,5),0)</f>
        <v>7.5768493256438509E-4</v>
      </c>
      <c r="J77" s="1140">
        <f>IFERROR(AlphaSTD*MAX(AlphaTTI*(1+INDEX(ReliabilityModelGroup,A52,24)*H77)^BetaTTI-1,0)^BetaSTD*INDEX(ReliabilityModelGroup,A52,23)/INDEX(ReliabilityModelGroup,A52,24)*INDEX(RelAdjFactors,A52,5),0)</f>
        <v>6.4944422791233007E-4</v>
      </c>
      <c r="K77" s="1156">
        <f>MIN(C77*INDEX(ReliabilityModelGroup,A52,18),D77*INDEX(ReliabilityModelGroup,A52,25))*(I77-J77)*(INDEX(ReliabilityModelGroup,A52,12)*AnnualFactor)</f>
        <v>352.29222109885279</v>
      </c>
      <c r="L77" s="1157">
        <f>IF(AND(D77*INDEX(ReliabilityModelGroup,A52,25)&gt;C77*INDEX(ReliabilityModelGroup,A52,18), Induced="Y"), (D77*INDEX(ReliabilityModelGroup,A52,25)-C77*INDEX(ReliabilityModelGroup,A52,18))*(I77-J77)*0.5*(INDEX(ReliabilityModelGroup,A52,12)*AnnualFactor), 0)</f>
        <v>3.4285906172849496</v>
      </c>
      <c r="M77" s="1143">
        <f t="shared" si="18"/>
        <v>4610.1417198411464</v>
      </c>
      <c r="N77" s="370">
        <f t="shared" si="19"/>
        <v>2104.0085010734733</v>
      </c>
      <c r="P77" s="375">
        <f t="shared" si="23"/>
        <v>2042</v>
      </c>
      <c r="Q77" s="401">
        <f>MAX(TREND(Q58:Q59,$P58:$P59,$P77),0)</f>
        <v>971</v>
      </c>
      <c r="R77" s="402">
        <f>MAX(TREND(R58:R59,$P58:$P59,$P77),0)</f>
        <v>989.89999999999782</v>
      </c>
      <c r="S77" s="725">
        <f>MAX(TREND(S58:S59,$P58:$P59,$P77),0)</f>
        <v>52.788644688644695</v>
      </c>
      <c r="T77" s="726">
        <f>MAX(TREND(T58:T59,$P58:$P59,$P77),0)</f>
        <v>54.947744360902256</v>
      </c>
      <c r="U77" s="1139">
        <f>IFERROR(MAX(1/S77-1/INDEX(ReliabilityModelGroup,O52,17), 0),0)</f>
        <v>0</v>
      </c>
      <c r="V77" s="1140">
        <f>IFERROR(MAX(1/T77-1/INDEX(ReliabilityModelGroup,O52,24), 0),0)</f>
        <v>0</v>
      </c>
      <c r="W77" s="1139">
        <f>IFERROR(AlphaSTD*MAX(AlphaTTI*(1+INDEX(ReliabilityModelGroup,O52,17)*U77)^BetaTTI-1,0)^BetaSTD*INDEX(ReliabilityModelGroup,O52,16)/INDEX(ReliabilityModelGroup,O52,17)*INDEX(RelAdjFactors,O52,15),0)</f>
        <v>7.5768493256438509E-4</v>
      </c>
      <c r="X77" s="1140">
        <f>IFERROR(AlphaSTD*MAX(AlphaTTI*(1+INDEX(ReliabilityModelGroup,O52,24)*V77)^BetaTTI-1,0)^BetaSTD*INDEX(ReliabilityModelGroup,O52,23)/INDEX(ReliabilityModelGroup,O52,24)*INDEX(RelAdjFactors,O52,15),0)</f>
        <v>6.4944422791233007E-4</v>
      </c>
      <c r="Y77" s="1156">
        <f>MIN(Q77,R77)*(W77-X77)*(INDEX(ReliabilityModelGroup,A52,12)*AnnualFactor)</f>
        <v>76.724258678516165</v>
      </c>
      <c r="Z77" s="1157">
        <f>IF(AND(R77&gt;Q77, Induced="Y"), (R77-Q77)*(W77-X77)*0.5*(INDEX(ReliabilityModelGroup,A52,12)*AnnualFactor), 0)</f>
        <v>0.74669850104211533</v>
      </c>
      <c r="AA77" s="1143">
        <f t="shared" si="20"/>
        <v>3059.3280990207568</v>
      </c>
      <c r="AB77" s="370">
        <f t="shared" si="21"/>
        <v>1396.2374085398872</v>
      </c>
      <c r="AD77" s="1158" t="s">
        <v>56</v>
      </c>
      <c r="AE77" s="408">
        <f t="shared" ref="AE77:AJ77" ca="1" si="25">SUM(AE56:AE75)</f>
        <v>14255.307277767019</v>
      </c>
      <c r="AF77" s="408">
        <f t="shared" ca="1" si="25"/>
        <v>32736.306183493049</v>
      </c>
      <c r="AG77" s="408">
        <f t="shared" ca="1" si="25"/>
        <v>147253.55834868256</v>
      </c>
      <c r="AH77" s="408">
        <f t="shared" ca="1" si="25"/>
        <v>288063.15597279585</v>
      </c>
      <c r="AI77" s="408">
        <f t="shared" ca="1" si="25"/>
        <v>258736.59993332764</v>
      </c>
      <c r="AJ77" s="408">
        <f t="shared" ca="1" si="25"/>
        <v>0</v>
      </c>
      <c r="AQ77" s="1144"/>
    </row>
    <row r="78" spans="2:43" x14ac:dyDescent="0.2">
      <c r="B78" s="375">
        <f t="shared" si="22"/>
        <v>2043</v>
      </c>
      <c r="C78" s="401">
        <f>MAX(TREND(C58:C59,$B58:$B59,$B78),0)</f>
        <v>3119.9583333333285</v>
      </c>
      <c r="D78" s="402">
        <f>MAX(TREND(D58:D59,$B58:$B59,$B78),0)</f>
        <v>3180.6791666666541</v>
      </c>
      <c r="E78" s="725">
        <f>MAX(TREND(E58:E59,$B58:$B59,$B78),0)</f>
        <v>52.770970695970703</v>
      </c>
      <c r="F78" s="726">
        <f>MAX(TREND(F58:F59,$B58:$B59,$B78),0)</f>
        <v>55.000281954887221</v>
      </c>
      <c r="G78" s="1139">
        <f>IFERROR(MAX(1/E78-1/INDEX(ReliabilityModelGroup,A52,17), 0),0)</f>
        <v>0</v>
      </c>
      <c r="H78" s="1140">
        <f>IFERROR(MAX(1/F78-1/INDEX(ReliabilityModelGroup,A52,24), 0),0)</f>
        <v>0</v>
      </c>
      <c r="I78" s="1139">
        <f>IFERROR(AlphaSTD*MAX(AlphaTTI*(1+INDEX(ReliabilityModelGroup,A52,17)*G78)^BetaTTI-1,0)^BetaSTD*INDEX(ReliabilityModelGroup,A52,16)/INDEX(ReliabilityModelGroup,A52,17)*INDEX(RelAdjFactors,A52,5),0)</f>
        <v>7.5768493256438509E-4</v>
      </c>
      <c r="J78" s="1140">
        <f>IFERROR(AlphaSTD*MAX(AlphaTTI*(1+INDEX(ReliabilityModelGroup,A52,24)*H78)^BetaTTI-1,0)^BetaSTD*INDEX(ReliabilityModelGroup,A52,23)/INDEX(ReliabilityModelGroup,A52,24)*INDEX(RelAdjFactors,A52,5),0)</f>
        <v>6.4944422791233007E-4</v>
      </c>
      <c r="K78" s="1156">
        <f>MIN(C78*INDEX(ReliabilityModelGroup,A52,18),D78*INDEX(ReliabilityModelGroup,A52,25))*(I78-J78)*(INDEX(ReliabilityModelGroup,A52,12)*AnnualFactor)</f>
        <v>357.46231806142612</v>
      </c>
      <c r="L78" s="1157">
        <f>IF(AND(D78*INDEX(ReliabilityModelGroup,A52,25)&gt;C78*INDEX(ReliabilityModelGroup,A52,18), Induced="Y"), (D78*INDEX(ReliabilityModelGroup,A52,25)-C78*INDEX(ReliabilityModelGroup,A52,18))*(I78-J78)*0.5*(INDEX(ReliabilityModelGroup,A52,12)*AnnualFactor), 0)</f>
        <v>3.4784775178010561</v>
      </c>
      <c r="M78" s="1143">
        <f t="shared" si="18"/>
        <v>4677.7927107067853</v>
      </c>
      <c r="N78" s="370">
        <f t="shared" si="19"/>
        <v>2052.7726251943591</v>
      </c>
      <c r="P78" s="375">
        <f t="shared" si="23"/>
        <v>2043</v>
      </c>
      <c r="Q78" s="401">
        <f>MAX(TREND(Q58:Q59,$P58:$P59,$P78),0)</f>
        <v>985.25</v>
      </c>
      <c r="R78" s="402">
        <f>MAX(TREND(R58:R59,$P58:$P59,$P78),0)</f>
        <v>1004.4249999999993</v>
      </c>
      <c r="S78" s="725">
        <f>MAX(TREND(S58:S59,$P58:$P59,$P78),0)</f>
        <v>52.770970695970703</v>
      </c>
      <c r="T78" s="726">
        <f>MAX(TREND(T58:T59,$P58:$P59,$P78),0)</f>
        <v>55.000281954887221</v>
      </c>
      <c r="U78" s="1139">
        <f>IFERROR(MAX(1/S78-1/INDEX(ReliabilityModelGroup,O52,17), 0),0)</f>
        <v>0</v>
      </c>
      <c r="V78" s="1140">
        <f>IFERROR(MAX(1/T78-1/INDEX(ReliabilityModelGroup,O52,24), 0),0)</f>
        <v>0</v>
      </c>
      <c r="W78" s="1139">
        <f>IFERROR(AlphaSTD*MAX(AlphaTTI*(1+INDEX(ReliabilityModelGroup,O52,17)*U78)^BetaTTI-1,0)^BetaSTD*INDEX(ReliabilityModelGroup,O52,16)/INDEX(ReliabilityModelGroup,O52,17)*INDEX(RelAdjFactors,O52,15),0)</f>
        <v>7.5768493256438509E-4</v>
      </c>
      <c r="X78" s="1140">
        <f>IFERROR(AlphaSTD*MAX(AlphaTTI*(1+INDEX(ReliabilityModelGroup,O52,24)*V78)^BetaTTI-1,0)^BetaSTD*INDEX(ReliabilityModelGroup,O52,23)/INDEX(ReliabilityModelGroup,O52,24)*INDEX(RelAdjFactors,O52,15),0)</f>
        <v>6.4944422791233007E-4</v>
      </c>
      <c r="Y78" s="1156">
        <f>MIN(Q78,R78)*(W78-X78)*(INDEX(ReliabilityModelGroup,A52,12)*AnnualFactor)</f>
        <v>77.850232608659169</v>
      </c>
      <c r="Z78" s="1157">
        <f>IF(AND(R78&gt;Q78, Induced="Y"), (R78-Q78)*(W78-X78)*0.5*(INDEX(ReliabilityModelGroup,A52,12)*AnnualFactor), 0)</f>
        <v>0.75756316177162297</v>
      </c>
      <c r="AA78" s="1143">
        <f t="shared" si="20"/>
        <v>3104.2218549743125</v>
      </c>
      <c r="AB78" s="370">
        <f t="shared" si="21"/>
        <v>1362.2368583875348</v>
      </c>
      <c r="AQ78" s="1144"/>
    </row>
    <row r="79" spans="2:43" x14ac:dyDescent="0.2">
      <c r="B79" s="375">
        <f t="shared" si="22"/>
        <v>2044</v>
      </c>
      <c r="C79" s="401">
        <f>MAX(TREND(C58:C59,$B58:$B59,$B79),0)</f>
        <v>3165.0833333333285</v>
      </c>
      <c r="D79" s="402">
        <f>MAX(TREND(D58:D59,$B58:$B59,$B79),0)</f>
        <v>3226.6749999999884</v>
      </c>
      <c r="E79" s="725">
        <f>MAX(TREND(E58:E59,$B58:$B59,$B79),0)</f>
        <v>52.753296703296712</v>
      </c>
      <c r="F79" s="726">
        <f>MAX(TREND(F58:F59,$B58:$B59,$B79),0)</f>
        <v>55.052819548872186</v>
      </c>
      <c r="G79" s="1139">
        <f>IFERROR(MAX(1/E79-1/INDEX(ReliabilityModelGroup,A52,17), 0),0)</f>
        <v>0</v>
      </c>
      <c r="H79" s="1140">
        <f>IFERROR(MAX(1/F79-1/INDEX(ReliabilityModelGroup,A52,24), 0),0)</f>
        <v>0</v>
      </c>
      <c r="I79" s="1139">
        <f>IFERROR(AlphaSTD*MAX(AlphaTTI*(1+INDEX(ReliabilityModelGroup,A52,17)*G79)^BetaTTI-1,0)^BetaSTD*INDEX(ReliabilityModelGroup,A52,16)/INDEX(ReliabilityModelGroup,A52,17)*INDEX(RelAdjFactors,A52,5),0)</f>
        <v>7.5768493256438509E-4</v>
      </c>
      <c r="J79" s="1140">
        <f>IFERROR(AlphaSTD*MAX(AlphaTTI*(1+INDEX(ReliabilityModelGroup,A52,24)*H79)^BetaTTI-1,0)^BetaSTD*INDEX(ReliabilityModelGroup,A52,23)/INDEX(ReliabilityModelGroup,A52,24)*INDEX(RelAdjFactors,A52,5),0)</f>
        <v>6.4944422791233007E-4</v>
      </c>
      <c r="K79" s="1156">
        <f>MIN(C79*INDEX(ReliabilityModelGroup,A52,18),D79*INDEX(ReliabilityModelGroup,A52,25))*(I79-J79)*(INDEX(ReliabilityModelGroup,A52,12)*AnnualFactor)</f>
        <v>362.63241502399939</v>
      </c>
      <c r="L79" s="1157">
        <f>IF(AND(D79*INDEX(ReliabilityModelGroup,A52,25)&gt;C79*INDEX(ReliabilityModelGroup,A52,18), Induced="Y"), (D79*INDEX(ReliabilityModelGroup,A52,25)-C79*INDEX(ReliabilityModelGroup,A52,18))*(I79-J79)*0.5*(INDEX(ReliabilityModelGroup,A52,12)*AnnualFactor), 0)</f>
        <v>3.5283644183171621</v>
      </c>
      <c r="M79" s="1143">
        <f t="shared" si="18"/>
        <v>4745.4437015724234</v>
      </c>
      <c r="N79" s="370">
        <f t="shared" si="19"/>
        <v>2002.3655319256595</v>
      </c>
      <c r="P79" s="375">
        <f t="shared" si="23"/>
        <v>2044</v>
      </c>
      <c r="Q79" s="401">
        <f>MAX(TREND(Q58:Q59,$P58:$P59,$P79),0)</f>
        <v>999.5</v>
      </c>
      <c r="R79" s="402">
        <f>MAX(TREND(R58:R59,$P58:$P59,$P79),0)</f>
        <v>1018.9500000000007</v>
      </c>
      <c r="S79" s="725">
        <f>MAX(TREND(S58:S59,$P58:$P59,$P79),0)</f>
        <v>52.753296703296712</v>
      </c>
      <c r="T79" s="726">
        <f>MAX(TREND(T58:T59,$P58:$P59,$P79),0)</f>
        <v>55.052819548872186</v>
      </c>
      <c r="U79" s="1139">
        <f>IFERROR(MAX(1/S79-1/INDEX(ReliabilityModelGroup,O52,17), 0),0)</f>
        <v>0</v>
      </c>
      <c r="V79" s="1140">
        <f>IFERROR(MAX(1/T79-1/INDEX(ReliabilityModelGroup,O52,24), 0),0)</f>
        <v>0</v>
      </c>
      <c r="W79" s="1139">
        <f>IFERROR(AlphaSTD*MAX(AlphaTTI*(1+INDEX(ReliabilityModelGroup,O52,17)*U79)^BetaTTI-1,0)^BetaSTD*INDEX(ReliabilityModelGroup,O52,16)/INDEX(ReliabilityModelGroup,O52,17)*INDEX(RelAdjFactors,O52,15),0)</f>
        <v>7.5768493256438509E-4</v>
      </c>
      <c r="X79" s="1140">
        <f>IFERROR(AlphaSTD*MAX(AlphaTTI*(1+INDEX(ReliabilityModelGroup,O52,24)*V79)^BetaTTI-1,0)^BetaSTD*INDEX(ReliabilityModelGroup,O52,23)/INDEX(ReliabilityModelGroup,O52,24)*INDEX(RelAdjFactors,O52,15),0)</f>
        <v>6.4944422791233007E-4</v>
      </c>
      <c r="Y79" s="1156">
        <f>MIN(Q79,R79)*(W79-X79)*(INDEX(ReliabilityModelGroup,A52,12)*AnnualFactor)</f>
        <v>78.976206538802174</v>
      </c>
      <c r="Z79" s="1157">
        <f>IF(AND(R79&gt;Q79, Induced="Y"), (R79-Q79)*(W79-X79)*0.5*(INDEX(ReliabilityModelGroup,A52,12)*AnnualFactor), 0)</f>
        <v>0.76842782250113051</v>
      </c>
      <c r="AA79" s="1143">
        <f t="shared" si="20"/>
        <v>3149.1156109278672</v>
      </c>
      <c r="AB79" s="370">
        <f t="shared" si="21"/>
        <v>1328.7862952165174</v>
      </c>
      <c r="AQ79" s="390"/>
    </row>
    <row r="80" spans="2:43" x14ac:dyDescent="0.2">
      <c r="B80" s="375">
        <f t="shared" si="22"/>
        <v>2045</v>
      </c>
      <c r="C80" s="401">
        <f>MAX(TREND(C58:C59,$B58:$B59,$B80),0)</f>
        <v>3210.2083333333285</v>
      </c>
      <c r="D80" s="402">
        <f>MAX(TREND(D58:D59,$B58:$B59,$B80),0)</f>
        <v>3272.6708333333227</v>
      </c>
      <c r="E80" s="725">
        <f>MAX(TREND(E58:E59,$B58:$B59,$B80),0)</f>
        <v>52.735622710622721</v>
      </c>
      <c r="F80" s="726">
        <f>MAX(TREND(F58:F59,$B58:$B59,$B80),0)</f>
        <v>55.105357142857152</v>
      </c>
      <c r="G80" s="1139">
        <f>IFERROR(MAX(1/E80-1/INDEX(ReliabilityModelGroup,A52,17), 0),0)</f>
        <v>0</v>
      </c>
      <c r="H80" s="1140">
        <f>IFERROR(MAX(1/F80-1/INDEX(ReliabilityModelGroup,A52,24), 0),0)</f>
        <v>0</v>
      </c>
      <c r="I80" s="1139">
        <f>IFERROR(AlphaSTD*MAX(AlphaTTI*(1+INDEX(ReliabilityModelGroup,A52,17)*G80)^BetaTTI-1,0)^BetaSTD*INDEX(ReliabilityModelGroup,A52,16)/INDEX(ReliabilityModelGroup,A52,17)*INDEX(RelAdjFactors,A52,5),0)</f>
        <v>7.5768493256438509E-4</v>
      </c>
      <c r="J80" s="1140">
        <f>IFERROR(AlphaSTD*MAX(AlphaTTI*(1+INDEX(ReliabilityModelGroup,A52,24)*H80)^BetaTTI-1,0)^BetaSTD*INDEX(ReliabilityModelGroup,A52,23)/INDEX(ReliabilityModelGroup,A52,24)*INDEX(RelAdjFactors,A52,5),0)</f>
        <v>6.4944422791233007E-4</v>
      </c>
      <c r="K80" s="1156">
        <f>MIN(C80*INDEX(ReliabilityModelGroup,A52,18),D80*INDEX(ReliabilityModelGroup,A52,25))*(I80-J80)*(INDEX(ReliabilityModelGroup,A52,12)*AnnualFactor)</f>
        <v>367.80251198657271</v>
      </c>
      <c r="L80" s="1157">
        <f>IF(AND(D80*INDEX(ReliabilityModelGroup,A52,25)&gt;C80*INDEX(ReliabilityModelGroup,A52,18), Induced="Y"), (D80*INDEX(ReliabilityModelGroup,A52,25)-C80*INDEX(ReliabilityModelGroup,A52,18))*(I80-J80)*0.5*(INDEX(ReliabilityModelGroup,A52,12)*AnnualFactor), 0)</f>
        <v>3.5782513188333045</v>
      </c>
      <c r="M80" s="1143">
        <f t="shared" si="18"/>
        <v>4813.0946924380623</v>
      </c>
      <c r="N80" s="370">
        <f t="shared" si="19"/>
        <v>1952.7992614746797</v>
      </c>
      <c r="P80" s="375">
        <f t="shared" si="23"/>
        <v>2045</v>
      </c>
      <c r="Q80" s="401">
        <f>MAX(TREND(Q58:Q59,$P58:$P59,$P80),0)</f>
        <v>1013.75</v>
      </c>
      <c r="R80" s="402">
        <f>MAX(TREND(R58:R59,$P58:$P59,$P80),0)</f>
        <v>1033.4749999999985</v>
      </c>
      <c r="S80" s="725">
        <f>MAX(TREND(S58:S59,$P58:$P59,$P80),0)</f>
        <v>52.735622710622721</v>
      </c>
      <c r="T80" s="726">
        <f>MAX(TREND(T58:T59,$P58:$P59,$P80),0)</f>
        <v>55.105357142857152</v>
      </c>
      <c r="U80" s="1139">
        <f>IFERROR(MAX(1/S80-1/INDEX(ReliabilityModelGroup,O52,17), 0),0)</f>
        <v>0</v>
      </c>
      <c r="V80" s="1140">
        <f>IFERROR(MAX(1/T80-1/INDEX(ReliabilityModelGroup,O52,24), 0),0)</f>
        <v>0</v>
      </c>
      <c r="W80" s="1139">
        <f>IFERROR(AlphaSTD*MAX(AlphaTTI*(1+INDEX(ReliabilityModelGroup,O52,17)*U80)^BetaTTI-1,0)^BetaSTD*INDEX(ReliabilityModelGroup,O52,16)/INDEX(ReliabilityModelGroup,O52,17)*INDEX(RelAdjFactors,O52,15),0)</f>
        <v>7.5768493256438509E-4</v>
      </c>
      <c r="X80" s="1140">
        <f>IFERROR(AlphaSTD*MAX(AlphaTTI*(1+INDEX(ReliabilityModelGroup,O52,24)*V80)^BetaTTI-1,0)^BetaSTD*INDEX(ReliabilityModelGroup,O52,23)/INDEX(ReliabilityModelGroup,O52,24)*INDEX(RelAdjFactors,O52,15),0)</f>
        <v>6.4944422791233007E-4</v>
      </c>
      <c r="Y80" s="1156">
        <f>MIN(Q80,R80)*(W80-X80)*(INDEX(ReliabilityModelGroup,A52,12)*AnnualFactor)</f>
        <v>80.102180468945164</v>
      </c>
      <c r="Z80" s="1157">
        <f>IF(AND(R80&gt;Q80, Induced="Y"), (R80-Q80)*(W80-X80)*0.5*(INDEX(ReliabilityModelGroup,A52,12)*AnnualFactor), 0)</f>
        <v>0.77929248323049427</v>
      </c>
      <c r="AA80" s="1143">
        <f t="shared" si="20"/>
        <v>3194.009366881417</v>
      </c>
      <c r="AB80" s="370">
        <f t="shared" si="21"/>
        <v>1295.8937090077841</v>
      </c>
      <c r="AQ80" s="1161"/>
    </row>
    <row r="81" spans="1:29" x14ac:dyDescent="0.2">
      <c r="B81" s="1148"/>
      <c r="C81" s="386"/>
      <c r="D81" s="386"/>
      <c r="E81" s="386"/>
      <c r="F81" s="386"/>
      <c r="G81" s="386"/>
      <c r="H81" s="386"/>
      <c r="I81" s="1150"/>
      <c r="J81" s="1150"/>
      <c r="K81" s="1150"/>
      <c r="L81" s="1150"/>
      <c r="M81" s="1150"/>
      <c r="N81" s="389"/>
      <c r="P81" s="1148"/>
      <c r="Q81" s="386"/>
      <c r="R81" s="386"/>
      <c r="S81" s="386"/>
      <c r="T81" s="386"/>
      <c r="U81" s="386"/>
      <c r="V81" s="386"/>
      <c r="W81" s="1150"/>
      <c r="X81" s="1150"/>
      <c r="Y81" s="1150"/>
      <c r="Z81" s="1150"/>
      <c r="AA81" s="1150"/>
      <c r="AB81" s="389"/>
      <c r="AC81" s="1162"/>
    </row>
    <row r="82" spans="1:29" x14ac:dyDescent="0.2">
      <c r="B82" s="1158" t="s">
        <v>56</v>
      </c>
      <c r="C82" s="1159"/>
      <c r="D82" s="1159"/>
      <c r="E82" s="1159"/>
      <c r="F82" s="1159"/>
      <c r="G82" s="1159"/>
      <c r="H82" s="1159"/>
      <c r="I82" s="1159"/>
      <c r="J82" s="1159"/>
      <c r="K82" s="1159"/>
      <c r="L82" s="1159"/>
      <c r="M82" s="1160">
        <f>SUM(M61:M80)</f>
        <v>83408.205584290059</v>
      </c>
      <c r="N82" s="1160">
        <f>SUM(N61:N80)</f>
        <v>49330.770027027102</v>
      </c>
      <c r="P82" s="1158" t="s">
        <v>56</v>
      </c>
      <c r="Q82" s="1159"/>
      <c r="R82" s="1159"/>
      <c r="S82" s="1159"/>
      <c r="T82" s="1159"/>
      <c r="U82" s="1159"/>
      <c r="V82" s="1159"/>
      <c r="W82" s="1159"/>
      <c r="X82" s="1159"/>
      <c r="Y82" s="1159"/>
      <c r="Z82" s="1159"/>
      <c r="AA82" s="1160">
        <f>SUM(AA61:AA80)</f>
        <v>55350.373706453269</v>
      </c>
      <c r="AB82" s="1160">
        <f>SUM(AB61:AB80)</f>
        <v>32736.306183493049</v>
      </c>
      <c r="AC82" s="1047"/>
    </row>
    <row r="83" spans="1:29" x14ac:dyDescent="0.2">
      <c r="G83" s="1046"/>
      <c r="H83" s="1046"/>
      <c r="I83" s="1047"/>
      <c r="K83" s="678"/>
      <c r="O83" s="1047"/>
      <c r="P83" s="1047"/>
      <c r="Q83" s="678"/>
      <c r="R83" s="1045"/>
      <c r="S83" s="1045"/>
      <c r="W83" s="1046"/>
      <c r="X83" s="1046"/>
      <c r="Y83" s="1046"/>
      <c r="AC83" s="1047"/>
    </row>
    <row r="84" spans="1:29" x14ac:dyDescent="0.2">
      <c r="A84" s="678">
        <f>MAX($A$1:A83)+1</f>
        <v>3</v>
      </c>
      <c r="B84" s="1106" t="str">
        <f>IF(ISBLANK(INDEX(ReliabilityGroup,A84,2)),"Not Used",INDEX(ReliabilityGroup,A84,2))</f>
        <v>NB Off-ramp to Ave 280</v>
      </c>
      <c r="C84" s="1049"/>
      <c r="D84" s="1049"/>
      <c r="E84" s="1049"/>
      <c r="F84" s="1049"/>
      <c r="G84" s="1049"/>
      <c r="H84" s="1049"/>
      <c r="I84" s="1102"/>
      <c r="K84" s="1107"/>
      <c r="L84" s="1102"/>
      <c r="M84" s="1102"/>
      <c r="N84" s="1049"/>
      <c r="O84" s="1045">
        <f>MAX($O$1:O83)+1</f>
        <v>3</v>
      </c>
      <c r="P84" s="1106" t="str">
        <f>IF(ISBLANK(INDEX(ReliabilityGroup,O84,2)),"Not Used",INDEX(ReliabilityGroup,O84,2))</f>
        <v>NB Off-ramp to Ave 280</v>
      </c>
      <c r="Q84" s="1049"/>
      <c r="R84" s="1049"/>
      <c r="S84" s="1049"/>
      <c r="T84" s="1049"/>
      <c r="U84" s="1049"/>
      <c r="V84" s="1049"/>
      <c r="W84" s="1102"/>
      <c r="X84" s="1102"/>
      <c r="Y84" s="1102"/>
      <c r="Z84" s="1049"/>
      <c r="AA84" s="1049"/>
      <c r="AB84" s="1049"/>
    </row>
    <row r="85" spans="1:29" x14ac:dyDescent="0.2">
      <c r="B85" s="1049"/>
      <c r="C85" s="1049"/>
      <c r="D85" s="1108"/>
      <c r="E85" s="1108"/>
      <c r="F85" s="1108"/>
      <c r="G85" s="1108"/>
      <c r="H85" s="1108"/>
      <c r="I85" s="1109"/>
      <c r="J85" s="1049"/>
      <c r="K85" s="1109"/>
      <c r="L85" s="1049"/>
      <c r="M85" s="1049"/>
      <c r="N85" s="1105"/>
      <c r="P85" s="1049"/>
      <c r="Q85" s="1049"/>
      <c r="R85" s="1108"/>
      <c r="S85" s="1108"/>
      <c r="T85" s="1108"/>
      <c r="U85" s="1108"/>
      <c r="V85" s="1108"/>
      <c r="W85" s="1049"/>
      <c r="X85" s="1049"/>
      <c r="Y85" s="1049"/>
      <c r="Z85" s="1049"/>
      <c r="AA85" s="1049"/>
      <c r="AB85" s="1105"/>
    </row>
    <row r="86" spans="1:29" ht="15.75" x14ac:dyDescent="0.2">
      <c r="B86" s="1111"/>
      <c r="C86" s="681" t="s">
        <v>332</v>
      </c>
      <c r="D86" s="1112"/>
      <c r="E86" s="681" t="s">
        <v>272</v>
      </c>
      <c r="F86" s="1112"/>
      <c r="G86" s="681" t="s">
        <v>825</v>
      </c>
      <c r="H86" s="1113"/>
      <c r="I86" s="852" t="s">
        <v>826</v>
      </c>
      <c r="J86" s="1112"/>
      <c r="K86" s="852" t="s">
        <v>827</v>
      </c>
      <c r="L86" s="1114"/>
      <c r="M86" s="1115"/>
      <c r="N86" s="1116"/>
      <c r="P86" s="1111"/>
      <c r="Q86" s="681" t="s">
        <v>332</v>
      </c>
      <c r="R86" s="1112"/>
      <c r="S86" s="681" t="s">
        <v>272</v>
      </c>
      <c r="T86" s="1112"/>
      <c r="U86" s="681" t="s">
        <v>825</v>
      </c>
      <c r="V86" s="1113"/>
      <c r="W86" s="852" t="s">
        <v>826</v>
      </c>
      <c r="X86" s="1112"/>
      <c r="Y86" s="852" t="s">
        <v>827</v>
      </c>
      <c r="Z86" s="1114"/>
      <c r="AA86" s="1186"/>
      <c r="AB86" s="1116"/>
      <c r="AC86" s="1047"/>
    </row>
    <row r="87" spans="1:29" ht="15.75" x14ac:dyDescent="0.2">
      <c r="B87" s="1121"/>
      <c r="C87" s="1188" t="s">
        <v>828</v>
      </c>
      <c r="D87" s="1189"/>
      <c r="E87" s="688" t="s">
        <v>276</v>
      </c>
      <c r="F87" s="1122"/>
      <c r="G87" s="688" t="s">
        <v>829</v>
      </c>
      <c r="H87" s="1123"/>
      <c r="I87" s="1124" t="s">
        <v>830</v>
      </c>
      <c r="J87" s="1122"/>
      <c r="K87" s="1125" t="s">
        <v>831</v>
      </c>
      <c r="L87" s="687"/>
      <c r="M87" s="1126"/>
      <c r="N87" s="1127"/>
      <c r="P87" s="1121"/>
      <c r="Q87" s="1188" t="s">
        <v>828</v>
      </c>
      <c r="R87" s="1189"/>
      <c r="S87" s="688" t="s">
        <v>276</v>
      </c>
      <c r="T87" s="1122"/>
      <c r="U87" s="688" t="s">
        <v>829</v>
      </c>
      <c r="V87" s="1123"/>
      <c r="W87" s="1124" t="s">
        <v>830</v>
      </c>
      <c r="X87" s="1122"/>
      <c r="Y87" s="1125" t="s">
        <v>831</v>
      </c>
      <c r="Z87" s="687"/>
      <c r="AA87" s="1126"/>
      <c r="AB87" s="1127"/>
      <c r="AC87" s="1046"/>
    </row>
    <row r="88" spans="1:29" ht="15" x14ac:dyDescent="0.2">
      <c r="B88" s="1129" t="s">
        <v>34</v>
      </c>
      <c r="C88" s="1130"/>
      <c r="D88" s="692"/>
      <c r="E88" s="1130"/>
      <c r="F88" s="692"/>
      <c r="G88" s="1130"/>
      <c r="H88" s="692"/>
      <c r="I88" s="688" t="s">
        <v>832</v>
      </c>
      <c r="J88" s="1122"/>
      <c r="K88" s="1130" t="s">
        <v>207</v>
      </c>
      <c r="L88" s="692" t="s">
        <v>231</v>
      </c>
      <c r="M88" s="1131" t="s">
        <v>208</v>
      </c>
      <c r="N88" s="1128" t="s">
        <v>39</v>
      </c>
      <c r="P88" s="1129" t="s">
        <v>34</v>
      </c>
      <c r="Q88" s="1190"/>
      <c r="R88" s="1191"/>
      <c r="S88" s="1130"/>
      <c r="T88" s="692"/>
      <c r="U88" s="1130"/>
      <c r="V88" s="692"/>
      <c r="W88" s="688" t="s">
        <v>832</v>
      </c>
      <c r="X88" s="1122"/>
      <c r="Y88" s="1130" t="s">
        <v>207</v>
      </c>
      <c r="Z88" s="692" t="s">
        <v>231</v>
      </c>
      <c r="AA88" s="1131" t="s">
        <v>208</v>
      </c>
      <c r="AB88" s="1128" t="s">
        <v>39</v>
      </c>
    </row>
    <row r="89" spans="1:29" ht="15" x14ac:dyDescent="0.2">
      <c r="B89" s="1133"/>
      <c r="C89" s="1134" t="s">
        <v>74</v>
      </c>
      <c r="D89" s="696" t="s">
        <v>125</v>
      </c>
      <c r="E89" s="1134" t="s">
        <v>74</v>
      </c>
      <c r="F89" s="696" t="s">
        <v>125</v>
      </c>
      <c r="G89" s="1134" t="s">
        <v>74</v>
      </c>
      <c r="H89" s="696" t="s">
        <v>125</v>
      </c>
      <c r="I89" s="1134" t="s">
        <v>74</v>
      </c>
      <c r="J89" s="696" t="s">
        <v>125</v>
      </c>
      <c r="K89" s="1134" t="s">
        <v>211</v>
      </c>
      <c r="L89" s="696" t="s">
        <v>233</v>
      </c>
      <c r="M89" s="1135" t="s">
        <v>48</v>
      </c>
      <c r="N89" s="1136" t="s">
        <v>49</v>
      </c>
      <c r="P89" s="1133"/>
      <c r="Q89" s="1134" t="s">
        <v>74</v>
      </c>
      <c r="R89" s="696" t="s">
        <v>125</v>
      </c>
      <c r="S89" s="1134" t="s">
        <v>74</v>
      </c>
      <c r="T89" s="696" t="s">
        <v>125</v>
      </c>
      <c r="U89" s="1134" t="s">
        <v>74</v>
      </c>
      <c r="V89" s="696" t="s">
        <v>125</v>
      </c>
      <c r="W89" s="1134" t="s">
        <v>74</v>
      </c>
      <c r="X89" s="696" t="s">
        <v>125</v>
      </c>
      <c r="Y89" s="1134" t="s">
        <v>211</v>
      </c>
      <c r="Z89" s="696" t="s">
        <v>233</v>
      </c>
      <c r="AA89" s="1135" t="s">
        <v>48</v>
      </c>
      <c r="AB89" s="1136" t="s">
        <v>49</v>
      </c>
    </row>
    <row r="90" spans="1:29" x14ac:dyDescent="0.2">
      <c r="B90" s="363">
        <f>YearFirst</f>
        <v>2026</v>
      </c>
      <c r="C90" s="364">
        <f>_xlfn.SINGLE(IF(_xlfn.SINGLE(INDEX(ReliabilityGroup,$A84,1))=Hwy,IFERROR(_xlfn.SINGLE(INDEX(ReliabilityData1NB,$A84,5))*(1-_xlfn.SINGLE(INDEX(ReliabilityData1NB,$A84,3))),0),0))</f>
        <v>2414.5833333333335</v>
      </c>
      <c r="D90" s="365">
        <f>_xlfn.SINGLE(IF(_xlfn.SINGLE(INDEX(ReliabilityGroup,$A84,1))=Hwy,IFERROR(_xlfn.SINGLE(INDEX(ReliabilityData1B,A84,5))*(1-_xlfn.SINGLE(INDEX(ReliabilityData1B,A84,3))),0),0))</f>
        <v>2375</v>
      </c>
      <c r="E90" s="1137">
        <f>_xlfn.SINGLE(IF(_xlfn.SINGLE(INDEX(ReliabilityGroup,A84,1))=Hwy,IFERROR(_xlfn.SINGLE(INDEX(ReliabilityData1NB,A84,4)),0),0))</f>
        <v>37.195121951219512</v>
      </c>
      <c r="F90" s="1138">
        <f>_xlfn.SINGLE(IF(_xlfn.SINGLE(INDEX(ReliabilityGroup,A84,1))=Hwy,IFERROR(_xlfn.SINGLE(INDEX(ReliabilityData1B,A84,4)),0),0))</f>
        <v>46.875</v>
      </c>
      <c r="G90" s="1198">
        <f>IFERROR(MAX(1/E90-1/INDEX(ReliabilityModelGroup,A84,17), 0),0)</f>
        <v>0</v>
      </c>
      <c r="H90" s="1199">
        <f>IFERROR(MAX(1/F90-1/INDEX(ReliabilityModelGroup,A84,24), 0),0)</f>
        <v>0</v>
      </c>
      <c r="I90" s="1139">
        <f>IFERROR(AlphaSTD*MAX(AlphaTTI*(1+INDEX(ReliabilityModelGroup,A84,17)*G90)^BetaTTI-1,0)^BetaSTD*INDEX(ReliabilityModelGroup,A84,16)/INDEX(ReliabilityModelGroup,A84,17)*INDEX(RelAdjFactors,A84,5),0)</f>
        <v>1.1365273988465778E-3</v>
      </c>
      <c r="J90" s="1140">
        <f>IFERROR(AlphaSTD*MAX(AlphaTTI*(1+INDEX(ReliabilityModelGroup,A84,24)*H90)^BetaTTI-1,0)^BetaSTD*INDEX(ReliabilityModelGroup,A84,23)/INDEX(ReliabilityModelGroup,A84,24)*INDEX(RelAdjFactors,A84,5),0)</f>
        <v>6.4944422791233007E-4</v>
      </c>
      <c r="K90" s="1141">
        <f>MIN(C90*INDEX(ReliabilityModelGroup,A84,18),D90*INDEX(ReliabilityModelGroup,A84,25))*(I90-J90)*(INDEX(ReliabilityModelGroup,A84,12)*AnnualFactor)</f>
        <v>1224.4966490305153</v>
      </c>
      <c r="L90" s="1142">
        <f>IF(AND(D90*INDEX(ReliabilityModelGroup,A84,25)&gt;C90*INDEX(ReliabilityModelGroup,A84,18), Induced="Y"), (D90*INDEX(ReliabilityModelGroup,A84,25)-C90*INDEX(ReliabilityModelGroup,A84,18))*(I90-J90)*0.5*(INDEX(ReliabilityModelGroup,A84,12)*AnnualFactor), 0)</f>
        <v>0</v>
      </c>
      <c r="M90" s="1143">
        <f>(K90+L90)*ValTimeAuto*ValRelAuto*IF(IM,ValTimeIMFactor,1)*(1+TTUprater)^($B90-YearCurrent)</f>
        <v>15869.476571435482</v>
      </c>
      <c r="N90" s="370">
        <f>M90/(1+DiscRate)^(B90-YearCurrent)</f>
        <v>13565.295082711093</v>
      </c>
      <c r="P90" s="363">
        <f>YearFirst</f>
        <v>2026</v>
      </c>
      <c r="Q90" s="364">
        <f>_xlfn.SINGLE(IF(_xlfn.SINGLE(INDEX(ReliabilityGroup,$O84,1))=Hwy,IFERROR(_xlfn.SINGLE(INDEX(ReliabilityData1NB,$O84,5))*_xlfn.SINGLE(INDEX(ReliabilityData1NB,$O84,3)),0),0))</f>
        <v>762.5</v>
      </c>
      <c r="R90" s="365">
        <f>_xlfn.SINGLE(IF(_xlfn.SINGLE(INDEX(ReliabilityGroup,$O84,1))=Hwy,IFERROR(_xlfn.SINGLE(INDEX(ReliabilityData1B,$O84,5))*_xlfn.SINGLE(INDEX(ReliabilityData1B,$O84,3)),0),0))</f>
        <v>750</v>
      </c>
      <c r="S90" s="1137">
        <f>_xlfn.SINGLE(IF(_xlfn.SINGLE(INDEX(ReliabilityGroup,O84,1))=Hwy,IFERROR(_xlfn.SINGLE(INDEX(ReliabilityData1NB,O84,4)),0),0))</f>
        <v>37.195121951219512</v>
      </c>
      <c r="T90" s="1138">
        <f>_xlfn.SINGLE(IF(_xlfn.SINGLE(INDEX(ReliabilityGroup,O84,1))=Hwy,IFERROR(_xlfn.SINGLE(INDEX(ReliabilityData1B,O84,4)),0),0))</f>
        <v>46.875</v>
      </c>
      <c r="U90" s="1198">
        <f>IFERROR(MAX(1/S90-1/INDEX(ReliabilityModelGroup,O84,17), 0),0)</f>
        <v>0</v>
      </c>
      <c r="V90" s="1199">
        <f>IFERROR(MAX(1/T90-1/INDEX(ReliabilityModelGroup,O84,24), 0),0)</f>
        <v>0</v>
      </c>
      <c r="W90" s="1139">
        <f>IFERROR(AlphaSTD*MAX(AlphaTTI*(1+INDEX(ReliabilityModelGroup,O84,17)*U90)^BetaTTI-1,0)^BetaSTD*INDEX(ReliabilityModelGroup,O84,16)/INDEX(ReliabilityModelGroup,O84,17)*INDEX(RelAdjFactors,O84,15),0)</f>
        <v>1.1365273988465778E-3</v>
      </c>
      <c r="X90" s="1140">
        <f>IFERROR(AlphaSTD*MAX(AlphaTTI*(1+INDEX(ReliabilityModelGroup,O84,24)*V90)^BetaTTI-1,0)^BetaSTD*INDEX(ReliabilityModelGroup,O84,23)/INDEX(ReliabilityModelGroup,O84,24)*INDEX(RelAdjFactors,O84,15),0)</f>
        <v>6.4944422791233007E-4</v>
      </c>
      <c r="Y90" s="1141">
        <f>MIN(Q90,R90)*(W90-X90)*(INDEX(ReliabilityModelGroup,A84,12)*AnnualFactor)</f>
        <v>266.67803608650058</v>
      </c>
      <c r="Z90" s="1142">
        <f>IF(AND(R90&gt;Q90, Induced="Y"), (R90-Q90)*(W90-X90)*0.5*(INDEX(ReliabilityModelGroup,A84,12)*AnnualFactor), 0)</f>
        <v>0</v>
      </c>
      <c r="AA90" s="1143">
        <f>(Y90+Z90)*ValTimeTruck*ValRelTruck*IF(IM,ValTimeIMFactor,1)*(1+TTUprater)^($B90-YearCurrent)</f>
        <v>10531.115645055908</v>
      </c>
      <c r="AB90" s="370">
        <f>AA90/(1+DiscRate)^(P90-YearCurrent)</f>
        <v>9002.0417896125036</v>
      </c>
    </row>
    <row r="91" spans="1:29" x14ac:dyDescent="0.2">
      <c r="B91" s="379">
        <f>YearLast</f>
        <v>2046</v>
      </c>
      <c r="C91" s="380">
        <f>_xlfn.SINGLE(IF(_xlfn.SINGLE(INDEX(ReliabilityGroup,$A84,1))=Hwy,IFERROR(_xlfn.SINGLE(INDEX(ReliabilityData20NB,$A84,5))*(1-_xlfn.SINGLE(INDEX(ReliabilityData20NB,$A84,3))),0),0))</f>
        <v>3339.25</v>
      </c>
      <c r="D91" s="1145">
        <f>_xlfn.SINGLE(IF(_xlfn.SINGLE(INDEX(ReliabilityGroup,$A84,1))=Hwy,IFERROR(_xlfn.SINGLE(INDEX(ReliabilityData20B,$A84,5))*(1-_xlfn.SINGLE(INDEX(ReliabilityData20B,$A84,3))),0),0))</f>
        <v>3285.416666666667</v>
      </c>
      <c r="E91" s="1137">
        <f>_xlfn.SINGLE(IF(_xlfn.SINGLE(INDEX(ReliabilityGroup,A84,1))=Hwy,IFERROR(_xlfn.SINGLE(INDEX(ReliabilityData20NB,A84,4)),0),0))</f>
        <v>36.362068965517238</v>
      </c>
      <c r="F91" s="1022">
        <f>_xlfn.SINGLE(IF(_xlfn.SINGLE(INDEX(ReliabilityGroup,A84,1))=Hwy,IFERROR(_xlfn.SINGLE(INDEX(ReliabilityData20B,A84,4)),0),0))</f>
        <v>47.159090909090907</v>
      </c>
      <c r="G91" s="1139">
        <f>IFERROR(MAX(1/E91-1/INDEX(ReliabilityModelGroup,A84,17), 0),0)</f>
        <v>0</v>
      </c>
      <c r="H91" s="1140">
        <f>IFERROR(MAX(1/F91-1/INDEX(ReliabilityModelGroup,A84,24), 0),0)</f>
        <v>0</v>
      </c>
      <c r="I91" s="1139">
        <f>IFERROR(AlphaSTD*MAX(AlphaTTI*(1+INDEX(ReliabilityModelGroup,A84,17)*G91)^BetaTTI-1,0)^BetaSTD*INDEX(ReliabilityModelGroup,A84,16)/INDEX(ReliabilityModelGroup,A84,17)*INDEX(RelAdjFactors,A84,5),0)</f>
        <v>1.1365273988465778E-3</v>
      </c>
      <c r="J91" s="1140">
        <f>IFERROR(AlphaSTD*MAX(AlphaTTI*(1+INDEX(ReliabilityModelGroup,A84,24)*H91)^BetaTTI-1,0)^BetaSTD*INDEX(ReliabilityModelGroup,A84,23)/INDEX(ReliabilityModelGroup,A84,24)*INDEX(RelAdjFactors,A84,5),0)</f>
        <v>6.4944422791233007E-4</v>
      </c>
      <c r="K91" s="1146">
        <f>MIN(C91*INDEX(ReliabilityModelGroup,A84,18),D91*INDEX(ReliabilityModelGroup,A84,25))*(I91-J91)*(INDEX(ReliabilityModelGroup,A84,12)*AnnualFactor)</f>
        <v>1693.8870311588796</v>
      </c>
      <c r="L91" s="1147">
        <f>IF(AND(D91*INDEX(ReliabilityModelGroup,A84,25)&gt;C91*INDEX(ReliabilityModelGroup,A84,18), Induced="Y"), (D91*INDEX(ReliabilityModelGroup,A84,25)-C91*INDEX(ReliabilityModelGroup,A84,18))*(I91-J91)*0.5*(INDEX(ReliabilityModelGroup,A84,12)*AnnualFactor), 0)</f>
        <v>0</v>
      </c>
      <c r="M91" s="1143">
        <f>(K91+L91)*ValTimeAuto*ValRelAuto*IF(IM,ValTimeIMFactor,1)*(1+TTUprater)^($B91-YearCurrent)</f>
        <v>21952.775923819085</v>
      </c>
      <c r="N91" s="370">
        <f>M91/(1+DiscRate)^(B91-YearCurrent)</f>
        <v>8564.2493093464545</v>
      </c>
      <c r="P91" s="379">
        <f>YearLast</f>
        <v>2046</v>
      </c>
      <c r="Q91" s="380">
        <f>_xlfn.SINGLE(IF(_xlfn.SINGLE(INDEX(ReliabilityGroup,$O84,1))=Hwy,IFERROR(_xlfn.SINGLE(INDEX(ReliabilityData20NB,$O84,5))*_xlfn.SINGLE(INDEX(ReliabilityData20NB,$O84,3)),0),0))</f>
        <v>1054.5</v>
      </c>
      <c r="R91" s="1145">
        <f>_xlfn.SINGLE(IF(_xlfn.SINGLE(INDEX(ReliabilityGroup,$O84,1))=Hwy,IFERROR(_xlfn.SINGLE(INDEX(ReliabilityData20B,$O84,5))*_xlfn.SINGLE(INDEX(ReliabilityData20B,$O84,3)),0),0))</f>
        <v>1037.5</v>
      </c>
      <c r="S91" s="1137">
        <f>_xlfn.SINGLE(IF(_xlfn.SINGLE(INDEX(ReliabilityGroup,O84,1))=Hwy,IFERROR(_xlfn.SINGLE(INDEX(ReliabilityData20NB,O84,4)),0),0))</f>
        <v>36.362068965517238</v>
      </c>
      <c r="T91" s="1022">
        <f>_xlfn.SINGLE(IF(_xlfn.SINGLE(INDEX(ReliabilityGroup,O84,1))=Hwy,IFERROR(_xlfn.SINGLE(INDEX(ReliabilityData20B,O84,4)),0),0))</f>
        <v>47.159090909090907</v>
      </c>
      <c r="U91" s="1139">
        <f>IFERROR(MAX(1/S91-1/INDEX(ReliabilityModelGroup,O84,17), 0),0)</f>
        <v>0</v>
      </c>
      <c r="V91" s="1140">
        <f>IFERROR(MAX(1/T91-1/INDEX(ReliabilityModelGroup,O84,24), 0),0)</f>
        <v>0</v>
      </c>
      <c r="W91" s="1139">
        <f>IFERROR(AlphaSTD*MAX(AlphaTTI*(1+INDEX(ReliabilityModelGroup,O84,17)*U91)^BetaTTI-1,0)^BetaSTD*INDEX(ReliabilityModelGroup,O84,16)/INDEX(ReliabilityModelGroup,O84,17)*INDEX(RelAdjFactors,O84,15),0)</f>
        <v>1.1365273988465778E-3</v>
      </c>
      <c r="X91" s="1140">
        <f>IFERROR(AlphaSTD*MAX(AlphaTTI*(1+INDEX(ReliabilityModelGroup,O84,24)*V91)^BetaTTI-1,0)^BetaSTD*INDEX(ReliabilityModelGroup,O84,23)/INDEX(ReliabilityModelGroup,O84,24)*INDEX(RelAdjFactors,O84,15),0)</f>
        <v>6.4944422791233007E-4</v>
      </c>
      <c r="Y91" s="1146">
        <f>MIN(Q91,R91)*(W91-X91)*(INDEX(ReliabilityModelGroup,A84,12)*AnnualFactor)</f>
        <v>368.90461658632586</v>
      </c>
      <c r="Z91" s="1147">
        <f>IF(AND(R91&gt;Q91, Induced="Y"), (R91-Q91)*(W91-X91)*0.5*(INDEX(ReliabilityModelGroup,A84,12)*AnnualFactor), 0)</f>
        <v>0</v>
      </c>
      <c r="AA91" s="1143">
        <f>(Y91+Z91)*ValTimeTruck*ValRelTruck*IF(IM,ValTimeIMFactor,1)*(1+TTUprater)^($B91-YearCurrent)</f>
        <v>14568.043308994009</v>
      </c>
      <c r="AB91" s="370">
        <f>AA91/(1+DiscRate)^(P91-YearCurrent)</f>
        <v>5683.30653401377</v>
      </c>
    </row>
    <row r="92" spans="1:29" x14ac:dyDescent="0.2">
      <c r="B92" s="1148"/>
      <c r="C92" s="386"/>
      <c r="D92" s="386"/>
      <c r="E92" s="386"/>
      <c r="F92" s="386"/>
      <c r="G92" s="434"/>
      <c r="H92" s="434"/>
      <c r="I92" s="434"/>
      <c r="J92" s="434"/>
      <c r="K92" s="1149"/>
      <c r="L92" s="1149"/>
      <c r="M92" s="1150"/>
      <c r="N92" s="389"/>
      <c r="P92" s="1148"/>
      <c r="Q92" s="386"/>
      <c r="R92" s="386"/>
      <c r="S92" s="386"/>
      <c r="T92" s="386"/>
      <c r="U92" s="434"/>
      <c r="V92" s="434"/>
      <c r="W92" s="1151"/>
      <c r="X92" s="1152"/>
      <c r="Y92" s="1149"/>
      <c r="Z92" s="1149"/>
      <c r="AA92" s="1150"/>
      <c r="AB92" s="389"/>
    </row>
    <row r="93" spans="1:29" x14ac:dyDescent="0.2">
      <c r="B93" s="375">
        <f>YearOpen</f>
        <v>2026</v>
      </c>
      <c r="C93" s="393">
        <f>MAX(TREND(C90:C91,$B90:$B91,$B93),0)</f>
        <v>2414.583333333343</v>
      </c>
      <c r="D93" s="394">
        <f>MAX(TREND(D90:D91,$B90:$B91,$B93),0)</f>
        <v>2375</v>
      </c>
      <c r="E93" s="1153">
        <f>MAX(TREND(E90:E91,$B90:$B91,$B93),0)</f>
        <v>37.195121951219519</v>
      </c>
      <c r="F93" s="1154">
        <f>MAX(TREND(F90:F91,$B90:$B91,$B93),0)</f>
        <v>46.875</v>
      </c>
      <c r="G93" s="1139">
        <f>IFERROR(MAX(1/E93-1/INDEX(ReliabilityModelGroup,A84,17), 0),0)</f>
        <v>0</v>
      </c>
      <c r="H93" s="1140">
        <f>IFERROR(MAX(1/F93-1/INDEX(ReliabilityModelGroup,A84,24), 0),0)</f>
        <v>0</v>
      </c>
      <c r="I93" s="1139">
        <f>IFERROR(AlphaSTD*MAX(AlphaTTI*(1+INDEX(ReliabilityModelGroup,A84,17)*G93)^BetaTTI-1,0)^BetaSTD*INDEX(ReliabilityModelGroup,A84,16)/INDEX(ReliabilityModelGroup,A84,17)*INDEX(RelAdjFactors,A84,5),0)</f>
        <v>1.1365273988465778E-3</v>
      </c>
      <c r="J93" s="1140">
        <f>IFERROR(AlphaSTD*MAX(AlphaTTI*(1+INDEX(ReliabilityModelGroup,A84,24)*H93)^BetaTTI-1,0)^BetaSTD*INDEX(ReliabilityModelGroup,A84,23)/INDEX(ReliabilityModelGroup,A84,24)*INDEX(RelAdjFactors,A84,5),0)</f>
        <v>6.4944422791233007E-4</v>
      </c>
      <c r="K93" s="1155">
        <f>MIN(C93*INDEX(ReliabilityModelGroup,A84,18),D93*INDEX(ReliabilityModelGroup,A84,25))*(I93-J93)*(INDEX(ReliabilityModelGroup,A84,12)*AnnualFactor)</f>
        <v>1224.4966490305153</v>
      </c>
      <c r="L93" s="1142">
        <f>IF(AND(D93*INDEX(ReliabilityModelGroup,A84,25)&gt;C93*INDEX(ReliabilityModelGroup,A84,18), Induced="Y"), (D93*INDEX(ReliabilityModelGroup,A84,25)-C93*INDEX(ReliabilityModelGroup,A84,18))*(I93-J93)*0.5*(INDEX(ReliabilityModelGroup,A84,12)*AnnualFactor), 0)</f>
        <v>0</v>
      </c>
      <c r="M93" s="1143">
        <f t="shared" ref="M93:M112" si="26">(K93+L93)*ValTimeAuto*ValRelAuto*IF(IM,ValTimeIMFactor,1)*(1+TTUprater)^($B93-YearCurrent)</f>
        <v>15869.476571435482</v>
      </c>
      <c r="N93" s="370">
        <f t="shared" ref="N93:N112" si="27">M93/(1+DiscRate)^(B93-YearCurrent)</f>
        <v>13565.295082711093</v>
      </c>
      <c r="P93" s="375">
        <f>YearOpen</f>
        <v>2026</v>
      </c>
      <c r="Q93" s="393">
        <f>MAX(TREND(Q90:Q91,$P90:$P91,$P93),0)</f>
        <v>762.5</v>
      </c>
      <c r="R93" s="394">
        <f>MAX(TREND(R90:R91,$P90:$P91,$P93),0)</f>
        <v>750</v>
      </c>
      <c r="S93" s="1153">
        <f>MAX(TREND(S90:S91,$P90:$P91,$P93),0)</f>
        <v>37.195121951219519</v>
      </c>
      <c r="T93" s="1154">
        <f>MAX(TREND(T90:T91,$P90:$P91,$P93),0)</f>
        <v>46.875</v>
      </c>
      <c r="U93" s="1139">
        <f>IFERROR(MAX(1/S93-1/INDEX(ReliabilityModelGroup,O84,17), 0),0)</f>
        <v>0</v>
      </c>
      <c r="V93" s="1140">
        <f>IFERROR(MAX(1/T93-1/INDEX(ReliabilityModelGroup,O84,24), 0),0)</f>
        <v>0</v>
      </c>
      <c r="W93" s="1139">
        <f>IFERROR(AlphaSTD*MAX(AlphaTTI*(1+INDEX(ReliabilityModelGroup,O84,17)*U93)^BetaTTI-1,0)^BetaSTD*INDEX(ReliabilityModelGroup,O84,16)/INDEX(ReliabilityModelGroup,O84,17)*INDEX(RelAdjFactors,O84,15),0)</f>
        <v>1.1365273988465778E-3</v>
      </c>
      <c r="X93" s="1140">
        <f>IFERROR(AlphaSTD*MAX(AlphaTTI*(1+INDEX(ReliabilityModelGroup,O84,24)*V93)^BetaTTI-1,0)^BetaSTD*INDEX(ReliabilityModelGroup,O84,23)/INDEX(ReliabilityModelGroup,O84,24)*INDEX(RelAdjFactors,O84,15),0)</f>
        <v>6.4944422791233007E-4</v>
      </c>
      <c r="Y93" s="1155">
        <f>MIN(Q93,R93)*(W93-X93)*(INDEX(ReliabilityModelGroup,A84,12)*AnnualFactor)</f>
        <v>266.67803608650058</v>
      </c>
      <c r="Z93" s="1142">
        <f>IF(AND(R93&gt;Q93, Induced="Y"), (R93-Q93)*(W93-X93)*0.5*(INDEX(ReliabilityModelGroup,A84,12)*AnnualFactor), 0)</f>
        <v>0</v>
      </c>
      <c r="AA93" s="1143">
        <f t="shared" ref="AA93:AA112" si="28">(Y93+Z93)*ValTimeTruck*ValRelTruck*IF(IM,ValTimeIMFactor,1)*(1+TTUprater)^($B93-YearCurrent)</f>
        <v>10531.115645055908</v>
      </c>
      <c r="AB93" s="370">
        <f t="shared" ref="AB93:AB112" si="29">AA93/(1+DiscRate)^(P93-YearCurrent)</f>
        <v>9002.0417896125036</v>
      </c>
    </row>
    <row r="94" spans="1:29" x14ac:dyDescent="0.2">
      <c r="B94" s="375">
        <f>B93+1</f>
        <v>2027</v>
      </c>
      <c r="C94" s="401">
        <f>MAX(TREND(C90:C91,$B90:$B91,$B94),0)</f>
        <v>2460.8166666666802</v>
      </c>
      <c r="D94" s="402">
        <f>MAX(TREND(D90:D91,$B90:$B91,$B94),0)</f>
        <v>2420.5208333333285</v>
      </c>
      <c r="E94" s="725">
        <f>MAX(TREND(E90:E91,$B90:$B91,$B94),0)</f>
        <v>37.153469301934408</v>
      </c>
      <c r="F94" s="726">
        <f>MAX(TREND(F90:F91,$B90:$B91,$B94),0)</f>
        <v>46.889204545454547</v>
      </c>
      <c r="G94" s="1139">
        <f>IFERROR(MAX(1/E94-1/INDEX(ReliabilityModelGroup,A84,17), 0),0)</f>
        <v>0</v>
      </c>
      <c r="H94" s="1140">
        <f>IFERROR(MAX(1/F94-1/INDEX(ReliabilityModelGroup,A84,24), 0),0)</f>
        <v>0</v>
      </c>
      <c r="I94" s="1139">
        <f>IFERROR(AlphaSTD*MAX(AlphaTTI*(1+INDEX(ReliabilityModelGroup,A84,17)*G94)^BetaTTI-1,0)^BetaSTD*INDEX(ReliabilityModelGroup,A84,16)/INDEX(ReliabilityModelGroup,A84,17)*INDEX(RelAdjFactors,A84,5),0)</f>
        <v>1.1365273988465778E-3</v>
      </c>
      <c r="J94" s="1140">
        <f>IFERROR(AlphaSTD*MAX(AlphaTTI*(1+INDEX(ReliabilityModelGroup,A84,24)*H94)^BetaTTI-1,0)^BetaSTD*INDEX(ReliabilityModelGroup,A84,23)/INDEX(ReliabilityModelGroup,A84,24)*INDEX(RelAdjFactors,A84,5),0)</f>
        <v>6.4944422791233007E-4</v>
      </c>
      <c r="K94" s="1156">
        <f>MIN(C94*INDEX(ReliabilityModelGroup,A84,18),D94*INDEX(ReliabilityModelGroup,A84,25))*(I94-J94)*(INDEX(ReliabilityModelGroup,A84,12)*AnnualFactor)</f>
        <v>1247.9661681369309</v>
      </c>
      <c r="L94" s="1157">
        <f>IF(AND(D94*INDEX(ReliabilityModelGroup,A84,25)&gt;C94*INDEX(ReliabilityModelGroup,A84,18), Induced="Y"), (D94*INDEX(ReliabilityModelGroup,A84,25)-C94*INDEX(ReliabilityModelGroup,A84,18))*(I94-J94)*0.5*(INDEX(ReliabilityModelGroup,A84,12)*AnnualFactor), 0)</f>
        <v>0</v>
      </c>
      <c r="M94" s="1143">
        <f t="shared" si="26"/>
        <v>16173.64153905463</v>
      </c>
      <c r="N94" s="370">
        <f t="shared" si="27"/>
        <v>13293.554395958037</v>
      </c>
      <c r="P94" s="375">
        <f>P93+1</f>
        <v>2027</v>
      </c>
      <c r="Q94" s="401">
        <f>MAX(TREND(Q90:Q91,$P90:$P91,$P94),0)</f>
        <v>777.10000000000218</v>
      </c>
      <c r="R94" s="402">
        <f>MAX(TREND(R90:R91,$P90:$P91,$P94),0)</f>
        <v>764.375</v>
      </c>
      <c r="S94" s="725">
        <f>MAX(TREND(S90:S91,$P90:$P91,$P94),0)</f>
        <v>37.153469301934408</v>
      </c>
      <c r="T94" s="726">
        <f>MAX(TREND(T90:T91,$P90:$P91,$P94),0)</f>
        <v>46.889204545454547</v>
      </c>
      <c r="U94" s="1139">
        <f>IFERROR(MAX(1/S94-1/INDEX(ReliabilityModelGroup,O84,17), 0),0)</f>
        <v>0</v>
      </c>
      <c r="V94" s="1140">
        <f>IFERROR(MAX(1/T94-1/INDEX(ReliabilityModelGroup,O84,24), 0),0)</f>
        <v>0</v>
      </c>
      <c r="W94" s="1139">
        <f>IFERROR(AlphaSTD*MAX(AlphaTTI*(1+INDEX(ReliabilityModelGroup,O84,17)*U94)^BetaTTI-1,0)^BetaSTD*INDEX(ReliabilityModelGroup,O84,16)/INDEX(ReliabilityModelGroup,O84,17)*INDEX(RelAdjFactors,O84,15),0)</f>
        <v>1.1365273988465778E-3</v>
      </c>
      <c r="X94" s="1140">
        <f>IFERROR(AlphaSTD*MAX(AlphaTTI*(1+INDEX(ReliabilityModelGroup,O84,24)*V94)^BetaTTI-1,0)^BetaSTD*INDEX(ReliabilityModelGroup,O84,23)/INDEX(ReliabilityModelGroup,O84,24)*INDEX(RelAdjFactors,O84,15),0)</f>
        <v>6.4944422791233007E-4</v>
      </c>
      <c r="Y94" s="1156">
        <f>MIN(Q94,R94)*(W94-X94)*(INDEX(ReliabilityModelGroup,A84,12)*AnnualFactor)</f>
        <v>271.78936511149186</v>
      </c>
      <c r="Z94" s="1157">
        <f>IF(AND(R94&gt;Q94, Induced="Y"), (R94-Q94)*(W94-X94)*0.5*(INDEX(ReliabilityModelGroup,A84,12)*AnnualFactor), 0)</f>
        <v>0</v>
      </c>
      <c r="AA94" s="1143">
        <f t="shared" si="28"/>
        <v>10732.962028252814</v>
      </c>
      <c r="AB94" s="370">
        <f t="shared" si="29"/>
        <v>8821.7124268398165</v>
      </c>
    </row>
    <row r="95" spans="1:29" x14ac:dyDescent="0.2">
      <c r="B95" s="375">
        <f t="shared" ref="B95:B112" si="30">B94+1</f>
        <v>2028</v>
      </c>
      <c r="C95" s="401">
        <f>MAX(TREND(C90:C91,$B90:$B91,$B95),0)</f>
        <v>2507.0500000000029</v>
      </c>
      <c r="D95" s="402">
        <f>MAX(TREND(D90:D91,$B90:$B91,$B95),0)</f>
        <v>2466.041666666657</v>
      </c>
      <c r="E95" s="725">
        <f>MAX(TREND(E90:E91,$B90:$B91,$B95),0)</f>
        <v>37.111816652649281</v>
      </c>
      <c r="F95" s="726">
        <f>MAX(TREND(F90:F91,$B90:$B91,$B95),0)</f>
        <v>46.903409090909093</v>
      </c>
      <c r="G95" s="1139">
        <f>IFERROR(MAX(1/E95-1/INDEX(ReliabilityModelGroup,A84,17), 0),0)</f>
        <v>0</v>
      </c>
      <c r="H95" s="1140">
        <f>IFERROR(MAX(1/F95-1/INDEX(ReliabilityModelGroup,A84,24), 0),0)</f>
        <v>0</v>
      </c>
      <c r="I95" s="1139">
        <f>IFERROR(AlphaSTD*MAX(AlphaTTI*(1+INDEX(ReliabilityModelGroup,A84,17)*G95)^BetaTTI-1,0)^BetaSTD*INDEX(ReliabilityModelGroup,A84,16)/INDEX(ReliabilityModelGroup,A84,17)*INDEX(RelAdjFactors,A84,5),0)</f>
        <v>1.1365273988465778E-3</v>
      </c>
      <c r="J95" s="1140">
        <f>IFERROR(AlphaSTD*MAX(AlphaTTI*(1+INDEX(ReliabilityModelGroup,A84,24)*H95)^BetaTTI-1,0)^BetaSTD*INDEX(ReliabilityModelGroup,A84,23)/INDEX(ReliabilityModelGroup,A84,24)*INDEX(RelAdjFactors,A84,5),0)</f>
        <v>6.4944422791233007E-4</v>
      </c>
      <c r="K95" s="1156">
        <f>MIN(C95*INDEX(ReliabilityModelGroup,A84,18),D95*INDEX(ReliabilityModelGroup,A84,25))*(I95-J95)*(INDEX(ReliabilityModelGroup,A84,12)*AnnualFactor)</f>
        <v>1271.4356872433466</v>
      </c>
      <c r="L95" s="1157">
        <f>IF(AND(D95*INDEX(ReliabilityModelGroup,A84,25)&gt;C95*INDEX(ReliabilityModelGroup,A84,18), Induced="Y"), (D95*INDEX(ReliabilityModelGroup,A84,25)-C95*INDEX(ReliabilityModelGroup,A84,18))*(I95-J95)*0.5*(INDEX(ReliabilityModelGroup,A84,12)*AnnualFactor), 0)</f>
        <v>0</v>
      </c>
      <c r="M95" s="1143">
        <f t="shared" si="26"/>
        <v>16477.806506673773</v>
      </c>
      <c r="N95" s="370">
        <f t="shared" si="27"/>
        <v>13022.649834394992</v>
      </c>
      <c r="P95" s="375">
        <f t="shared" ref="P95:P112" si="31">P94+1</f>
        <v>2028</v>
      </c>
      <c r="Q95" s="401">
        <f>MAX(TREND(Q90:Q91,$P90:$P91,$P95),0)</f>
        <v>791.70000000000073</v>
      </c>
      <c r="R95" s="402">
        <f>MAX(TREND(R90:R91,$P90:$P91,$P95),0)</f>
        <v>778.75</v>
      </c>
      <c r="S95" s="725">
        <f>MAX(TREND(S90:S91,$P90:$P91,$P95),0)</f>
        <v>37.111816652649281</v>
      </c>
      <c r="T95" s="726">
        <f>MAX(TREND(T90:T91,$P90:$P91,$P95),0)</f>
        <v>46.903409090909093</v>
      </c>
      <c r="U95" s="1139">
        <f>IFERROR(MAX(1/S95-1/INDEX(ReliabilityModelGroup,O84,17), 0),0)</f>
        <v>0</v>
      </c>
      <c r="V95" s="1140">
        <f>IFERROR(MAX(1/T95-1/INDEX(ReliabilityModelGroup,O84,24), 0),0)</f>
        <v>0</v>
      </c>
      <c r="W95" s="1139">
        <f>IFERROR(AlphaSTD*MAX(AlphaTTI*(1+INDEX(ReliabilityModelGroup,O84,17)*U95)^BetaTTI-1,0)^BetaSTD*INDEX(ReliabilityModelGroup,O84,16)/INDEX(ReliabilityModelGroup,O84,17)*INDEX(RelAdjFactors,O84,15),0)</f>
        <v>1.1365273988465778E-3</v>
      </c>
      <c r="X95" s="1140">
        <f>IFERROR(AlphaSTD*MAX(AlphaTTI*(1+INDEX(ReliabilityModelGroup,O84,24)*V95)^BetaTTI-1,0)^BetaSTD*INDEX(ReliabilityModelGroup,O84,23)/INDEX(ReliabilityModelGroup,O84,24)*INDEX(RelAdjFactors,O84,15),0)</f>
        <v>6.4944422791233007E-4</v>
      </c>
      <c r="Y95" s="1156">
        <f>MIN(Q95,R95)*(W95-X95)*(INDEX(ReliabilityModelGroup,A84,12)*AnnualFactor)</f>
        <v>276.90069413648314</v>
      </c>
      <c r="Z95" s="1157">
        <f>IF(AND(R95&gt;Q95, Induced="Y"), (R95-Q95)*(W95-X95)*0.5*(INDEX(ReliabilityModelGroup,A84,12)*AnnualFactor), 0)</f>
        <v>0</v>
      </c>
      <c r="AA95" s="1143">
        <f t="shared" si="28"/>
        <v>10934.80841144972</v>
      </c>
      <c r="AB95" s="370">
        <f t="shared" si="29"/>
        <v>8641.9379236448931</v>
      </c>
    </row>
    <row r="96" spans="1:29" x14ac:dyDescent="0.2">
      <c r="B96" s="375">
        <f t="shared" si="30"/>
        <v>2029</v>
      </c>
      <c r="C96" s="401">
        <f>MAX(TREND(C90:C91,$B90:$B91,$B96),0)</f>
        <v>2553.2833333333401</v>
      </c>
      <c r="D96" s="402">
        <f>MAX(TREND(D90:D91,$B90:$B91,$B96),0)</f>
        <v>2511.5625</v>
      </c>
      <c r="E96" s="725">
        <f>MAX(TREND(E90:E91,$B90:$B91,$B96),0)</f>
        <v>37.07016400336417</v>
      </c>
      <c r="F96" s="726">
        <f>MAX(TREND(F90:F91,$B90:$B91,$B96),0)</f>
        <v>46.91761363636364</v>
      </c>
      <c r="G96" s="1139">
        <f>IFERROR(MAX(1/E96-1/INDEX(ReliabilityModelGroup,A84,17), 0),0)</f>
        <v>0</v>
      </c>
      <c r="H96" s="1140">
        <f>IFERROR(MAX(1/F96-1/INDEX(ReliabilityModelGroup,A84,24), 0),0)</f>
        <v>0</v>
      </c>
      <c r="I96" s="1139">
        <f>IFERROR(AlphaSTD*MAX(AlphaTTI*(1+INDEX(ReliabilityModelGroup,A84,17)*G96)^BetaTTI-1,0)^BetaSTD*INDEX(ReliabilityModelGroup,A84,16)/INDEX(ReliabilityModelGroup,A84,17)*INDEX(RelAdjFactors,A84,5),0)</f>
        <v>1.1365273988465778E-3</v>
      </c>
      <c r="J96" s="1140">
        <f>IFERROR(AlphaSTD*MAX(AlphaTTI*(1+INDEX(ReliabilityModelGroup,A84,24)*H96)^BetaTTI-1,0)^BetaSTD*INDEX(ReliabilityModelGroup,A84,23)/INDEX(ReliabilityModelGroup,A84,24)*INDEX(RelAdjFactors,A84,5),0)</f>
        <v>6.4944422791233007E-4</v>
      </c>
      <c r="K96" s="1156">
        <f>MIN(C96*INDEX(ReliabilityModelGroup,A84,18),D96*INDEX(ReliabilityModelGroup,A84,25))*(I96-J96)*(INDEX(ReliabilityModelGroup,A84,12)*AnnualFactor)</f>
        <v>1294.90520634977</v>
      </c>
      <c r="L96" s="1157">
        <f>IF(AND(D96*INDEX(ReliabilityModelGroup,A84,25)&gt;C96*INDEX(ReliabilityModelGroup,A84,18), Induced="Y"), (D96*INDEX(ReliabilityModelGroup,A84,25)-C96*INDEX(ReliabilityModelGroup,A84,18))*(I96-J96)*0.5*(INDEX(ReliabilityModelGroup,A84,12)*AnnualFactor), 0)</f>
        <v>0</v>
      </c>
      <c r="M96" s="1143">
        <f t="shared" si="26"/>
        <v>16781.971474293023</v>
      </c>
      <c r="N96" s="370">
        <f t="shared" si="27"/>
        <v>12752.91906396416</v>
      </c>
      <c r="P96" s="375">
        <f t="shared" si="31"/>
        <v>2029</v>
      </c>
      <c r="Q96" s="401">
        <f>MAX(TREND(Q90:Q91,$P90:$P91,$P96),0)</f>
        <v>806.29999999999927</v>
      </c>
      <c r="R96" s="402">
        <f>MAX(TREND(R90:R91,$P90:$P91,$P96),0)</f>
        <v>793.125</v>
      </c>
      <c r="S96" s="725">
        <f>MAX(TREND(S90:S91,$P90:$P91,$P96),0)</f>
        <v>37.07016400336417</v>
      </c>
      <c r="T96" s="726">
        <f>MAX(TREND(T90:T91,$P90:$P91,$P96),0)</f>
        <v>46.91761363636364</v>
      </c>
      <c r="U96" s="1139">
        <f>IFERROR(MAX(1/S96-1/INDEX(ReliabilityModelGroup,O84,17), 0),0)</f>
        <v>0</v>
      </c>
      <c r="V96" s="1140">
        <f>IFERROR(MAX(1/T96-1/INDEX(ReliabilityModelGroup,O84,24), 0),0)</f>
        <v>0</v>
      </c>
      <c r="W96" s="1139">
        <f>IFERROR(AlphaSTD*MAX(AlphaTTI*(1+INDEX(ReliabilityModelGroup,O84,17)*U96)^BetaTTI-1,0)^BetaSTD*INDEX(ReliabilityModelGroup,O84,16)/INDEX(ReliabilityModelGroup,O84,17)*INDEX(RelAdjFactors,O84,15),0)</f>
        <v>1.1365273988465778E-3</v>
      </c>
      <c r="X96" s="1140">
        <f>IFERROR(AlphaSTD*MAX(AlphaTTI*(1+INDEX(ReliabilityModelGroup,O84,24)*V96)^BetaTTI-1,0)^BetaSTD*INDEX(ReliabilityModelGroup,O84,23)/INDEX(ReliabilityModelGroup,O84,24)*INDEX(RelAdjFactors,O84,15),0)</f>
        <v>6.4944422791233007E-4</v>
      </c>
      <c r="Y96" s="1156">
        <f>MIN(Q96,R96)*(W96-X96)*(INDEX(ReliabilityModelGroup,A84,12)*AnnualFactor)</f>
        <v>282.01202316147436</v>
      </c>
      <c r="Z96" s="1157">
        <f>IF(AND(R96&gt;Q96, Induced="Y"), (R96-Q96)*(W96-X96)*0.5*(INDEX(ReliabilityModelGroup,A84,12)*AnnualFactor), 0)</f>
        <v>0</v>
      </c>
      <c r="AA96" s="1143">
        <f t="shared" si="28"/>
        <v>11136.654794646622</v>
      </c>
      <c r="AB96" s="370">
        <f t="shared" si="29"/>
        <v>8462.9423579341328</v>
      </c>
    </row>
    <row r="97" spans="2:28" x14ac:dyDescent="0.2">
      <c r="B97" s="375">
        <f t="shared" si="30"/>
        <v>2030</v>
      </c>
      <c r="C97" s="401">
        <f>MAX(TREND(C90:C91,$B90:$B91,$B97),0)</f>
        <v>2599.5166666666773</v>
      </c>
      <c r="D97" s="402">
        <f>MAX(TREND(D90:D91,$B90:$B91,$B97),0)</f>
        <v>2557.0833333333285</v>
      </c>
      <c r="E97" s="725">
        <f>MAX(TREND(E90:E91,$B90:$B91,$B97),0)</f>
        <v>37.028511354079058</v>
      </c>
      <c r="F97" s="726">
        <f>MAX(TREND(F90:F91,$B90:$B91,$B97),0)</f>
        <v>46.93181818181818</v>
      </c>
      <c r="G97" s="1139">
        <f>IFERROR(MAX(1/E97-1/INDEX(ReliabilityModelGroup,A84,17), 0),0)</f>
        <v>0</v>
      </c>
      <c r="H97" s="1140">
        <f>IFERROR(MAX(1/F97-1/INDEX(ReliabilityModelGroup,A84,24), 0),0)</f>
        <v>0</v>
      </c>
      <c r="I97" s="1139">
        <f>IFERROR(AlphaSTD*MAX(AlphaTTI*(1+INDEX(ReliabilityModelGroup,A84,17)*G97)^BetaTTI-1,0)^BetaSTD*INDEX(ReliabilityModelGroup,A84,16)/INDEX(ReliabilityModelGroup,A84,17)*INDEX(RelAdjFactors,A84,5),0)</f>
        <v>1.1365273988465778E-3</v>
      </c>
      <c r="J97" s="1140">
        <f>IFERROR(AlphaSTD*MAX(AlphaTTI*(1+INDEX(ReliabilityModelGroup,A84,24)*H97)^BetaTTI-1,0)^BetaSTD*INDEX(ReliabilityModelGroup,A84,23)/INDEX(ReliabilityModelGroup,A84,24)*INDEX(RelAdjFactors,A84,5),0)</f>
        <v>6.4944422791233007E-4</v>
      </c>
      <c r="K97" s="1156">
        <f>MIN(C97*INDEX(ReliabilityModelGroup,A84,18),D97*INDEX(ReliabilityModelGroup,A84,25))*(I97-J97)*(INDEX(ReliabilityModelGroup,A84,12)*AnnualFactor)</f>
        <v>1318.3747254561856</v>
      </c>
      <c r="L97" s="1157">
        <f>IF(AND(D97*INDEX(ReliabilityModelGroup,A84,25)&gt;C97*INDEX(ReliabilityModelGroup,A84,18), Induced="Y"), (D97*INDEX(ReliabilityModelGroup,A84,25)-C97*INDEX(ReliabilityModelGroup,A84,18))*(I97-J97)*0.5*(INDEX(ReliabilityModelGroup,A84,12)*AnnualFactor), 0)</f>
        <v>0</v>
      </c>
      <c r="M97" s="1143">
        <f t="shared" si="26"/>
        <v>17086.136441912167</v>
      </c>
      <c r="N97" s="370">
        <f t="shared" si="27"/>
        <v>12484.672539432668</v>
      </c>
      <c r="P97" s="375">
        <f t="shared" si="31"/>
        <v>2030</v>
      </c>
      <c r="Q97" s="401">
        <f>MAX(TREND(Q90:Q91,$P90:$P91,$P97),0)</f>
        <v>820.90000000000146</v>
      </c>
      <c r="R97" s="402">
        <f>MAX(TREND(R90:R91,$P90:$P91,$P97),0)</f>
        <v>807.5</v>
      </c>
      <c r="S97" s="725">
        <f>MAX(TREND(S90:S91,$P90:$P91,$P97),0)</f>
        <v>37.028511354079058</v>
      </c>
      <c r="T97" s="726">
        <f>MAX(TREND(T90:T91,$P90:$P91,$P97),0)</f>
        <v>46.93181818181818</v>
      </c>
      <c r="U97" s="1139">
        <f>IFERROR(MAX(1/S97-1/INDEX(ReliabilityModelGroup,O84,17), 0),0)</f>
        <v>0</v>
      </c>
      <c r="V97" s="1140">
        <f>IFERROR(MAX(1/T97-1/INDEX(ReliabilityModelGroup,O84,24), 0),0)</f>
        <v>0</v>
      </c>
      <c r="W97" s="1139">
        <f>IFERROR(AlphaSTD*MAX(AlphaTTI*(1+INDEX(ReliabilityModelGroup,O84,17)*U97)^BetaTTI-1,0)^BetaSTD*INDEX(ReliabilityModelGroup,O84,16)/INDEX(ReliabilityModelGroup,O84,17)*INDEX(RelAdjFactors,O84,15),0)</f>
        <v>1.1365273988465778E-3</v>
      </c>
      <c r="X97" s="1140">
        <f>IFERROR(AlphaSTD*MAX(AlphaTTI*(1+INDEX(ReliabilityModelGroup,O84,24)*V97)^BetaTTI-1,0)^BetaSTD*INDEX(ReliabilityModelGroup,O84,23)/INDEX(ReliabilityModelGroup,O84,24)*INDEX(RelAdjFactors,O84,15),0)</f>
        <v>6.4944422791233007E-4</v>
      </c>
      <c r="Y97" s="1156">
        <f>MIN(Q97,R97)*(W97-X97)*(INDEX(ReliabilityModelGroup,A84,12)*AnnualFactor)</f>
        <v>287.12335218646564</v>
      </c>
      <c r="Z97" s="1157">
        <f>IF(AND(R97&gt;Q97, Induced="Y"), (R97-Q97)*(W97-X97)*0.5*(INDEX(ReliabilityModelGroup,A84,12)*AnnualFactor), 0)</f>
        <v>0</v>
      </c>
      <c r="AA97" s="1143">
        <f t="shared" si="28"/>
        <v>11338.501177843529</v>
      </c>
      <c r="AB97" s="370">
        <f t="shared" si="29"/>
        <v>8284.9317500537236</v>
      </c>
    </row>
    <row r="98" spans="2:28" x14ac:dyDescent="0.2">
      <c r="B98" s="375">
        <f t="shared" si="30"/>
        <v>2031</v>
      </c>
      <c r="C98" s="401">
        <f>MAX(TREND(C90:C91,$B90:$B91,$B98),0)</f>
        <v>2645.7500000000146</v>
      </c>
      <c r="D98" s="402">
        <f>MAX(TREND(D90:D91,$B90:$B91,$B98),0)</f>
        <v>2602.604166666657</v>
      </c>
      <c r="E98" s="725">
        <f>MAX(TREND(E90:E91,$B90:$B91,$B98),0)</f>
        <v>36.986858704793946</v>
      </c>
      <c r="F98" s="726">
        <f>MAX(TREND(F90:F91,$B90:$B91,$B98),0)</f>
        <v>46.946022727272727</v>
      </c>
      <c r="G98" s="1139">
        <f>IFERROR(MAX(1/E98-1/INDEX(ReliabilityModelGroup,A84,17), 0),0)</f>
        <v>0</v>
      </c>
      <c r="H98" s="1140">
        <f>IFERROR(MAX(1/F98-1/INDEX(ReliabilityModelGroup,A84,24), 0),0)</f>
        <v>0</v>
      </c>
      <c r="I98" s="1139">
        <f>IFERROR(AlphaSTD*MAX(AlphaTTI*(1+INDEX(ReliabilityModelGroup,A84,17)*G98)^BetaTTI-1,0)^BetaSTD*INDEX(ReliabilityModelGroup,A84,16)/INDEX(ReliabilityModelGroup,A84,17)*INDEX(RelAdjFactors,A84,5),0)</f>
        <v>1.1365273988465778E-3</v>
      </c>
      <c r="J98" s="1140">
        <f>IFERROR(AlphaSTD*MAX(AlphaTTI*(1+INDEX(ReliabilityModelGroup,A84,24)*H98)^BetaTTI-1,0)^BetaSTD*INDEX(ReliabilityModelGroup,A84,23)/INDEX(ReliabilityModelGroup,A84,24)*INDEX(RelAdjFactors,A84,5),0)</f>
        <v>6.4944422791233007E-4</v>
      </c>
      <c r="K98" s="1156">
        <f>MIN(C98*INDEX(ReliabilityModelGroup,A84,18),D98*INDEX(ReliabilityModelGroup,A84,25))*(I98-J98)*(INDEX(ReliabilityModelGroup,A84,12)*AnnualFactor)</f>
        <v>1341.8442445626013</v>
      </c>
      <c r="L98" s="1157">
        <f>IF(AND(D98*INDEX(ReliabilityModelGroup,A84,25)&gt;C98*INDEX(ReliabilityModelGroup,A84,18), Induced="Y"), (D98*INDEX(ReliabilityModelGroup,A84,25)-C98*INDEX(ReliabilityModelGroup,A84,18))*(I98-J98)*0.5*(INDEX(ReliabilityModelGroup,A84,12)*AnnualFactor), 0)</f>
        <v>0</v>
      </c>
      <c r="M98" s="1143">
        <f t="shared" si="26"/>
        <v>17390.301409531316</v>
      </c>
      <c r="N98" s="370">
        <f t="shared" si="27"/>
        <v>12218.195098054541</v>
      </c>
      <c r="P98" s="375">
        <f t="shared" si="31"/>
        <v>2031</v>
      </c>
      <c r="Q98" s="401">
        <f>MAX(TREND(Q90:Q91,$P90:$P91,$P98),0)</f>
        <v>835.5</v>
      </c>
      <c r="R98" s="402">
        <f>MAX(TREND(R90:R91,$P90:$P91,$P98),0)</f>
        <v>821.875</v>
      </c>
      <c r="S98" s="725">
        <f>MAX(TREND(S90:S91,$P90:$P91,$P98),0)</f>
        <v>36.986858704793946</v>
      </c>
      <c r="T98" s="726">
        <f>MAX(TREND(T90:T91,$P90:$P91,$P98),0)</f>
        <v>46.946022727272727</v>
      </c>
      <c r="U98" s="1139">
        <f>IFERROR(MAX(1/S98-1/INDEX(ReliabilityModelGroup,O84,17), 0),0)</f>
        <v>0</v>
      </c>
      <c r="V98" s="1140">
        <f>IFERROR(MAX(1/T98-1/INDEX(ReliabilityModelGroup,O84,24), 0),0)</f>
        <v>0</v>
      </c>
      <c r="W98" s="1139">
        <f>IFERROR(AlphaSTD*MAX(AlphaTTI*(1+INDEX(ReliabilityModelGroup,O84,17)*U98)^BetaTTI-1,0)^BetaSTD*INDEX(ReliabilityModelGroup,O84,16)/INDEX(ReliabilityModelGroup,O84,17)*INDEX(RelAdjFactors,O84,15),0)</f>
        <v>1.1365273988465778E-3</v>
      </c>
      <c r="X98" s="1140">
        <f>IFERROR(AlphaSTD*MAX(AlphaTTI*(1+INDEX(ReliabilityModelGroup,O84,24)*V98)^BetaTTI-1,0)^BetaSTD*INDEX(ReliabilityModelGroup,O84,23)/INDEX(ReliabilityModelGroup,O84,24)*INDEX(RelAdjFactors,O84,15),0)</f>
        <v>6.4944422791233007E-4</v>
      </c>
      <c r="Y98" s="1156">
        <f>MIN(Q98,R98)*(W98-X98)*(INDEX(ReliabilityModelGroup,A84,12)*AnnualFactor)</f>
        <v>292.23468121145692</v>
      </c>
      <c r="Z98" s="1157">
        <f>IF(AND(R98&gt;Q98, Induced="Y"), (R98-Q98)*(W98-X98)*0.5*(INDEX(ReliabilityModelGroup,A84,12)*AnnualFactor), 0)</f>
        <v>0</v>
      </c>
      <c r="AA98" s="1143">
        <f t="shared" si="28"/>
        <v>11540.347561040433</v>
      </c>
      <c r="AB98" s="370">
        <f t="shared" si="29"/>
        <v>8108.0951203565164</v>
      </c>
    </row>
    <row r="99" spans="2:28" x14ac:dyDescent="0.2">
      <c r="B99" s="375">
        <f t="shared" si="30"/>
        <v>2032</v>
      </c>
      <c r="C99" s="401">
        <f>MAX(TREND(C90:C91,$B90:$B91,$B99),0)</f>
        <v>2691.9833333333372</v>
      </c>
      <c r="D99" s="402">
        <f>MAX(TREND(D90:D91,$B90:$B91,$B99),0)</f>
        <v>2648.125</v>
      </c>
      <c r="E99" s="725">
        <f>MAX(TREND(E90:E91,$B90:$B91,$B99),0)</f>
        <v>36.945206055508834</v>
      </c>
      <c r="F99" s="726">
        <f>MAX(TREND(F90:F91,$B90:$B91,$B99),0)</f>
        <v>46.960227272727266</v>
      </c>
      <c r="G99" s="1139">
        <f>IFERROR(MAX(1/E99-1/INDEX(ReliabilityModelGroup,A84,17), 0),0)</f>
        <v>0</v>
      </c>
      <c r="H99" s="1140">
        <f>IFERROR(MAX(1/F99-1/INDEX(ReliabilityModelGroup,A84,24), 0),0)</f>
        <v>0</v>
      </c>
      <c r="I99" s="1139">
        <f>IFERROR(AlphaSTD*MAX(AlphaTTI*(1+INDEX(ReliabilityModelGroup,A84,17)*G99)^BetaTTI-1,0)^BetaSTD*INDEX(ReliabilityModelGroup,A84,16)/INDEX(ReliabilityModelGroup,A84,17)*INDEX(RelAdjFactors,A84,5),0)</f>
        <v>1.1365273988465778E-3</v>
      </c>
      <c r="J99" s="1140">
        <f>IFERROR(AlphaSTD*MAX(AlphaTTI*(1+INDEX(ReliabilityModelGroup,A84,24)*H99)^BetaTTI-1,0)^BetaSTD*INDEX(ReliabilityModelGroup,A84,23)/INDEX(ReliabilityModelGroup,A84,24)*INDEX(RelAdjFactors,A84,5),0)</f>
        <v>6.4944422791233007E-4</v>
      </c>
      <c r="K99" s="1156">
        <f>MIN(C99*INDEX(ReliabilityModelGroup,A84,18),D99*INDEX(ReliabilityModelGroup,A84,25))*(I99-J99)*(INDEX(ReliabilityModelGroup,A84,12)*AnnualFactor)</f>
        <v>1365.3137636690246</v>
      </c>
      <c r="L99" s="1157">
        <f>IF(AND(D99*INDEX(ReliabilityModelGroup,A84,25)&gt;C99*INDEX(ReliabilityModelGroup,A84,18), Induced="Y"), (D99*INDEX(ReliabilityModelGroup,A84,25)-C99*INDEX(ReliabilityModelGroup,A84,18))*(I99-J99)*0.5*(INDEX(ReliabilityModelGroup,A84,12)*AnnualFactor), 0)</f>
        <v>0</v>
      </c>
      <c r="M99" s="1143">
        <f t="shared" si="26"/>
        <v>17694.466377150562</v>
      </c>
      <c r="N99" s="370">
        <f t="shared" si="27"/>
        <v>11953.747470895758</v>
      </c>
      <c r="P99" s="375">
        <f t="shared" si="31"/>
        <v>2032</v>
      </c>
      <c r="Q99" s="401">
        <f>MAX(TREND(Q90:Q91,$P90:$P91,$P99),0)</f>
        <v>850.10000000000218</v>
      </c>
      <c r="R99" s="402">
        <f>MAX(TREND(R90:R91,$P90:$P91,$P99),0)</f>
        <v>836.25</v>
      </c>
      <c r="S99" s="725">
        <f>MAX(TREND(S90:S91,$P90:$P91,$P99),0)</f>
        <v>36.945206055508834</v>
      </c>
      <c r="T99" s="726">
        <f>MAX(TREND(T90:T91,$P90:$P91,$P99),0)</f>
        <v>46.960227272727266</v>
      </c>
      <c r="U99" s="1139">
        <f>IFERROR(MAX(1/S99-1/INDEX(ReliabilityModelGroup,O84,17), 0),0)</f>
        <v>0</v>
      </c>
      <c r="V99" s="1140">
        <f>IFERROR(MAX(1/T99-1/INDEX(ReliabilityModelGroup,O84,24), 0),0)</f>
        <v>0</v>
      </c>
      <c r="W99" s="1139">
        <f>IFERROR(AlphaSTD*MAX(AlphaTTI*(1+INDEX(ReliabilityModelGroup,O84,17)*U99)^BetaTTI-1,0)^BetaSTD*INDEX(ReliabilityModelGroup,O84,16)/INDEX(ReliabilityModelGroup,O84,17)*INDEX(RelAdjFactors,O84,15),0)</f>
        <v>1.1365273988465778E-3</v>
      </c>
      <c r="X99" s="1140">
        <f>IFERROR(AlphaSTD*MAX(AlphaTTI*(1+INDEX(ReliabilityModelGroup,O84,24)*V99)^BetaTTI-1,0)^BetaSTD*INDEX(ReliabilityModelGroup,O84,23)/INDEX(ReliabilityModelGroup,O84,24)*INDEX(RelAdjFactors,O84,15),0)</f>
        <v>6.4944422791233007E-4</v>
      </c>
      <c r="Y99" s="1156">
        <f>MIN(Q99,R99)*(W99-X99)*(INDEX(ReliabilityModelGroup,A84,12)*AnnualFactor)</f>
        <v>297.34601023644819</v>
      </c>
      <c r="Z99" s="1157">
        <f>IF(AND(R99&gt;Q99, Induced="Y"), (R99-Q99)*(W99-X99)*0.5*(INDEX(ReliabilityModelGroup,A84,12)*AnnualFactor), 0)</f>
        <v>0</v>
      </c>
      <c r="AA99" s="1143">
        <f t="shared" si="28"/>
        <v>11742.19394423734</v>
      </c>
      <c r="AB99" s="370">
        <f t="shared" si="29"/>
        <v>7932.6054921300238</v>
      </c>
    </row>
    <row r="100" spans="2:28" x14ac:dyDescent="0.2">
      <c r="B100" s="375">
        <f t="shared" si="30"/>
        <v>2033</v>
      </c>
      <c r="C100" s="401">
        <f>MAX(TREND(C90:C91,$B90:$B91,$B100),0)</f>
        <v>2738.2166666666744</v>
      </c>
      <c r="D100" s="402">
        <f>MAX(TREND(D90:D91,$B90:$B91,$B100),0)</f>
        <v>2693.6458333333285</v>
      </c>
      <c r="E100" s="725">
        <f>MAX(TREND(E90:E91,$B90:$B91,$B100),0)</f>
        <v>36.903553406223722</v>
      </c>
      <c r="F100" s="726">
        <f>MAX(TREND(F90:F91,$B90:$B91,$B100),0)</f>
        <v>46.974431818181813</v>
      </c>
      <c r="G100" s="1139">
        <f>IFERROR(MAX(1/E100-1/INDEX(ReliabilityModelGroup,A84,17), 0),0)</f>
        <v>0</v>
      </c>
      <c r="H100" s="1140">
        <f>IFERROR(MAX(1/F100-1/INDEX(ReliabilityModelGroup,A84,24), 0),0)</f>
        <v>0</v>
      </c>
      <c r="I100" s="1139">
        <f>IFERROR(AlphaSTD*MAX(AlphaTTI*(1+INDEX(ReliabilityModelGroup,A84,17)*G100)^BetaTTI-1,0)^BetaSTD*INDEX(ReliabilityModelGroup,A84,16)/INDEX(ReliabilityModelGroup,A84,17)*INDEX(RelAdjFactors,A84,5),0)</f>
        <v>1.1365273988465778E-3</v>
      </c>
      <c r="J100" s="1140">
        <f>IFERROR(AlphaSTD*MAX(AlphaTTI*(1+INDEX(ReliabilityModelGroup,A84,24)*H100)^BetaTTI-1,0)^BetaSTD*INDEX(ReliabilityModelGroup,A84,23)/INDEX(ReliabilityModelGroup,A84,24)*INDEX(RelAdjFactors,A84,5),0)</f>
        <v>6.4944422791233007E-4</v>
      </c>
      <c r="K100" s="1156">
        <f>MIN(C100*INDEX(ReliabilityModelGroup,A84,18),D100*INDEX(ReliabilityModelGroup,A84,25))*(I100-J100)*(INDEX(ReliabilityModelGroup,A84,12)*AnnualFactor)</f>
        <v>1388.7832827754403</v>
      </c>
      <c r="L100" s="1157">
        <f>IF(AND(D100*INDEX(ReliabilityModelGroup,A84,25)&gt;C100*INDEX(ReliabilityModelGroup,A84,18), Induced="Y"), (D100*INDEX(ReliabilityModelGroup,A84,25)-C100*INDEX(ReliabilityModelGroup,A84,18))*(I100-J100)*0.5*(INDEX(ReliabilityModelGroup,A84,12)*AnnualFactor), 0)</f>
        <v>0</v>
      </c>
      <c r="M100" s="1143">
        <f t="shared" si="26"/>
        <v>17998.63134476971</v>
      </c>
      <c r="N100" s="370">
        <f t="shared" si="27"/>
        <v>11691.567715799341</v>
      </c>
      <c r="P100" s="375">
        <f t="shared" si="31"/>
        <v>2033</v>
      </c>
      <c r="Q100" s="401">
        <f>MAX(TREND(Q90:Q91,$P90:$P91,$P100),0)</f>
        <v>864.70000000000073</v>
      </c>
      <c r="R100" s="402">
        <f>MAX(TREND(R90:R91,$P90:$P91,$P100),0)</f>
        <v>850.625</v>
      </c>
      <c r="S100" s="725">
        <f>MAX(TREND(S90:S91,$P90:$P91,$P100),0)</f>
        <v>36.903553406223722</v>
      </c>
      <c r="T100" s="726">
        <f>MAX(TREND(T90:T91,$P90:$P91,$P100),0)</f>
        <v>46.974431818181813</v>
      </c>
      <c r="U100" s="1139">
        <f>IFERROR(MAX(1/S100-1/INDEX(ReliabilityModelGroup,O84,17), 0),0)</f>
        <v>0</v>
      </c>
      <c r="V100" s="1140">
        <f>IFERROR(MAX(1/T100-1/INDEX(ReliabilityModelGroup,O84,24), 0),0)</f>
        <v>0</v>
      </c>
      <c r="W100" s="1139">
        <f>IFERROR(AlphaSTD*MAX(AlphaTTI*(1+INDEX(ReliabilityModelGroup,O84,17)*U100)^BetaTTI-1,0)^BetaSTD*INDEX(ReliabilityModelGroup,O84,16)/INDEX(ReliabilityModelGroup,O84,17)*INDEX(RelAdjFactors,O84,15),0)</f>
        <v>1.1365273988465778E-3</v>
      </c>
      <c r="X100" s="1140">
        <f>IFERROR(AlphaSTD*MAX(AlphaTTI*(1+INDEX(ReliabilityModelGroup,O84,24)*V100)^BetaTTI-1,0)^BetaSTD*INDEX(ReliabilityModelGroup,O84,23)/INDEX(ReliabilityModelGroup,O84,24)*INDEX(RelAdjFactors,O84,15),0)</f>
        <v>6.4944422791233007E-4</v>
      </c>
      <c r="Y100" s="1156">
        <f>MIN(Q100,R100)*(W100-X100)*(INDEX(ReliabilityModelGroup,A84,12)*AnnualFactor)</f>
        <v>302.45733926143942</v>
      </c>
      <c r="Z100" s="1157">
        <f>IF(AND(R100&gt;Q100, Induced="Y"), (R100-Q100)*(W100-X100)*0.5*(INDEX(ReliabilityModelGroup,A84,12)*AnnualFactor), 0)</f>
        <v>0</v>
      </c>
      <c r="AA100" s="1143">
        <f t="shared" si="28"/>
        <v>11944.040327434242</v>
      </c>
      <c r="AB100" s="370">
        <f t="shared" si="29"/>
        <v>7758.6208425239747</v>
      </c>
    </row>
    <row r="101" spans="2:28" x14ac:dyDescent="0.2">
      <c r="B101" s="375">
        <f t="shared" si="30"/>
        <v>2034</v>
      </c>
      <c r="C101" s="401">
        <f>MAX(TREND(C90:C91,$B90:$B91,$B101),0)</f>
        <v>2784.4500000000116</v>
      </c>
      <c r="D101" s="402">
        <f>MAX(TREND(D90:D91,$B90:$B91,$B101),0)</f>
        <v>2739.166666666657</v>
      </c>
      <c r="E101" s="725">
        <f>MAX(TREND(E90:E91,$B90:$B91,$B101),0)</f>
        <v>36.86190075693861</v>
      </c>
      <c r="F101" s="726">
        <f>MAX(TREND(F90:F91,$B90:$B91,$B101),0)</f>
        <v>46.98863636363636</v>
      </c>
      <c r="G101" s="1139">
        <f>IFERROR(MAX(1/E101-1/INDEX(ReliabilityModelGroup,A84,17), 0),0)</f>
        <v>0</v>
      </c>
      <c r="H101" s="1140">
        <f>IFERROR(MAX(1/F101-1/INDEX(ReliabilityModelGroup,A84,24), 0),0)</f>
        <v>0</v>
      </c>
      <c r="I101" s="1139">
        <f>IFERROR(AlphaSTD*MAX(AlphaTTI*(1+INDEX(ReliabilityModelGroup,A84,17)*G101)^BetaTTI-1,0)^BetaSTD*INDEX(ReliabilityModelGroup,A84,16)/INDEX(ReliabilityModelGroup,A84,17)*INDEX(RelAdjFactors,A84,5),0)</f>
        <v>1.1365273988465778E-3</v>
      </c>
      <c r="J101" s="1140">
        <f>IFERROR(AlphaSTD*MAX(AlphaTTI*(1+INDEX(ReliabilityModelGroup,A84,24)*H101)^BetaTTI-1,0)^BetaSTD*INDEX(ReliabilityModelGroup,A84,23)/INDEX(ReliabilityModelGroup,A84,24)*INDEX(RelAdjFactors,A84,5),0)</f>
        <v>6.4944422791233007E-4</v>
      </c>
      <c r="K101" s="1156">
        <f>MIN(C101*INDEX(ReliabilityModelGroup,A84,18),D101*INDEX(ReliabilityModelGroup,A84,25))*(I101-J101)*(INDEX(ReliabilityModelGroup,A84,12)*AnnualFactor)</f>
        <v>1412.2528018818559</v>
      </c>
      <c r="L101" s="1157">
        <f>IF(AND(D101*INDEX(ReliabilityModelGroup,A84,25)&gt;C101*INDEX(ReliabilityModelGroup,A84,18), Induced="Y"), (D101*INDEX(ReliabilityModelGroup,A84,25)-C101*INDEX(ReliabilityModelGroup,A84,18))*(I101-J101)*0.5*(INDEX(ReliabilityModelGroup,A84,12)*AnnualFactor), 0)</f>
        <v>0</v>
      </c>
      <c r="M101" s="1143">
        <f t="shared" si="26"/>
        <v>18302.796312388858</v>
      </c>
      <c r="N101" s="370">
        <f t="shared" si="27"/>
        <v>11431.872575782978</v>
      </c>
      <c r="P101" s="375">
        <f t="shared" si="31"/>
        <v>2034</v>
      </c>
      <c r="Q101" s="401">
        <f>MAX(TREND(Q90:Q91,$P90:$P91,$P101),0)</f>
        <v>879.29999999999927</v>
      </c>
      <c r="R101" s="402">
        <f>MAX(TREND(R90:R91,$P90:$P91,$P101),0)</f>
        <v>865</v>
      </c>
      <c r="S101" s="725">
        <f>MAX(TREND(S90:S91,$P90:$P91,$P101),0)</f>
        <v>36.86190075693861</v>
      </c>
      <c r="T101" s="726">
        <f>MAX(TREND(T90:T91,$P90:$P91,$P101),0)</f>
        <v>46.98863636363636</v>
      </c>
      <c r="U101" s="1139">
        <f>IFERROR(MAX(1/S101-1/INDEX(ReliabilityModelGroup,O84,17), 0),0)</f>
        <v>0</v>
      </c>
      <c r="V101" s="1140">
        <f>IFERROR(MAX(1/T101-1/INDEX(ReliabilityModelGroup,O84,24), 0),0)</f>
        <v>0</v>
      </c>
      <c r="W101" s="1139">
        <f>IFERROR(AlphaSTD*MAX(AlphaTTI*(1+INDEX(ReliabilityModelGroup,O84,17)*U101)^BetaTTI-1,0)^BetaSTD*INDEX(ReliabilityModelGroup,O84,16)/INDEX(ReliabilityModelGroup,O84,17)*INDEX(RelAdjFactors,O84,15),0)</f>
        <v>1.1365273988465778E-3</v>
      </c>
      <c r="X101" s="1140">
        <f>IFERROR(AlphaSTD*MAX(AlphaTTI*(1+INDEX(ReliabilityModelGroup,O84,24)*V101)^BetaTTI-1,0)^BetaSTD*INDEX(ReliabilityModelGroup,O84,23)/INDEX(ReliabilityModelGroup,O84,24)*INDEX(RelAdjFactors,O84,15),0)</f>
        <v>6.4944422791233007E-4</v>
      </c>
      <c r="Y101" s="1156">
        <f>MIN(Q101,R101)*(W101-X101)*(INDEX(ReliabilityModelGroup,A84,12)*AnnualFactor)</f>
        <v>307.56866828643069</v>
      </c>
      <c r="Z101" s="1157">
        <f>IF(AND(R101&gt;Q101, Induced="Y"), (R101-Q101)*(W101-X101)*0.5*(INDEX(ReliabilityModelGroup,A84,12)*AnnualFactor), 0)</f>
        <v>0</v>
      </c>
      <c r="AA101" s="1143">
        <f t="shared" si="28"/>
        <v>12145.886710631148</v>
      </c>
      <c r="AB101" s="370">
        <f t="shared" si="29"/>
        <v>7586.2850039939376</v>
      </c>
    </row>
    <row r="102" spans="2:28" x14ac:dyDescent="0.2">
      <c r="B102" s="375">
        <f t="shared" si="30"/>
        <v>2035</v>
      </c>
      <c r="C102" s="401">
        <f>MAX(TREND(C90:C91,$B90:$B91,$B102),0)</f>
        <v>2830.6833333333343</v>
      </c>
      <c r="D102" s="402">
        <f>MAX(TREND(D90:D91,$B90:$B91,$B102),0)</f>
        <v>2784.6875</v>
      </c>
      <c r="E102" s="725">
        <f>MAX(TREND(E90:E91,$B90:$B91,$B102),0)</f>
        <v>36.820248107653498</v>
      </c>
      <c r="F102" s="726">
        <f>MAX(TREND(F90:F91,$B90:$B91,$B102),0)</f>
        <v>47.002840909090907</v>
      </c>
      <c r="G102" s="1139">
        <f>IFERROR(MAX(1/E102-1/INDEX(ReliabilityModelGroup,A84,17), 0),0)</f>
        <v>0</v>
      </c>
      <c r="H102" s="1140">
        <f>IFERROR(MAX(1/F102-1/INDEX(ReliabilityModelGroup,A84,24), 0),0)</f>
        <v>0</v>
      </c>
      <c r="I102" s="1139">
        <f>IFERROR(AlphaSTD*MAX(AlphaTTI*(1+INDEX(ReliabilityModelGroup,A84,17)*G102)^BetaTTI-1,0)^BetaSTD*INDEX(ReliabilityModelGroup,A84,16)/INDEX(ReliabilityModelGroup,A84,17)*INDEX(RelAdjFactors,A84,5),0)</f>
        <v>1.1365273988465778E-3</v>
      </c>
      <c r="J102" s="1140">
        <f>IFERROR(AlphaSTD*MAX(AlphaTTI*(1+INDEX(ReliabilityModelGroup,A84,24)*H102)^BetaTTI-1,0)^BetaSTD*INDEX(ReliabilityModelGroup,A84,23)/INDEX(ReliabilityModelGroup,A84,24)*INDEX(RelAdjFactors,A84,5),0)</f>
        <v>6.4944422791233007E-4</v>
      </c>
      <c r="K102" s="1156">
        <f>MIN(C102*INDEX(ReliabilityModelGroup,A84,18),D102*INDEX(ReliabilityModelGroup,A84,25))*(I102-J102)*(INDEX(ReliabilityModelGroup,A84,12)*AnnualFactor)</f>
        <v>1435.7223209882791</v>
      </c>
      <c r="L102" s="1157">
        <f>IF(AND(D102*INDEX(ReliabilityModelGroup,A84,25)&gt;C102*INDEX(ReliabilityModelGroup,A84,18), Induced="Y"), (D102*INDEX(ReliabilityModelGroup,A84,25)-C102*INDEX(ReliabilityModelGroup,A84,18))*(I102-J102)*0.5*(INDEX(ReliabilityModelGroup,A84,12)*AnnualFactor), 0)</f>
        <v>0</v>
      </c>
      <c r="M102" s="1143">
        <f t="shared" si="26"/>
        <v>18606.961280008101</v>
      </c>
      <c r="N102" s="370">
        <f t="shared" si="27"/>
        <v>11174.858766484203</v>
      </c>
      <c r="P102" s="375">
        <f t="shared" si="31"/>
        <v>2035</v>
      </c>
      <c r="Q102" s="401">
        <f>MAX(TREND(Q90:Q91,$P90:$P91,$P102),0)</f>
        <v>893.90000000000146</v>
      </c>
      <c r="R102" s="402">
        <f>MAX(TREND(R90:R91,$P90:$P91,$P102),0)</f>
        <v>879.375</v>
      </c>
      <c r="S102" s="725">
        <f>MAX(TREND(S90:S91,$P90:$P91,$P102),0)</f>
        <v>36.820248107653498</v>
      </c>
      <c r="T102" s="726">
        <f>MAX(TREND(T90:T91,$P90:$P91,$P102),0)</f>
        <v>47.002840909090907</v>
      </c>
      <c r="U102" s="1139">
        <f>IFERROR(MAX(1/S102-1/INDEX(ReliabilityModelGroup,O84,17), 0),0)</f>
        <v>0</v>
      </c>
      <c r="V102" s="1140">
        <f>IFERROR(MAX(1/T102-1/INDEX(ReliabilityModelGroup,O84,24), 0),0)</f>
        <v>0</v>
      </c>
      <c r="W102" s="1139">
        <f>IFERROR(AlphaSTD*MAX(AlphaTTI*(1+INDEX(ReliabilityModelGroup,O84,17)*U102)^BetaTTI-1,0)^BetaSTD*INDEX(ReliabilityModelGroup,O84,16)/INDEX(ReliabilityModelGroup,O84,17)*INDEX(RelAdjFactors,O84,15),0)</f>
        <v>1.1365273988465778E-3</v>
      </c>
      <c r="X102" s="1140">
        <f>IFERROR(AlphaSTD*MAX(AlphaTTI*(1+INDEX(ReliabilityModelGroup,O84,24)*V102)^BetaTTI-1,0)^BetaSTD*INDEX(ReliabilityModelGroup,O84,23)/INDEX(ReliabilityModelGroup,O84,24)*INDEX(RelAdjFactors,O84,15),0)</f>
        <v>6.4944422791233007E-4</v>
      </c>
      <c r="Y102" s="1156">
        <f>MIN(Q102,R102)*(W102-X102)*(INDEX(ReliabilityModelGroup,A84,12)*AnnualFactor)</f>
        <v>312.67999731142197</v>
      </c>
      <c r="Z102" s="1157">
        <f>IF(AND(R102&gt;Q102, Induced="Y"), (R102-Q102)*(W102-X102)*0.5*(INDEX(ReliabilityModelGroup,A84,12)*AnnualFactor), 0)</f>
        <v>0</v>
      </c>
      <c r="AA102" s="1143">
        <f t="shared" si="28"/>
        <v>12347.733093828056</v>
      </c>
      <c r="AB102" s="370">
        <f t="shared" si="29"/>
        <v>7415.728518660705</v>
      </c>
    </row>
    <row r="103" spans="2:28" x14ac:dyDescent="0.2">
      <c r="B103" s="375">
        <f t="shared" si="30"/>
        <v>2036</v>
      </c>
      <c r="C103" s="401">
        <f>MAX(TREND(C90:C91,$B90:$B91,$B103),0)</f>
        <v>2876.9166666666715</v>
      </c>
      <c r="D103" s="402">
        <f>MAX(TREND(D90:D91,$B90:$B91,$B103),0)</f>
        <v>2830.2083333333285</v>
      </c>
      <c r="E103" s="725">
        <f>MAX(TREND(E90:E91,$B90:$B91,$B103),0)</f>
        <v>36.778595458368372</v>
      </c>
      <c r="F103" s="726">
        <f>MAX(TREND(F90:F91,$B90:$B91,$B103),0)</f>
        <v>47.017045454545453</v>
      </c>
      <c r="G103" s="1139">
        <f>IFERROR(MAX(1/E103-1/INDEX(ReliabilityModelGroup,A84,17), 0),0)</f>
        <v>0</v>
      </c>
      <c r="H103" s="1140">
        <f>IFERROR(MAX(1/F103-1/INDEX(ReliabilityModelGroup,A84,24), 0),0)</f>
        <v>0</v>
      </c>
      <c r="I103" s="1139">
        <f>IFERROR(AlphaSTD*MAX(AlphaTTI*(1+INDEX(ReliabilityModelGroup,A84,17)*G103)^BetaTTI-1,0)^BetaSTD*INDEX(ReliabilityModelGroup,A84,16)/INDEX(ReliabilityModelGroup,A84,17)*INDEX(RelAdjFactors,A84,5),0)</f>
        <v>1.1365273988465778E-3</v>
      </c>
      <c r="J103" s="1140">
        <f>IFERROR(AlphaSTD*MAX(AlphaTTI*(1+INDEX(ReliabilityModelGroup,A84,24)*H103)^BetaTTI-1,0)^BetaSTD*INDEX(ReliabilityModelGroup,A84,23)/INDEX(ReliabilityModelGroup,A84,24)*INDEX(RelAdjFactors,A84,5),0)</f>
        <v>6.4944422791233007E-4</v>
      </c>
      <c r="K103" s="1156">
        <f>MIN(C103*INDEX(ReliabilityModelGroup,A84,18),D103*INDEX(ReliabilityModelGroup,A84,25))*(I103-J103)*(INDEX(ReliabilityModelGroup,A84,12)*AnnualFactor)</f>
        <v>1459.1918400946947</v>
      </c>
      <c r="L103" s="1157">
        <f>IF(AND(D103*INDEX(ReliabilityModelGroup,A84,25)&gt;C103*INDEX(ReliabilityModelGroup,A84,18), Induced="Y"), (D103*INDEX(ReliabilityModelGroup,A84,25)-C103*INDEX(ReliabilityModelGroup,A84,18))*(I103-J103)*0.5*(INDEX(ReliabilityModelGroup,A84,12)*AnnualFactor), 0)</f>
        <v>0</v>
      </c>
      <c r="M103" s="1143">
        <f t="shared" si="26"/>
        <v>18911.12624762725</v>
      </c>
      <c r="N103" s="370">
        <f t="shared" si="27"/>
        <v>10920.704196102171</v>
      </c>
      <c r="P103" s="375">
        <f t="shared" si="31"/>
        <v>2036</v>
      </c>
      <c r="Q103" s="401">
        <f>MAX(TREND(Q90:Q91,$P90:$P91,$P103),0)</f>
        <v>908.5</v>
      </c>
      <c r="R103" s="402">
        <f>MAX(TREND(R90:R91,$P90:$P91,$P103),0)</f>
        <v>893.75</v>
      </c>
      <c r="S103" s="725">
        <f>MAX(TREND(S90:S91,$P90:$P91,$P103),0)</f>
        <v>36.778595458368372</v>
      </c>
      <c r="T103" s="726">
        <f>MAX(TREND(T90:T91,$P90:$P91,$P103),0)</f>
        <v>47.017045454545453</v>
      </c>
      <c r="U103" s="1139">
        <f>IFERROR(MAX(1/S103-1/INDEX(ReliabilityModelGroup,O84,17), 0),0)</f>
        <v>0</v>
      </c>
      <c r="V103" s="1140">
        <f>IFERROR(MAX(1/T103-1/INDEX(ReliabilityModelGroup,O84,24), 0),0)</f>
        <v>0</v>
      </c>
      <c r="W103" s="1139">
        <f>IFERROR(AlphaSTD*MAX(AlphaTTI*(1+INDEX(ReliabilityModelGroup,O84,17)*U103)^BetaTTI-1,0)^BetaSTD*INDEX(ReliabilityModelGroup,O84,16)/INDEX(ReliabilityModelGroup,O84,17)*INDEX(RelAdjFactors,O84,15),0)</f>
        <v>1.1365273988465778E-3</v>
      </c>
      <c r="X103" s="1140">
        <f>IFERROR(AlphaSTD*MAX(AlphaTTI*(1+INDEX(ReliabilityModelGroup,O84,24)*V103)^BetaTTI-1,0)^BetaSTD*INDEX(ReliabilityModelGroup,O84,23)/INDEX(ReliabilityModelGroup,O84,24)*INDEX(RelAdjFactors,O84,15),0)</f>
        <v>6.4944422791233007E-4</v>
      </c>
      <c r="Y103" s="1156">
        <f>MIN(Q103,R103)*(W103-X103)*(INDEX(ReliabilityModelGroup,A84,12)*AnnualFactor)</f>
        <v>317.79132633641325</v>
      </c>
      <c r="Z103" s="1157">
        <f>IF(AND(R103&gt;Q103, Induced="Y"), (R103-Q103)*(W103-X103)*0.5*(INDEX(ReliabilityModelGroup,A84,12)*AnnualFactor), 0)</f>
        <v>0</v>
      </c>
      <c r="AA103" s="1143">
        <f t="shared" si="28"/>
        <v>12549.579477024959</v>
      </c>
      <c r="AB103" s="370">
        <f t="shared" si="29"/>
        <v>7247.0694478738224</v>
      </c>
    </row>
    <row r="104" spans="2:28" x14ac:dyDescent="0.2">
      <c r="B104" s="375">
        <f t="shared" si="30"/>
        <v>2037</v>
      </c>
      <c r="C104" s="401">
        <f>MAX(TREND(C90:C91,$B90:$B91,$B104),0)</f>
        <v>2923.1500000000087</v>
      </c>
      <c r="D104" s="402">
        <f>MAX(TREND(D90:D91,$B90:$B91,$B104),0)</f>
        <v>2875.729166666657</v>
      </c>
      <c r="E104" s="725">
        <f>MAX(TREND(E90:E91,$B90:$B91,$B104),0)</f>
        <v>36.73694280908326</v>
      </c>
      <c r="F104" s="726">
        <f>MAX(TREND(F90:F91,$B90:$B91,$B104),0)</f>
        <v>47.03125</v>
      </c>
      <c r="G104" s="1139">
        <f>IFERROR(MAX(1/E104-1/INDEX(ReliabilityModelGroup,A84,17), 0),0)</f>
        <v>0</v>
      </c>
      <c r="H104" s="1140">
        <f>IFERROR(MAX(1/F104-1/INDEX(ReliabilityModelGroup,A84,24), 0),0)</f>
        <v>0</v>
      </c>
      <c r="I104" s="1139">
        <f>IFERROR(AlphaSTD*MAX(AlphaTTI*(1+INDEX(ReliabilityModelGroup,A84,17)*G104)^BetaTTI-1,0)^BetaSTD*INDEX(ReliabilityModelGroup,A84,16)/INDEX(ReliabilityModelGroup,A84,17)*INDEX(RelAdjFactors,A84,5),0)</f>
        <v>1.1365273988465778E-3</v>
      </c>
      <c r="J104" s="1140">
        <f>IFERROR(AlphaSTD*MAX(AlphaTTI*(1+INDEX(ReliabilityModelGroup,A84,24)*H104)^BetaTTI-1,0)^BetaSTD*INDEX(ReliabilityModelGroup,A84,23)/INDEX(ReliabilityModelGroup,A84,24)*INDEX(RelAdjFactors,A84,5),0)</f>
        <v>6.4944422791233007E-4</v>
      </c>
      <c r="K104" s="1156">
        <f>MIN(C104*INDEX(ReliabilityModelGroup,A84,18),D104*INDEX(ReliabilityModelGroup,A84,25))*(I104-J104)*(INDEX(ReliabilityModelGroup,A84,12)*AnnualFactor)</f>
        <v>1482.6613592011106</v>
      </c>
      <c r="L104" s="1157">
        <f>IF(AND(D104*INDEX(ReliabilityModelGroup,A84,25)&gt;C104*INDEX(ReliabilityModelGroup,A84,18), Induced="Y"), (D104*INDEX(ReliabilityModelGroup,A84,25)-C104*INDEX(ReliabilityModelGroup,A84,18))*(I104-J104)*0.5*(INDEX(ReliabilityModelGroup,A84,12)*AnnualFactor), 0)</f>
        <v>0</v>
      </c>
      <c r="M104" s="1143">
        <f t="shared" si="26"/>
        <v>19215.291215246398</v>
      </c>
      <c r="N104" s="370">
        <f t="shared" si="27"/>
        <v>10669.569121124548</v>
      </c>
      <c r="P104" s="375">
        <f t="shared" si="31"/>
        <v>2037</v>
      </c>
      <c r="Q104" s="401">
        <f>MAX(TREND(Q90:Q91,$P90:$P91,$P104),0)</f>
        <v>923.10000000000218</v>
      </c>
      <c r="R104" s="402">
        <f>MAX(TREND(R90:R91,$P90:$P91,$P104),0)</f>
        <v>908.125</v>
      </c>
      <c r="S104" s="725">
        <f>MAX(TREND(S90:S91,$P90:$P91,$P104),0)</f>
        <v>36.73694280908326</v>
      </c>
      <c r="T104" s="726">
        <f>MAX(TREND(T90:T91,$P90:$P91,$P104),0)</f>
        <v>47.03125</v>
      </c>
      <c r="U104" s="1139">
        <f>IFERROR(MAX(1/S104-1/INDEX(ReliabilityModelGroup,O84,17), 0),0)</f>
        <v>0</v>
      </c>
      <c r="V104" s="1140">
        <f>IFERROR(MAX(1/T104-1/INDEX(ReliabilityModelGroup,O84,24), 0),0)</f>
        <v>0</v>
      </c>
      <c r="W104" s="1139">
        <f>IFERROR(AlphaSTD*MAX(AlphaTTI*(1+INDEX(ReliabilityModelGroup,O84,17)*U104)^BetaTTI-1,0)^BetaSTD*INDEX(ReliabilityModelGroup,O84,16)/INDEX(ReliabilityModelGroup,O84,17)*INDEX(RelAdjFactors,O84,15),0)</f>
        <v>1.1365273988465778E-3</v>
      </c>
      <c r="X104" s="1140">
        <f>IFERROR(AlphaSTD*MAX(AlphaTTI*(1+INDEX(ReliabilityModelGroup,O84,24)*V104)^BetaTTI-1,0)^BetaSTD*INDEX(ReliabilityModelGroup,O84,23)/INDEX(ReliabilityModelGroup,O84,24)*INDEX(RelAdjFactors,O84,15),0)</f>
        <v>6.4944422791233007E-4</v>
      </c>
      <c r="Y104" s="1156">
        <f>MIN(Q104,R104)*(W104-X104)*(INDEX(ReliabilityModelGroup,A84,12)*AnnualFactor)</f>
        <v>322.90265536140447</v>
      </c>
      <c r="Z104" s="1157">
        <f>IF(AND(R104&gt;Q104, Induced="Y"), (R104-Q104)*(W104-X104)*0.5*(INDEX(ReliabilityModelGroup,A84,12)*AnnualFactor), 0)</f>
        <v>0</v>
      </c>
      <c r="AA104" s="1143">
        <f t="shared" si="28"/>
        <v>12751.425860221862</v>
      </c>
      <c r="AB104" s="370">
        <f t="shared" si="29"/>
        <v>7080.4141391612839</v>
      </c>
    </row>
    <row r="105" spans="2:28" x14ac:dyDescent="0.2">
      <c r="B105" s="375">
        <f t="shared" si="30"/>
        <v>2038</v>
      </c>
      <c r="C105" s="401">
        <f>MAX(TREND(C90:C91,$B90:$B91,$B105),0)</f>
        <v>2969.3833333333459</v>
      </c>
      <c r="D105" s="402">
        <f>MAX(TREND(D90:D91,$B90:$B91,$B105),0)</f>
        <v>2921.25</v>
      </c>
      <c r="E105" s="725">
        <f>MAX(TREND(E90:E91,$B90:$B91,$B105),0)</f>
        <v>36.695290159798148</v>
      </c>
      <c r="F105" s="726">
        <f>MAX(TREND(F90:F91,$B90:$B91,$B105),0)</f>
        <v>47.045454545454547</v>
      </c>
      <c r="G105" s="1139">
        <f>IFERROR(MAX(1/E105-1/INDEX(ReliabilityModelGroup,A84,17), 0),0)</f>
        <v>0</v>
      </c>
      <c r="H105" s="1140">
        <f>IFERROR(MAX(1/F105-1/INDEX(ReliabilityModelGroup,A84,24), 0),0)</f>
        <v>0</v>
      </c>
      <c r="I105" s="1139">
        <f>IFERROR(AlphaSTD*MAX(AlphaTTI*(1+INDEX(ReliabilityModelGroup,A84,17)*G105)^BetaTTI-1,0)^BetaSTD*INDEX(ReliabilityModelGroup,A84,16)/INDEX(ReliabilityModelGroup,A84,17)*INDEX(RelAdjFactors,A84,5),0)</f>
        <v>1.1365273988465778E-3</v>
      </c>
      <c r="J105" s="1140">
        <f>IFERROR(AlphaSTD*MAX(AlphaTTI*(1+INDEX(ReliabilityModelGroup,A84,24)*H105)^BetaTTI-1,0)^BetaSTD*INDEX(ReliabilityModelGroup,A84,23)/INDEX(ReliabilityModelGroup,A84,24)*INDEX(RelAdjFactors,A84,5),0)</f>
        <v>6.4944422791233007E-4</v>
      </c>
      <c r="K105" s="1156">
        <f>MIN(C105*INDEX(ReliabilityModelGroup,A84,18),D105*INDEX(ReliabilityModelGroup,A84,25))*(I105-J105)*(INDEX(ReliabilityModelGroup,A84,12)*AnnualFactor)</f>
        <v>1506.1308783075337</v>
      </c>
      <c r="L105" s="1157">
        <f>IF(AND(D105*INDEX(ReliabilityModelGroup,A84,25)&gt;C105*INDEX(ReliabilityModelGroup,A84,18), Induced="Y"), (D105*INDEX(ReliabilityModelGroup,A84,25)-C105*INDEX(ReliabilityModelGroup,A84,18))*(I105-J105)*0.5*(INDEX(ReliabilityModelGroup,A84,12)*AnnualFactor), 0)</f>
        <v>0</v>
      </c>
      <c r="M105" s="1143">
        <f t="shared" si="26"/>
        <v>19519.456182865641</v>
      </c>
      <c r="N105" s="370">
        <f t="shared" si="27"/>
        <v>10421.597240973506</v>
      </c>
      <c r="P105" s="375">
        <f t="shared" si="31"/>
        <v>2038</v>
      </c>
      <c r="Q105" s="401">
        <f>MAX(TREND(Q90:Q91,$P90:$P91,$P105),0)</f>
        <v>937.70000000000073</v>
      </c>
      <c r="R105" s="402">
        <f>MAX(TREND(R90:R91,$P90:$P91,$P105),0)</f>
        <v>922.5</v>
      </c>
      <c r="S105" s="725">
        <f>MAX(TREND(S90:S91,$P90:$P91,$P105),0)</f>
        <v>36.695290159798148</v>
      </c>
      <c r="T105" s="726">
        <f>MAX(TREND(T90:T91,$P90:$P91,$P105),0)</f>
        <v>47.045454545454547</v>
      </c>
      <c r="U105" s="1139">
        <f>IFERROR(MAX(1/S105-1/INDEX(ReliabilityModelGroup,O84,17), 0),0)</f>
        <v>0</v>
      </c>
      <c r="V105" s="1140">
        <f>IFERROR(MAX(1/T105-1/INDEX(ReliabilityModelGroup,O84,24), 0),0)</f>
        <v>0</v>
      </c>
      <c r="W105" s="1139">
        <f>IFERROR(AlphaSTD*MAX(AlphaTTI*(1+INDEX(ReliabilityModelGroup,O84,17)*U105)^BetaTTI-1,0)^BetaSTD*INDEX(ReliabilityModelGroup,O84,16)/INDEX(ReliabilityModelGroup,O84,17)*INDEX(RelAdjFactors,O84,15),0)</f>
        <v>1.1365273988465778E-3</v>
      </c>
      <c r="X105" s="1140">
        <f>IFERROR(AlphaSTD*MAX(AlphaTTI*(1+INDEX(ReliabilityModelGroup,O84,24)*V105)^BetaTTI-1,0)^BetaSTD*INDEX(ReliabilityModelGroup,O84,23)/INDEX(ReliabilityModelGroup,O84,24)*INDEX(RelAdjFactors,O84,15),0)</f>
        <v>6.4944422791233007E-4</v>
      </c>
      <c r="Y105" s="1156">
        <f>MIN(Q105,R105)*(W105-X105)*(INDEX(ReliabilityModelGroup,A84,12)*AnnualFactor)</f>
        <v>328.01398438639575</v>
      </c>
      <c r="Z105" s="1157">
        <f>IF(AND(R105&gt;Q105, Induced="Y"), (R105-Q105)*(W105-X105)*0.5*(INDEX(ReliabilityModelGroup,A84,12)*AnnualFactor), 0)</f>
        <v>0</v>
      </c>
      <c r="AA105" s="1143">
        <f t="shared" si="28"/>
        <v>12953.272243418769</v>
      </c>
      <c r="AB105" s="370">
        <f t="shared" si="29"/>
        <v>6915.857952645757</v>
      </c>
    </row>
    <row r="106" spans="2:28" x14ac:dyDescent="0.2">
      <c r="B106" s="375">
        <f t="shared" si="30"/>
        <v>2039</v>
      </c>
      <c r="C106" s="401">
        <f>MAX(TREND(C90:C91,$B90:$B91,$B106),0)</f>
        <v>3015.6166666666686</v>
      </c>
      <c r="D106" s="402">
        <f>MAX(TREND(D90:D91,$B90:$B91,$B106),0)</f>
        <v>2966.7708333333285</v>
      </c>
      <c r="E106" s="725">
        <f>MAX(TREND(E90:E91,$B90:$B91,$B106),0)</f>
        <v>36.653637510513036</v>
      </c>
      <c r="F106" s="726">
        <f>MAX(TREND(F90:F91,$B90:$B91,$B106),0)</f>
        <v>47.059659090909093</v>
      </c>
      <c r="G106" s="1139">
        <f>IFERROR(MAX(1/E106-1/INDEX(ReliabilityModelGroup,A84,17), 0),0)</f>
        <v>0</v>
      </c>
      <c r="H106" s="1140">
        <f>IFERROR(MAX(1/F106-1/INDEX(ReliabilityModelGroup,A84,24), 0),0)</f>
        <v>0</v>
      </c>
      <c r="I106" s="1139">
        <f>IFERROR(AlphaSTD*MAX(AlphaTTI*(1+INDEX(ReliabilityModelGroup,A84,17)*G106)^BetaTTI-1,0)^BetaSTD*INDEX(ReliabilityModelGroup,A84,16)/INDEX(ReliabilityModelGroup,A84,17)*INDEX(RelAdjFactors,A84,5),0)</f>
        <v>1.1365273988465778E-3</v>
      </c>
      <c r="J106" s="1140">
        <f>IFERROR(AlphaSTD*MAX(AlphaTTI*(1+INDEX(ReliabilityModelGroup,A84,24)*H106)^BetaTTI-1,0)^BetaSTD*INDEX(ReliabilityModelGroup,A84,23)/INDEX(ReliabilityModelGroup,A84,24)*INDEX(RelAdjFactors,A84,5),0)</f>
        <v>6.4944422791233007E-4</v>
      </c>
      <c r="K106" s="1156">
        <f>MIN(C106*INDEX(ReliabilityModelGroup,A84,18),D106*INDEX(ReliabilityModelGroup,A84,25))*(I106-J106)*(INDEX(ReliabilityModelGroup,A84,12)*AnnualFactor)</f>
        <v>1529.6003974139492</v>
      </c>
      <c r="L106" s="1157">
        <f>IF(AND(D106*INDEX(ReliabilityModelGroup,A84,25)&gt;C106*INDEX(ReliabilityModelGroup,A84,18), Induced="Y"), (D106*INDEX(ReliabilityModelGroup,A84,25)-C106*INDEX(ReliabilityModelGroup,A84,18))*(I106-J106)*0.5*(INDEX(ReliabilityModelGroup,A84,12)*AnnualFactor), 0)</f>
        <v>0</v>
      </c>
      <c r="M106" s="1143">
        <f t="shared" si="26"/>
        <v>19823.621150484789</v>
      </c>
      <c r="N106" s="370">
        <f t="shared" si="27"/>
        <v>10176.91673456018</v>
      </c>
      <c r="P106" s="375">
        <f t="shared" si="31"/>
        <v>2039</v>
      </c>
      <c r="Q106" s="401">
        <f>MAX(TREND(Q90:Q91,$P90:$P91,$P106),0)</f>
        <v>952.29999999999927</v>
      </c>
      <c r="R106" s="402">
        <f>MAX(TREND(R90:R91,$P90:$P91,$P106),0)</f>
        <v>936.875</v>
      </c>
      <c r="S106" s="725">
        <f>MAX(TREND(S90:S91,$P90:$P91,$P106),0)</f>
        <v>36.653637510513036</v>
      </c>
      <c r="T106" s="726">
        <f>MAX(TREND(T90:T91,$P90:$P91,$P106),0)</f>
        <v>47.059659090909093</v>
      </c>
      <c r="U106" s="1139">
        <f>IFERROR(MAX(1/S106-1/INDEX(ReliabilityModelGroup,O84,17), 0),0)</f>
        <v>0</v>
      </c>
      <c r="V106" s="1140">
        <f>IFERROR(MAX(1/T106-1/INDEX(ReliabilityModelGroup,O84,24), 0),0)</f>
        <v>0</v>
      </c>
      <c r="W106" s="1139">
        <f>IFERROR(AlphaSTD*MAX(AlphaTTI*(1+INDEX(ReliabilityModelGroup,O84,17)*U106)^BetaTTI-1,0)^BetaSTD*INDEX(ReliabilityModelGroup,O84,16)/INDEX(ReliabilityModelGroup,O84,17)*INDEX(RelAdjFactors,O84,15),0)</f>
        <v>1.1365273988465778E-3</v>
      </c>
      <c r="X106" s="1140">
        <f>IFERROR(AlphaSTD*MAX(AlphaTTI*(1+INDEX(ReliabilityModelGroup,O84,24)*V106)^BetaTTI-1,0)^BetaSTD*INDEX(ReliabilityModelGroup,O84,23)/INDEX(ReliabilityModelGroup,O84,24)*INDEX(RelAdjFactors,O84,15),0)</f>
        <v>6.4944422791233007E-4</v>
      </c>
      <c r="Y106" s="1156">
        <f>MIN(Q106,R106)*(W106-X106)*(INDEX(ReliabilityModelGroup,A84,12)*AnnualFactor)</f>
        <v>333.12531341138703</v>
      </c>
      <c r="Z106" s="1157">
        <f>IF(AND(R106&gt;Q106, Induced="Y"), (R106-Q106)*(W106-X106)*0.5*(INDEX(ReliabilityModelGroup,A84,12)*AnnualFactor), 0)</f>
        <v>0</v>
      </c>
      <c r="AA106" s="1143">
        <f t="shared" si="28"/>
        <v>13155.118626615675</v>
      </c>
      <c r="AB106" s="370">
        <f t="shared" si="29"/>
        <v>6753.4859489107712</v>
      </c>
    </row>
    <row r="107" spans="2:28" x14ac:dyDescent="0.2">
      <c r="B107" s="375">
        <f t="shared" si="30"/>
        <v>2040</v>
      </c>
      <c r="C107" s="401">
        <f>MAX(TREND(C90:C91,$B90:$B91,$B107),0)</f>
        <v>3061.8500000000058</v>
      </c>
      <c r="D107" s="402">
        <f>MAX(TREND(D90:D91,$B90:$B91,$B107),0)</f>
        <v>3012.291666666657</v>
      </c>
      <c r="E107" s="725">
        <f>MAX(TREND(E90:E91,$B90:$B91,$B107),0)</f>
        <v>36.611984861227924</v>
      </c>
      <c r="F107" s="726">
        <f>MAX(TREND(F90:F91,$B90:$B91,$B107),0)</f>
        <v>47.073863636363633</v>
      </c>
      <c r="G107" s="1139">
        <f>IFERROR(MAX(1/E107-1/INDEX(ReliabilityModelGroup,A84,17), 0),0)</f>
        <v>0</v>
      </c>
      <c r="H107" s="1140">
        <f>IFERROR(MAX(1/F107-1/INDEX(ReliabilityModelGroup,A84,24), 0),0)</f>
        <v>0</v>
      </c>
      <c r="I107" s="1139">
        <f>IFERROR(AlphaSTD*MAX(AlphaTTI*(1+INDEX(ReliabilityModelGroup,A84,17)*G107)^BetaTTI-1,0)^BetaSTD*INDEX(ReliabilityModelGroup,A84,16)/INDEX(ReliabilityModelGroup,A84,17)*INDEX(RelAdjFactors,A84,5),0)</f>
        <v>1.1365273988465778E-3</v>
      </c>
      <c r="J107" s="1140">
        <f>IFERROR(AlphaSTD*MAX(AlphaTTI*(1+INDEX(ReliabilityModelGroup,A84,24)*H107)^BetaTTI-1,0)^BetaSTD*INDEX(ReliabilityModelGroup,A84,23)/INDEX(ReliabilityModelGroup,A84,24)*INDEX(RelAdjFactors,A84,5),0)</f>
        <v>6.4944422791233007E-4</v>
      </c>
      <c r="K107" s="1156">
        <f>MIN(C107*INDEX(ReliabilityModelGroup,A84,18),D107*INDEX(ReliabilityModelGroup,A84,25))*(I107-J107)*(INDEX(ReliabilityModelGroup,A84,12)*AnnualFactor)</f>
        <v>1553.0699165203653</v>
      </c>
      <c r="L107" s="1157">
        <f>IF(AND(D107*INDEX(ReliabilityModelGroup,A84,25)&gt;C107*INDEX(ReliabilityModelGroup,A84,18), Induced="Y"), (D107*INDEX(ReliabilityModelGroup,A84,25)-C107*INDEX(ReliabilityModelGroup,A84,18))*(I107-J107)*0.5*(INDEX(ReliabilityModelGroup,A84,12)*AnnualFactor), 0)</f>
        <v>0</v>
      </c>
      <c r="M107" s="1143">
        <f t="shared" si="26"/>
        <v>20127.786118103937</v>
      </c>
      <c r="N107" s="370">
        <f t="shared" si="27"/>
        <v>9935.6412415973264</v>
      </c>
      <c r="P107" s="375">
        <f t="shared" si="31"/>
        <v>2040</v>
      </c>
      <c r="Q107" s="401">
        <f>MAX(TREND(Q90:Q91,$P90:$P91,$P107),0)</f>
        <v>966.90000000000146</v>
      </c>
      <c r="R107" s="402">
        <f>MAX(TREND(R90:R91,$P90:$P91,$P107),0)</f>
        <v>951.25</v>
      </c>
      <c r="S107" s="725">
        <f>MAX(TREND(S90:S91,$P90:$P91,$P107),0)</f>
        <v>36.611984861227924</v>
      </c>
      <c r="T107" s="726">
        <f>MAX(TREND(T90:T91,$P90:$P91,$P107),0)</f>
        <v>47.073863636363633</v>
      </c>
      <c r="U107" s="1139">
        <f>IFERROR(MAX(1/S107-1/INDEX(ReliabilityModelGroup,O84,17), 0),0)</f>
        <v>0</v>
      </c>
      <c r="V107" s="1140">
        <f>IFERROR(MAX(1/T107-1/INDEX(ReliabilityModelGroup,O84,24), 0),0)</f>
        <v>0</v>
      </c>
      <c r="W107" s="1139">
        <f>IFERROR(AlphaSTD*MAX(AlphaTTI*(1+INDEX(ReliabilityModelGroup,O84,17)*U107)^BetaTTI-1,0)^BetaSTD*INDEX(ReliabilityModelGroup,O84,16)/INDEX(ReliabilityModelGroup,O84,17)*INDEX(RelAdjFactors,O84,15),0)</f>
        <v>1.1365273988465778E-3</v>
      </c>
      <c r="X107" s="1140">
        <f>IFERROR(AlphaSTD*MAX(AlphaTTI*(1+INDEX(ReliabilityModelGroup,O84,24)*V107)^BetaTTI-1,0)^BetaSTD*INDEX(ReliabilityModelGroup,O84,23)/INDEX(ReliabilityModelGroup,O84,24)*INDEX(RelAdjFactors,O84,15),0)</f>
        <v>6.4944422791233007E-4</v>
      </c>
      <c r="Y107" s="1156">
        <f>MIN(Q107,R107)*(W107-X107)*(INDEX(ReliabilityModelGroup,A84,12)*AnnualFactor)</f>
        <v>338.23664243637825</v>
      </c>
      <c r="Z107" s="1157">
        <f>IF(AND(R107&gt;Q107, Induced="Y"), (R107-Q107)*(W107-X107)*0.5*(INDEX(ReliabilityModelGroup,A84,12)*AnnualFactor), 0)</f>
        <v>0</v>
      </c>
      <c r="AA107" s="1143">
        <f t="shared" si="28"/>
        <v>13356.965009812577</v>
      </c>
      <c r="AB107" s="370">
        <f t="shared" si="29"/>
        <v>6593.3735402076964</v>
      </c>
    </row>
    <row r="108" spans="2:28" x14ac:dyDescent="0.2">
      <c r="B108" s="375">
        <f t="shared" si="30"/>
        <v>2041</v>
      </c>
      <c r="C108" s="401">
        <f>MAX(TREND(C90:C91,$B90:$B91,$B108),0)</f>
        <v>3108.083333333343</v>
      </c>
      <c r="D108" s="402">
        <f>MAX(TREND(D90:D91,$B90:$B91,$B108),0)</f>
        <v>3057.8125</v>
      </c>
      <c r="E108" s="725">
        <f>MAX(TREND(E90:E91,$B90:$B91,$B108),0)</f>
        <v>36.570332211942812</v>
      </c>
      <c r="F108" s="726">
        <f>MAX(TREND(F90:F91,$B90:$B91,$B108),0)</f>
        <v>47.08806818181818</v>
      </c>
      <c r="G108" s="1139">
        <f>IFERROR(MAX(1/E108-1/INDEX(ReliabilityModelGroup,A84,17), 0),0)</f>
        <v>0</v>
      </c>
      <c r="H108" s="1140">
        <f>IFERROR(MAX(1/F108-1/INDEX(ReliabilityModelGroup,A84,24), 0),0)</f>
        <v>0</v>
      </c>
      <c r="I108" s="1139">
        <f>IFERROR(AlphaSTD*MAX(AlphaTTI*(1+INDEX(ReliabilityModelGroup,A84,17)*G108)^BetaTTI-1,0)^BetaSTD*INDEX(ReliabilityModelGroup,A84,16)/INDEX(ReliabilityModelGroup,A84,17)*INDEX(RelAdjFactors,A84,5),0)</f>
        <v>1.1365273988465778E-3</v>
      </c>
      <c r="J108" s="1140">
        <f>IFERROR(AlphaSTD*MAX(AlphaTTI*(1+INDEX(ReliabilityModelGroup,A84,24)*H108)^BetaTTI-1,0)^BetaSTD*INDEX(ReliabilityModelGroup,A84,23)/INDEX(ReliabilityModelGroup,A84,24)*INDEX(RelAdjFactors,A84,5),0)</f>
        <v>6.4944422791233007E-4</v>
      </c>
      <c r="K108" s="1156">
        <f>MIN(C108*INDEX(ReliabilityModelGroup,A84,18),D108*INDEX(ReliabilityModelGroup,A84,25))*(I108-J108)*(INDEX(ReliabilityModelGroup,A84,12)*AnnualFactor)</f>
        <v>1576.5394356267884</v>
      </c>
      <c r="L108" s="1157">
        <f>IF(AND(D108*INDEX(ReliabilityModelGroup,A84,25)&gt;C108*INDEX(ReliabilityModelGroup,A84,18), Induced="Y"), (D108*INDEX(ReliabilityModelGroup,A84,25)-C108*INDEX(ReliabilityModelGroup,A84,18))*(I108-J108)*0.5*(INDEX(ReliabilityModelGroup,A84,12)*AnnualFactor), 0)</f>
        <v>0</v>
      </c>
      <c r="M108" s="1143">
        <f t="shared" si="26"/>
        <v>20431.951085723183</v>
      </c>
      <c r="N108" s="370">
        <f t="shared" si="27"/>
        <v>9697.8707913852722</v>
      </c>
      <c r="P108" s="375">
        <f t="shared" si="31"/>
        <v>2041</v>
      </c>
      <c r="Q108" s="401">
        <f>MAX(TREND(Q90:Q91,$P90:$P91,$P108),0)</f>
        <v>981.5</v>
      </c>
      <c r="R108" s="402">
        <f>MAX(TREND(R90:R91,$P90:$P91,$P108),0)</f>
        <v>965.625</v>
      </c>
      <c r="S108" s="725">
        <f>MAX(TREND(S90:S91,$P90:$P91,$P108),0)</f>
        <v>36.570332211942812</v>
      </c>
      <c r="T108" s="726">
        <f>MAX(TREND(T90:T91,$P90:$P91,$P108),0)</f>
        <v>47.08806818181818</v>
      </c>
      <c r="U108" s="1139">
        <f>IFERROR(MAX(1/S108-1/INDEX(ReliabilityModelGroup,O84,17), 0),0)</f>
        <v>0</v>
      </c>
      <c r="V108" s="1140">
        <f>IFERROR(MAX(1/T108-1/INDEX(ReliabilityModelGroup,O84,24), 0),0)</f>
        <v>0</v>
      </c>
      <c r="W108" s="1139">
        <f>IFERROR(AlphaSTD*MAX(AlphaTTI*(1+INDEX(ReliabilityModelGroup,O84,17)*U108)^BetaTTI-1,0)^BetaSTD*INDEX(ReliabilityModelGroup,O84,16)/INDEX(ReliabilityModelGroup,O84,17)*INDEX(RelAdjFactors,O84,15),0)</f>
        <v>1.1365273988465778E-3</v>
      </c>
      <c r="X108" s="1140">
        <f>IFERROR(AlphaSTD*MAX(AlphaTTI*(1+INDEX(ReliabilityModelGroup,O84,24)*V108)^BetaTTI-1,0)^BetaSTD*INDEX(ReliabilityModelGroup,O84,23)/INDEX(ReliabilityModelGroup,O84,24)*INDEX(RelAdjFactors,O84,15),0)</f>
        <v>6.4944422791233007E-4</v>
      </c>
      <c r="Y108" s="1156">
        <f>MIN(Q108,R108)*(W108-X108)*(INDEX(ReliabilityModelGroup,A84,12)*AnnualFactor)</f>
        <v>343.34797146136953</v>
      </c>
      <c r="Z108" s="1157">
        <f>IF(AND(R108&gt;Q108, Induced="Y"), (R108-Q108)*(W108-X108)*0.5*(INDEX(ReliabilityModelGroup,A84,12)*AnnualFactor), 0)</f>
        <v>0</v>
      </c>
      <c r="AA108" s="1143">
        <f t="shared" si="28"/>
        <v>13558.811393009484</v>
      </c>
      <c r="AB108" s="370">
        <f t="shared" si="29"/>
        <v>6435.5871068058805</v>
      </c>
    </row>
    <row r="109" spans="2:28" x14ac:dyDescent="0.2">
      <c r="B109" s="375">
        <f t="shared" si="30"/>
        <v>2042</v>
      </c>
      <c r="C109" s="401">
        <f>MAX(TREND(C90:C91,$B90:$B91,$B109),0)</f>
        <v>3154.3166666666802</v>
      </c>
      <c r="D109" s="402">
        <f>MAX(TREND(D90:D91,$B90:$B91,$B109),0)</f>
        <v>3103.3333333333285</v>
      </c>
      <c r="E109" s="725">
        <f>MAX(TREND(E90:E91,$B90:$B91,$B109),0)</f>
        <v>36.5286795626577</v>
      </c>
      <c r="F109" s="726">
        <f>MAX(TREND(F90:F91,$B90:$B91,$B109),0)</f>
        <v>47.10227272727272</v>
      </c>
      <c r="G109" s="1139">
        <f>IFERROR(MAX(1/E109-1/INDEX(ReliabilityModelGroup,A84,17), 0),0)</f>
        <v>0</v>
      </c>
      <c r="H109" s="1140">
        <f>IFERROR(MAX(1/F109-1/INDEX(ReliabilityModelGroup,A84,24), 0),0)</f>
        <v>0</v>
      </c>
      <c r="I109" s="1139">
        <f>IFERROR(AlphaSTD*MAX(AlphaTTI*(1+INDEX(ReliabilityModelGroup,A84,17)*G109)^BetaTTI-1,0)^BetaSTD*INDEX(ReliabilityModelGroup,A84,16)/INDEX(ReliabilityModelGroup,A84,17)*INDEX(RelAdjFactors,A84,5),0)</f>
        <v>1.1365273988465778E-3</v>
      </c>
      <c r="J109" s="1140">
        <f>IFERROR(AlphaSTD*MAX(AlphaTTI*(1+INDEX(ReliabilityModelGroup,A84,24)*H109)^BetaTTI-1,0)^BetaSTD*INDEX(ReliabilityModelGroup,A84,23)/INDEX(ReliabilityModelGroup,A84,24)*INDEX(RelAdjFactors,A84,5),0)</f>
        <v>6.4944422791233007E-4</v>
      </c>
      <c r="K109" s="1156">
        <f>MIN(C109*INDEX(ReliabilityModelGroup,A84,18),D109*INDEX(ReliabilityModelGroup,A84,25))*(I109-J109)*(INDEX(ReliabilityModelGroup,A84,12)*AnnualFactor)</f>
        <v>1600.0089547332041</v>
      </c>
      <c r="L109" s="1157">
        <f>IF(AND(D109*INDEX(ReliabilityModelGroup,A84,25)&gt;C109*INDEX(ReliabilityModelGroup,A84,18), Induced="Y"), (D109*INDEX(ReliabilityModelGroup,A84,25)-C109*INDEX(ReliabilityModelGroup,A84,18))*(I109-J109)*0.5*(INDEX(ReliabilityModelGroup,A84,12)*AnnualFactor), 0)</f>
        <v>0</v>
      </c>
      <c r="M109" s="1143">
        <f t="shared" si="26"/>
        <v>20736.116053342328</v>
      </c>
      <c r="N109" s="370">
        <f t="shared" si="27"/>
        <v>9463.6926816604937</v>
      </c>
      <c r="P109" s="375">
        <f t="shared" si="31"/>
        <v>2042</v>
      </c>
      <c r="Q109" s="401">
        <f>MAX(TREND(Q90:Q91,$P90:$P91,$P109),0)</f>
        <v>996.10000000000218</v>
      </c>
      <c r="R109" s="402">
        <f>MAX(TREND(R90:R91,$P90:$P91,$P109),0)</f>
        <v>980</v>
      </c>
      <c r="S109" s="725">
        <f>MAX(TREND(S90:S91,$P90:$P91,$P109),0)</f>
        <v>36.5286795626577</v>
      </c>
      <c r="T109" s="726">
        <f>MAX(TREND(T90:T91,$P90:$P91,$P109),0)</f>
        <v>47.10227272727272</v>
      </c>
      <c r="U109" s="1139">
        <f>IFERROR(MAX(1/S109-1/INDEX(ReliabilityModelGroup,O84,17), 0),0)</f>
        <v>0</v>
      </c>
      <c r="V109" s="1140">
        <f>IFERROR(MAX(1/T109-1/INDEX(ReliabilityModelGroup,O84,24), 0),0)</f>
        <v>0</v>
      </c>
      <c r="W109" s="1139">
        <f>IFERROR(AlphaSTD*MAX(AlphaTTI*(1+INDEX(ReliabilityModelGroup,O84,17)*U109)^BetaTTI-1,0)^BetaSTD*INDEX(ReliabilityModelGroup,O84,16)/INDEX(ReliabilityModelGroup,O84,17)*INDEX(RelAdjFactors,O84,15),0)</f>
        <v>1.1365273988465778E-3</v>
      </c>
      <c r="X109" s="1140">
        <f>IFERROR(AlphaSTD*MAX(AlphaTTI*(1+INDEX(ReliabilityModelGroup,O84,24)*V109)^BetaTTI-1,0)^BetaSTD*INDEX(ReliabilityModelGroup,O84,23)/INDEX(ReliabilityModelGroup,O84,24)*INDEX(RelAdjFactors,O84,15),0)</f>
        <v>6.4944422791233007E-4</v>
      </c>
      <c r="Y109" s="1156">
        <f>MIN(Q109,R109)*(W109-X109)*(INDEX(ReliabilityModelGroup,A84,12)*AnnualFactor)</f>
        <v>348.4593004863608</v>
      </c>
      <c r="Z109" s="1157">
        <f>IF(AND(R109&gt;Q109, Induced="Y"), (R109-Q109)*(W109-X109)*0.5*(INDEX(ReliabilityModelGroup,A84,12)*AnnualFactor), 0)</f>
        <v>0</v>
      </c>
      <c r="AA109" s="1143">
        <f t="shared" si="28"/>
        <v>13760.657776206388</v>
      </c>
      <c r="AB109" s="370">
        <f t="shared" si="29"/>
        <v>6280.1845802038961</v>
      </c>
    </row>
    <row r="110" spans="2:28" x14ac:dyDescent="0.2">
      <c r="B110" s="375">
        <f t="shared" si="30"/>
        <v>2043</v>
      </c>
      <c r="C110" s="401">
        <f>MAX(TREND(C90:C91,$B90:$B91,$B110),0)</f>
        <v>3200.5500000000029</v>
      </c>
      <c r="D110" s="402">
        <f>MAX(TREND(D90:D91,$B90:$B91,$B110),0)</f>
        <v>3148.854166666657</v>
      </c>
      <c r="E110" s="725">
        <f>MAX(TREND(E90:E91,$B90:$B91,$B110),0)</f>
        <v>36.487026913372588</v>
      </c>
      <c r="F110" s="726">
        <f>MAX(TREND(F90:F91,$B90:$B91,$B110),0)</f>
        <v>47.116477272727266</v>
      </c>
      <c r="G110" s="1139">
        <f>IFERROR(MAX(1/E110-1/INDEX(ReliabilityModelGroup,A84,17), 0),0)</f>
        <v>0</v>
      </c>
      <c r="H110" s="1140">
        <f>IFERROR(MAX(1/F110-1/INDEX(ReliabilityModelGroup,A84,24), 0),0)</f>
        <v>0</v>
      </c>
      <c r="I110" s="1139">
        <f>IFERROR(AlphaSTD*MAX(AlphaTTI*(1+INDEX(ReliabilityModelGroup,A84,17)*G110)^BetaTTI-1,0)^BetaSTD*INDEX(ReliabilityModelGroup,A84,16)/INDEX(ReliabilityModelGroup,A84,17)*INDEX(RelAdjFactors,A84,5),0)</f>
        <v>1.1365273988465778E-3</v>
      </c>
      <c r="J110" s="1140">
        <f>IFERROR(AlphaSTD*MAX(AlphaTTI*(1+INDEX(ReliabilityModelGroup,A84,24)*H110)^BetaTTI-1,0)^BetaSTD*INDEX(ReliabilityModelGroup,A84,23)/INDEX(ReliabilityModelGroup,A84,24)*INDEX(RelAdjFactors,A84,5),0)</f>
        <v>6.4944422791233007E-4</v>
      </c>
      <c r="K110" s="1156">
        <f>MIN(C110*INDEX(ReliabilityModelGroup,A84,18),D110*INDEX(ReliabilityModelGroup,A84,25))*(I110-J110)*(INDEX(ReliabilityModelGroup,A84,12)*AnnualFactor)</f>
        <v>1623.4784738396197</v>
      </c>
      <c r="L110" s="1157">
        <f>IF(AND(D110*INDEX(ReliabilityModelGroup,A84,25)&gt;C110*INDEX(ReliabilityModelGroup,A84,18), Induced="Y"), (D110*INDEX(ReliabilityModelGroup,A84,25)-C110*INDEX(ReliabilityModelGroup,A84,18))*(I110-J110)*0.5*(INDEX(ReliabilityModelGroup,A84,12)*AnnualFactor), 0)</f>
        <v>0</v>
      </c>
      <c r="M110" s="1143">
        <f t="shared" si="26"/>
        <v>21040.281020961476</v>
      </c>
      <c r="N110" s="370">
        <f t="shared" si="27"/>
        <v>9233.1823099746252</v>
      </c>
      <c r="P110" s="375">
        <f t="shared" si="31"/>
        <v>2043</v>
      </c>
      <c r="Q110" s="401">
        <f>MAX(TREND(Q90:Q91,$P90:$P91,$P110),0)</f>
        <v>1010.7000000000007</v>
      </c>
      <c r="R110" s="402">
        <f>MAX(TREND(R90:R91,$P90:$P91,$P110),0)</f>
        <v>994.375</v>
      </c>
      <c r="S110" s="725">
        <f>MAX(TREND(S90:S91,$P90:$P91,$P110),0)</f>
        <v>36.487026913372588</v>
      </c>
      <c r="T110" s="726">
        <f>MAX(TREND(T90:T91,$P90:$P91,$P110),0)</f>
        <v>47.116477272727266</v>
      </c>
      <c r="U110" s="1139">
        <f>IFERROR(MAX(1/S110-1/INDEX(ReliabilityModelGroup,O84,17), 0),0)</f>
        <v>0</v>
      </c>
      <c r="V110" s="1140">
        <f>IFERROR(MAX(1/T110-1/INDEX(ReliabilityModelGroup,O84,24), 0),0)</f>
        <v>0</v>
      </c>
      <c r="W110" s="1139">
        <f>IFERROR(AlphaSTD*MAX(AlphaTTI*(1+INDEX(ReliabilityModelGroup,O84,17)*U110)^BetaTTI-1,0)^BetaSTD*INDEX(ReliabilityModelGroup,O84,16)/INDEX(ReliabilityModelGroup,O84,17)*INDEX(RelAdjFactors,O84,15),0)</f>
        <v>1.1365273988465778E-3</v>
      </c>
      <c r="X110" s="1140">
        <f>IFERROR(AlphaSTD*MAX(AlphaTTI*(1+INDEX(ReliabilityModelGroup,O84,24)*V110)^BetaTTI-1,0)^BetaSTD*INDEX(ReliabilityModelGroup,O84,23)/INDEX(ReliabilityModelGroup,O84,24)*INDEX(RelAdjFactors,O84,15),0)</f>
        <v>6.4944422791233007E-4</v>
      </c>
      <c r="Y110" s="1156">
        <f>MIN(Q110,R110)*(W110-X110)*(INDEX(ReliabilityModelGroup,A84,12)*AnnualFactor)</f>
        <v>353.57062951135208</v>
      </c>
      <c r="Z110" s="1157">
        <f>IF(AND(R110&gt;Q110, Induced="Y"), (R110-Q110)*(W110-X110)*0.5*(INDEX(ReliabilityModelGroup,A84,12)*AnnualFactor), 0)</f>
        <v>0</v>
      </c>
      <c r="AA110" s="1143">
        <f t="shared" si="28"/>
        <v>13962.504159403295</v>
      </c>
      <c r="AB110" s="370">
        <f t="shared" si="29"/>
        <v>6127.2159948393337</v>
      </c>
    </row>
    <row r="111" spans="2:28" x14ac:dyDescent="0.2">
      <c r="B111" s="375">
        <f t="shared" si="30"/>
        <v>2044</v>
      </c>
      <c r="C111" s="401">
        <f>MAX(TREND(C90:C91,$B90:$B91,$B111),0)</f>
        <v>3246.7833333333401</v>
      </c>
      <c r="D111" s="402">
        <f>MAX(TREND(D90:D91,$B90:$B91,$B111),0)</f>
        <v>3194.375</v>
      </c>
      <c r="E111" s="725">
        <f>MAX(TREND(E90:E91,$B90:$B91,$B111),0)</f>
        <v>36.445374264087462</v>
      </c>
      <c r="F111" s="726">
        <f>MAX(TREND(F90:F91,$B90:$B91,$B111),0)</f>
        <v>47.130681818181813</v>
      </c>
      <c r="G111" s="1139">
        <f>IFERROR(MAX(1/E111-1/INDEX(ReliabilityModelGroup,A84,17), 0),0)</f>
        <v>0</v>
      </c>
      <c r="H111" s="1140">
        <f>IFERROR(MAX(1/F111-1/INDEX(ReliabilityModelGroup,A84,24), 0),0)</f>
        <v>0</v>
      </c>
      <c r="I111" s="1139">
        <f>IFERROR(AlphaSTD*MAX(AlphaTTI*(1+INDEX(ReliabilityModelGroup,A84,17)*G111)^BetaTTI-1,0)^BetaSTD*INDEX(ReliabilityModelGroup,A84,16)/INDEX(ReliabilityModelGroup,A84,17)*INDEX(RelAdjFactors,A84,5),0)</f>
        <v>1.1365273988465778E-3</v>
      </c>
      <c r="J111" s="1140">
        <f>IFERROR(AlphaSTD*MAX(AlphaTTI*(1+INDEX(ReliabilityModelGroup,A84,24)*H111)^BetaTTI-1,0)^BetaSTD*INDEX(ReliabilityModelGroup,A84,23)/INDEX(ReliabilityModelGroup,A84,24)*INDEX(RelAdjFactors,A84,5),0)</f>
        <v>6.4944422791233007E-4</v>
      </c>
      <c r="K111" s="1156">
        <f>MIN(C111*INDEX(ReliabilityModelGroup,A84,18),D111*INDEX(ReliabilityModelGroup,A84,25))*(I111-J111)*(INDEX(ReliabilityModelGroup,A84,12)*AnnualFactor)</f>
        <v>1646.9479929460429</v>
      </c>
      <c r="L111" s="1157">
        <f>IF(AND(D111*INDEX(ReliabilityModelGroup,A84,25)&gt;C111*INDEX(ReliabilityModelGroup,A84,18), Induced="Y"), (D111*INDEX(ReliabilityModelGroup,A84,25)-C111*INDEX(ReliabilityModelGroup,A84,18))*(I111-J111)*0.5*(INDEX(ReliabilityModelGroup,A84,12)*AnnualFactor), 0)</f>
        <v>0</v>
      </c>
      <c r="M111" s="1143">
        <f t="shared" si="26"/>
        <v>21344.445988580719</v>
      </c>
      <c r="N111" s="370">
        <f t="shared" si="27"/>
        <v>9006.4039599544849</v>
      </c>
      <c r="P111" s="375">
        <f t="shared" si="31"/>
        <v>2044</v>
      </c>
      <c r="Q111" s="401">
        <f>MAX(TREND(Q90:Q91,$P90:$P91,$P111),0)</f>
        <v>1025.2999999999993</v>
      </c>
      <c r="R111" s="402">
        <f>MAX(TREND(R90:R91,$P90:$P91,$P111),0)</f>
        <v>1008.75</v>
      </c>
      <c r="S111" s="725">
        <f>MAX(TREND(S90:S91,$P90:$P91,$P111),0)</f>
        <v>36.445374264087462</v>
      </c>
      <c r="T111" s="726">
        <f>MAX(TREND(T90:T91,$P90:$P91,$P111),0)</f>
        <v>47.130681818181813</v>
      </c>
      <c r="U111" s="1139">
        <f>IFERROR(MAX(1/S111-1/INDEX(ReliabilityModelGroup,O84,17), 0),0)</f>
        <v>0</v>
      </c>
      <c r="V111" s="1140">
        <f>IFERROR(MAX(1/T111-1/INDEX(ReliabilityModelGroup,O84,24), 0),0)</f>
        <v>0</v>
      </c>
      <c r="W111" s="1139">
        <f>IFERROR(AlphaSTD*MAX(AlphaTTI*(1+INDEX(ReliabilityModelGroup,O84,17)*U111)^BetaTTI-1,0)^BetaSTD*INDEX(ReliabilityModelGroup,O84,16)/INDEX(ReliabilityModelGroup,O84,17)*INDEX(RelAdjFactors,O84,15),0)</f>
        <v>1.1365273988465778E-3</v>
      </c>
      <c r="X111" s="1140">
        <f>IFERROR(AlphaSTD*MAX(AlphaTTI*(1+INDEX(ReliabilityModelGroup,O84,24)*V111)^BetaTTI-1,0)^BetaSTD*INDEX(ReliabilityModelGroup,O84,23)/INDEX(ReliabilityModelGroup,O84,24)*INDEX(RelAdjFactors,O84,15),0)</f>
        <v>6.4944422791233007E-4</v>
      </c>
      <c r="Y111" s="1156">
        <f>MIN(Q111,R111)*(W111-X111)*(INDEX(ReliabilityModelGroup,A84,12)*AnnualFactor)</f>
        <v>358.6819585363433</v>
      </c>
      <c r="Z111" s="1157">
        <f>IF(AND(R111&gt;Q111, Induced="Y"), (R111-Q111)*(W111-X111)*0.5*(INDEX(ReliabilityModelGroup,A84,12)*AnnualFactor), 0)</f>
        <v>0</v>
      </c>
      <c r="AA111" s="1143">
        <f t="shared" si="28"/>
        <v>14164.350542600198</v>
      </c>
      <c r="AB111" s="370">
        <f t="shared" si="29"/>
        <v>5976.7240098575421</v>
      </c>
    </row>
    <row r="112" spans="2:28" x14ac:dyDescent="0.2">
      <c r="B112" s="375">
        <f t="shared" si="30"/>
        <v>2045</v>
      </c>
      <c r="C112" s="401">
        <f>MAX(TREND(C90:C91,$B90:$B91,$B112),0)</f>
        <v>3293.0166666666773</v>
      </c>
      <c r="D112" s="402">
        <f>MAX(TREND(D90:D91,$B90:$B91,$B112),0)</f>
        <v>3239.8958333333285</v>
      </c>
      <c r="E112" s="725">
        <f>MAX(TREND(E90:E91,$B90:$B91,$B112),0)</f>
        <v>36.40372161480235</v>
      </c>
      <c r="F112" s="726">
        <f>MAX(TREND(F90:F91,$B90:$B91,$B112),0)</f>
        <v>47.14488636363636</v>
      </c>
      <c r="G112" s="1139">
        <f>IFERROR(MAX(1/E112-1/INDEX(ReliabilityModelGroup,A84,17), 0),0)</f>
        <v>0</v>
      </c>
      <c r="H112" s="1140">
        <f>IFERROR(MAX(1/F112-1/INDEX(ReliabilityModelGroup,A84,24), 0),0)</f>
        <v>0</v>
      </c>
      <c r="I112" s="1139">
        <f>IFERROR(AlphaSTD*MAX(AlphaTTI*(1+INDEX(ReliabilityModelGroup,A84,17)*G112)^BetaTTI-1,0)^BetaSTD*INDEX(ReliabilityModelGroup,A84,16)/INDEX(ReliabilityModelGroup,A84,17)*INDEX(RelAdjFactors,A84,5),0)</f>
        <v>1.1365273988465778E-3</v>
      </c>
      <c r="J112" s="1140">
        <f>IFERROR(AlphaSTD*MAX(AlphaTTI*(1+INDEX(ReliabilityModelGroup,A84,24)*H112)^BetaTTI-1,0)^BetaSTD*INDEX(ReliabilityModelGroup,A84,23)/INDEX(ReliabilityModelGroup,A84,24)*INDEX(RelAdjFactors,A84,5),0)</f>
        <v>6.4944422791233007E-4</v>
      </c>
      <c r="K112" s="1156">
        <f>MIN(C112*INDEX(ReliabilityModelGroup,A84,18),D112*INDEX(ReliabilityModelGroup,A84,25))*(I112-J112)*(INDEX(ReliabilityModelGroup,A84,12)*AnnualFactor)</f>
        <v>1670.4175120524587</v>
      </c>
      <c r="L112" s="1157">
        <f>IF(AND(D112*INDEX(ReliabilityModelGroup,A84,25)&gt;C112*INDEX(ReliabilityModelGroup,A84,18), Induced="Y"), (D112*INDEX(ReliabilityModelGroup,A84,25)-C112*INDEX(ReliabilityModelGroup,A84,18))*(I112-J112)*0.5*(INDEX(ReliabilityModelGroup,A84,12)*AnnualFactor), 0)</f>
        <v>0</v>
      </c>
      <c r="M112" s="1143">
        <f t="shared" si="26"/>
        <v>21648.610956199871</v>
      </c>
      <c r="N112" s="370">
        <f t="shared" si="27"/>
        <v>8783.4115446844171</v>
      </c>
      <c r="P112" s="375">
        <f t="shared" si="31"/>
        <v>2045</v>
      </c>
      <c r="Q112" s="401">
        <f>MAX(TREND(Q90:Q91,$P90:$P91,$P112),0)</f>
        <v>1039.9000000000015</v>
      </c>
      <c r="R112" s="402">
        <f>MAX(TREND(R90:R91,$P90:$P91,$P112),0)</f>
        <v>1023.125</v>
      </c>
      <c r="S112" s="725">
        <f>MAX(TREND(S90:S91,$P90:$P91,$P112),0)</f>
        <v>36.40372161480235</v>
      </c>
      <c r="T112" s="726">
        <f>MAX(TREND(T90:T91,$P90:$P91,$P112),0)</f>
        <v>47.14488636363636</v>
      </c>
      <c r="U112" s="1139">
        <f>IFERROR(MAX(1/S112-1/INDEX(ReliabilityModelGroup,O84,17), 0),0)</f>
        <v>0</v>
      </c>
      <c r="V112" s="1140">
        <f>IFERROR(MAX(1/T112-1/INDEX(ReliabilityModelGroup,O84,24), 0),0)</f>
        <v>0</v>
      </c>
      <c r="W112" s="1139">
        <f>IFERROR(AlphaSTD*MAX(AlphaTTI*(1+INDEX(ReliabilityModelGroup,O84,17)*U112)^BetaTTI-1,0)^BetaSTD*INDEX(ReliabilityModelGroup,O84,16)/INDEX(ReliabilityModelGroup,O84,17)*INDEX(RelAdjFactors,O84,15),0)</f>
        <v>1.1365273988465778E-3</v>
      </c>
      <c r="X112" s="1140">
        <f>IFERROR(AlphaSTD*MAX(AlphaTTI*(1+INDEX(ReliabilityModelGroup,O84,24)*V112)^BetaTTI-1,0)^BetaSTD*INDEX(ReliabilityModelGroup,O84,23)/INDEX(ReliabilityModelGroup,O84,24)*INDEX(RelAdjFactors,O84,15),0)</f>
        <v>6.4944422791233007E-4</v>
      </c>
      <c r="Y112" s="1156">
        <f>MIN(Q112,R112)*(W112-X112)*(INDEX(ReliabilityModelGroup,A84,12)*AnnualFactor)</f>
        <v>363.79328756133458</v>
      </c>
      <c r="Z112" s="1157">
        <f>IF(AND(R112&gt;Q112, Induced="Y"), (R112-Q112)*(W112-X112)*0.5*(INDEX(ReliabilityModelGroup,A84,12)*AnnualFactor), 0)</f>
        <v>0</v>
      </c>
      <c r="AA112" s="1143">
        <f t="shared" si="28"/>
        <v>14366.196925797103</v>
      </c>
      <c r="AB112" s="370">
        <f t="shared" si="29"/>
        <v>5828.7444024263641</v>
      </c>
    </row>
    <row r="113" spans="1:28" x14ac:dyDescent="0.2">
      <c r="B113" s="1148"/>
      <c r="C113" s="386"/>
      <c r="D113" s="386"/>
      <c r="E113" s="386"/>
      <c r="F113" s="386"/>
      <c r="G113" s="386"/>
      <c r="H113" s="386"/>
      <c r="I113" s="1150"/>
      <c r="J113" s="1150"/>
      <c r="K113" s="1150"/>
      <c r="L113" s="1150"/>
      <c r="M113" s="1150"/>
      <c r="N113" s="389"/>
      <c r="P113" s="1148"/>
      <c r="Q113" s="386"/>
      <c r="R113" s="386"/>
      <c r="S113" s="386"/>
      <c r="T113" s="386"/>
      <c r="U113" s="386"/>
      <c r="V113" s="386"/>
      <c r="W113" s="1150"/>
      <c r="X113" s="1150"/>
      <c r="Y113" s="1150"/>
      <c r="Z113" s="1150"/>
      <c r="AA113" s="1150"/>
      <c r="AB113" s="389"/>
    </row>
    <row r="114" spans="1:28" x14ac:dyDescent="0.2">
      <c r="B114" s="1158" t="s">
        <v>56</v>
      </c>
      <c r="C114" s="1159"/>
      <c r="D114" s="1159"/>
      <c r="E114" s="1159"/>
      <c r="F114" s="1159"/>
      <c r="G114" s="1159"/>
      <c r="H114" s="1159"/>
      <c r="I114" s="1159"/>
      <c r="J114" s="1159"/>
      <c r="K114" s="1159"/>
      <c r="L114" s="1159"/>
      <c r="M114" s="1160">
        <f>SUM(M93:M112)</f>
        <v>375180.87527635321</v>
      </c>
      <c r="N114" s="1160">
        <f>SUM(N93:N112)</f>
        <v>221898.32236549477</v>
      </c>
      <c r="P114" s="1158" t="s">
        <v>56</v>
      </c>
      <c r="Q114" s="1159"/>
      <c r="R114" s="1159"/>
      <c r="S114" s="1159"/>
      <c r="T114" s="1159"/>
      <c r="U114" s="1159"/>
      <c r="V114" s="1159"/>
      <c r="W114" s="1159"/>
      <c r="X114" s="1159"/>
      <c r="Y114" s="1159"/>
      <c r="Z114" s="1159"/>
      <c r="AA114" s="1160">
        <f>SUM(AA93:AA112)</f>
        <v>248973.1257085301</v>
      </c>
      <c r="AB114" s="1160">
        <f>SUM(AB93:AB112)</f>
        <v>147253.55834868256</v>
      </c>
    </row>
    <row r="115" spans="1:28" x14ac:dyDescent="0.2">
      <c r="G115" s="1046"/>
      <c r="H115" s="1046"/>
      <c r="I115" s="1047"/>
      <c r="K115" s="678"/>
      <c r="O115" s="1047"/>
      <c r="P115" s="1047"/>
      <c r="Q115" s="678"/>
      <c r="R115" s="1045"/>
      <c r="S115" s="1045"/>
      <c r="W115" s="1046"/>
      <c r="X115" s="1046"/>
      <c r="Y115" s="1046"/>
    </row>
    <row r="116" spans="1:28" x14ac:dyDescent="0.2">
      <c r="A116" s="678">
        <f>MAX($A$1:A115)+1</f>
        <v>4</v>
      </c>
      <c r="B116" s="1106" t="str">
        <f>IF(ISBLANK(INDEX(ReliabilityGroup,A116,2)),"Not Used",INDEX(ReliabilityGroup,A116,2))</f>
        <v>NB On-ramp from Ave 280</v>
      </c>
      <c r="C116" s="1049"/>
      <c r="D116" s="1049"/>
      <c r="E116" s="1049"/>
      <c r="F116" s="1049"/>
      <c r="G116" s="1049"/>
      <c r="H116" s="1049"/>
      <c r="I116" s="1102"/>
      <c r="K116" s="1107"/>
      <c r="L116" s="1102"/>
      <c r="M116" s="1102"/>
      <c r="N116" s="1049"/>
      <c r="O116" s="1045">
        <f>MAX($O$1:O115)+1</f>
        <v>4</v>
      </c>
      <c r="P116" s="1106" t="str">
        <f>IF(ISBLANK(INDEX(ReliabilityGroup,O116,2)),"Not Used",INDEX(ReliabilityGroup,O116,2))</f>
        <v>NB On-ramp from Ave 280</v>
      </c>
      <c r="Q116" s="1049"/>
      <c r="R116" s="1049"/>
      <c r="S116" s="1049"/>
      <c r="T116" s="1049"/>
      <c r="U116" s="1049"/>
      <c r="V116" s="1049"/>
      <c r="W116" s="1102"/>
      <c r="X116" s="1102"/>
      <c r="Y116" s="1102"/>
      <c r="Z116" s="1049"/>
      <c r="AA116" s="1049"/>
      <c r="AB116" s="1049"/>
    </row>
    <row r="117" spans="1:28" x14ac:dyDescent="0.2">
      <c r="B117" s="1049"/>
      <c r="C117" s="1049"/>
      <c r="D117" s="1108"/>
      <c r="E117" s="1108"/>
      <c r="F117" s="1108"/>
      <c r="G117" s="1108"/>
      <c r="H117" s="1108"/>
      <c r="I117" s="1109"/>
      <c r="J117" s="1049"/>
      <c r="K117" s="1109"/>
      <c r="L117" s="1049"/>
      <c r="M117" s="1049"/>
      <c r="N117" s="1105"/>
      <c r="P117" s="1049"/>
      <c r="Q117" s="1049"/>
      <c r="R117" s="1108"/>
      <c r="S117" s="1108"/>
      <c r="T117" s="1108"/>
      <c r="U117" s="1108"/>
      <c r="V117" s="1108"/>
      <c r="W117" s="1049"/>
      <c r="X117" s="1049"/>
      <c r="Y117" s="1049"/>
      <c r="Z117" s="1049"/>
      <c r="AA117" s="1049"/>
      <c r="AB117" s="1105"/>
    </row>
    <row r="118" spans="1:28" ht="15.75" x14ac:dyDescent="0.2">
      <c r="B118" s="1111"/>
      <c r="C118" s="681" t="s">
        <v>332</v>
      </c>
      <c r="D118" s="1112"/>
      <c r="E118" s="681" t="s">
        <v>272</v>
      </c>
      <c r="F118" s="1112"/>
      <c r="G118" s="681" t="s">
        <v>825</v>
      </c>
      <c r="H118" s="1113"/>
      <c r="I118" s="852" t="s">
        <v>826</v>
      </c>
      <c r="J118" s="1112"/>
      <c r="K118" s="852" t="s">
        <v>827</v>
      </c>
      <c r="L118" s="1114"/>
      <c r="M118" s="1115"/>
      <c r="N118" s="1116"/>
      <c r="P118" s="1111"/>
      <c r="Q118" s="681" t="s">
        <v>332</v>
      </c>
      <c r="R118" s="1112"/>
      <c r="S118" s="681" t="s">
        <v>272</v>
      </c>
      <c r="T118" s="1112"/>
      <c r="U118" s="681" t="s">
        <v>825</v>
      </c>
      <c r="V118" s="1113"/>
      <c r="W118" s="852" t="s">
        <v>826</v>
      </c>
      <c r="X118" s="1112"/>
      <c r="Y118" s="852" t="s">
        <v>827</v>
      </c>
      <c r="Z118" s="1114"/>
      <c r="AA118" s="1186"/>
      <c r="AB118" s="1116"/>
    </row>
    <row r="119" spans="1:28" ht="15.75" x14ac:dyDescent="0.2">
      <c r="B119" s="1121"/>
      <c r="C119" s="1188" t="s">
        <v>828</v>
      </c>
      <c r="D119" s="1189"/>
      <c r="E119" s="688" t="s">
        <v>276</v>
      </c>
      <c r="F119" s="1122"/>
      <c r="G119" s="688" t="s">
        <v>829</v>
      </c>
      <c r="H119" s="1123"/>
      <c r="I119" s="1124" t="s">
        <v>830</v>
      </c>
      <c r="J119" s="1122"/>
      <c r="K119" s="1125" t="s">
        <v>831</v>
      </c>
      <c r="L119" s="687"/>
      <c r="M119" s="1126"/>
      <c r="N119" s="1127"/>
      <c r="P119" s="1121"/>
      <c r="Q119" s="1188" t="s">
        <v>828</v>
      </c>
      <c r="R119" s="1189"/>
      <c r="S119" s="688" t="s">
        <v>276</v>
      </c>
      <c r="T119" s="1122"/>
      <c r="U119" s="688" t="s">
        <v>829</v>
      </c>
      <c r="V119" s="1123"/>
      <c r="W119" s="1124" t="s">
        <v>830</v>
      </c>
      <c r="X119" s="1122"/>
      <c r="Y119" s="1125" t="s">
        <v>831</v>
      </c>
      <c r="Z119" s="687"/>
      <c r="AA119" s="1126"/>
      <c r="AB119" s="1127"/>
    </row>
    <row r="120" spans="1:28" ht="15" x14ac:dyDescent="0.2">
      <c r="B120" s="1129" t="s">
        <v>34</v>
      </c>
      <c r="C120" s="1130"/>
      <c r="D120" s="692"/>
      <c r="E120" s="1130"/>
      <c r="F120" s="692"/>
      <c r="G120" s="1130"/>
      <c r="H120" s="692"/>
      <c r="I120" s="688" t="s">
        <v>832</v>
      </c>
      <c r="J120" s="1122"/>
      <c r="K120" s="1130" t="s">
        <v>207</v>
      </c>
      <c r="L120" s="692" t="s">
        <v>231</v>
      </c>
      <c r="M120" s="1131" t="s">
        <v>208</v>
      </c>
      <c r="N120" s="1128" t="s">
        <v>39</v>
      </c>
      <c r="P120" s="1129" t="s">
        <v>34</v>
      </c>
      <c r="Q120" s="1190"/>
      <c r="R120" s="1191"/>
      <c r="S120" s="1130"/>
      <c r="T120" s="692"/>
      <c r="U120" s="1130"/>
      <c r="V120" s="692"/>
      <c r="W120" s="688" t="s">
        <v>832</v>
      </c>
      <c r="X120" s="1122"/>
      <c r="Y120" s="1130" t="s">
        <v>207</v>
      </c>
      <c r="Z120" s="692" t="s">
        <v>231</v>
      </c>
      <c r="AA120" s="1131" t="s">
        <v>208</v>
      </c>
      <c r="AB120" s="1128" t="s">
        <v>39</v>
      </c>
    </row>
    <row r="121" spans="1:28" ht="15" x14ac:dyDescent="0.2">
      <c r="B121" s="1133"/>
      <c r="C121" s="1134" t="s">
        <v>74</v>
      </c>
      <c r="D121" s="696" t="s">
        <v>125</v>
      </c>
      <c r="E121" s="1134" t="s">
        <v>74</v>
      </c>
      <c r="F121" s="696" t="s">
        <v>125</v>
      </c>
      <c r="G121" s="1134" t="s">
        <v>74</v>
      </c>
      <c r="H121" s="696" t="s">
        <v>125</v>
      </c>
      <c r="I121" s="1134" t="s">
        <v>74</v>
      </c>
      <c r="J121" s="696" t="s">
        <v>125</v>
      </c>
      <c r="K121" s="1134" t="s">
        <v>211</v>
      </c>
      <c r="L121" s="696" t="s">
        <v>233</v>
      </c>
      <c r="M121" s="1135" t="s">
        <v>48</v>
      </c>
      <c r="N121" s="1136" t="s">
        <v>49</v>
      </c>
      <c r="P121" s="1133"/>
      <c r="Q121" s="1134" t="s">
        <v>74</v>
      </c>
      <c r="R121" s="696" t="s">
        <v>125</v>
      </c>
      <c r="S121" s="1134" t="s">
        <v>74</v>
      </c>
      <c r="T121" s="696" t="s">
        <v>125</v>
      </c>
      <c r="U121" s="1134" t="s">
        <v>74</v>
      </c>
      <c r="V121" s="696" t="s">
        <v>125</v>
      </c>
      <c r="W121" s="1134" t="s">
        <v>74</v>
      </c>
      <c r="X121" s="696" t="s">
        <v>125</v>
      </c>
      <c r="Y121" s="1134" t="s">
        <v>211</v>
      </c>
      <c r="Z121" s="696" t="s">
        <v>233</v>
      </c>
      <c r="AA121" s="1135" t="s">
        <v>48</v>
      </c>
      <c r="AB121" s="1136" t="s">
        <v>49</v>
      </c>
    </row>
    <row r="122" spans="1:28" x14ac:dyDescent="0.2">
      <c r="B122" s="363">
        <f>YearFirst</f>
        <v>2026</v>
      </c>
      <c r="C122" s="364">
        <f>_xlfn.SINGLE(IF(_xlfn.SINGLE(INDEX(ReliabilityGroup,$A116,1))=Hwy,IFERROR(_xlfn.SINGLE(INDEX(ReliabilityData1NB,$A116,5))*(1-_xlfn.SINGLE(INDEX(ReliabilityData1NB,$A116,3))),0),0))</f>
        <v>2728.4000000000005</v>
      </c>
      <c r="D122" s="365">
        <f>_xlfn.SINGLE(IF(_xlfn.SINGLE(INDEX(ReliabilityGroup,$A116,1))=Hwy,IFERROR(_xlfn.SINGLE(INDEX(ReliabilityData1B,A116,5))*(1-_xlfn.SINGLE(INDEX(ReliabilityData1B,A116,3))),0),0))</f>
        <v>2715.0344827586209</v>
      </c>
      <c r="E122" s="1137">
        <f>_xlfn.SINGLE(IF(_xlfn.SINGLE(INDEX(ReliabilityGroup,A116,1))=Hwy,IFERROR(_xlfn.SINGLE(INDEX(ReliabilityData1NB,A116,4)),0),0))</f>
        <v>43.327586206896555</v>
      </c>
      <c r="F122" s="1138">
        <f>_xlfn.SINGLE(IF(_xlfn.SINGLE(INDEX(ReliabilityGroup,A116,1))=Hwy,IFERROR(_xlfn.SINGLE(INDEX(ReliabilityData1B,A116,4)),0),0))</f>
        <v>76.740740740740748</v>
      </c>
      <c r="G122" s="1198">
        <f>IFERROR(MAX(1/E122-1/INDEX(ReliabilityModelGroup,A116,17), 0),0)</f>
        <v>0</v>
      </c>
      <c r="H122" s="1199">
        <f>IFERROR(MAX(1/F122-1/INDEX(ReliabilityModelGroup,A116,24), 0),0)</f>
        <v>0</v>
      </c>
      <c r="I122" s="1139">
        <f>IFERROR(AlphaSTD*MAX(AlphaTTI*(1+INDEX(ReliabilityModelGroup,A116,17)*G122)^BetaTTI-1,0)^BetaSTD*INDEX(ReliabilityModelGroup,A116,16)/INDEX(ReliabilityModelGroup,A116,17)*INDEX(RelAdjFactors,A116,5),0)</f>
        <v>1.6574357899845926E-3</v>
      </c>
      <c r="J122" s="1140">
        <f>IFERROR(AlphaSTD*MAX(AlphaTTI*(1+INDEX(ReliabilityModelGroup,A116,24)*H122)^BetaTTI-1,0)^BetaSTD*INDEX(ReliabilityModelGroup,A116,23)/INDEX(ReliabilityModelGroup,A116,24)*INDEX(RelAdjFactors,A116,5),0)</f>
        <v>7.8474510872739893E-4</v>
      </c>
      <c r="K122" s="1141">
        <f>MIN(C122*INDEX(ReliabilityModelGroup,A116,18),D122*INDEX(ReliabilityModelGroup,A116,25))*(I122-J122)*(INDEX(ReliabilityModelGroup,A116,12)*AnnualFactor)</f>
        <v>2507.9943320005236</v>
      </c>
      <c r="L122" s="1142">
        <f>IF(AND(D122*INDEX(ReliabilityModelGroup,A116,25)&gt;C122*INDEX(ReliabilityModelGroup,A116,18), Induced="Y"), (D122*INDEX(ReliabilityModelGroup,A116,25)-C122*INDEX(ReliabilityModelGroup,A116,18))*(I122-J122)*0.5*(INDEX(ReliabilityModelGroup,A116,12)*AnnualFactor), 0)</f>
        <v>0</v>
      </c>
      <c r="M122" s="1143">
        <f>(K122+L122)*ValTimeAuto*ValRelAuto*IF(IM,ValTimeIMFactor,1)*(1+TTUprater)^($B122-YearCurrent)</f>
        <v>32503.606542726793</v>
      </c>
      <c r="N122" s="370">
        <f>M122/(1+DiscRate)^(B122-YearCurrent)</f>
        <v>27784.219096304074</v>
      </c>
      <c r="P122" s="363">
        <f>YearFirst</f>
        <v>2026</v>
      </c>
      <c r="Q122" s="364">
        <f>_xlfn.SINGLE(IF(_xlfn.SINGLE(INDEX(ReliabilityGroup,$O116,1))=Hwy,IFERROR(_xlfn.SINGLE(INDEX(ReliabilityData1NB,$O116,5))*_xlfn.SINGLE(INDEX(ReliabilityData1NB,$O116,3)),0),0))</f>
        <v>861.6</v>
      </c>
      <c r="R122" s="365">
        <f>_xlfn.SINGLE(IF(_xlfn.SINGLE(INDEX(ReliabilityGroup,$O116,1))=Hwy,IFERROR(_xlfn.SINGLE(INDEX(ReliabilityData1B,$O116,5))*_xlfn.SINGLE(INDEX(ReliabilityData1B,$O116,3)),0),0))</f>
        <v>857.37931034482756</v>
      </c>
      <c r="S122" s="1137">
        <f>_xlfn.SINGLE(IF(_xlfn.SINGLE(INDEX(ReliabilityGroup,O116,1))=Hwy,IFERROR(_xlfn.SINGLE(INDEX(ReliabilityData1NB,O116,4)),0),0))</f>
        <v>43.327586206896555</v>
      </c>
      <c r="T122" s="1138">
        <f>_xlfn.SINGLE(IF(_xlfn.SINGLE(INDEX(ReliabilityGroup,O116,1))=Hwy,IFERROR(_xlfn.SINGLE(INDEX(ReliabilityData1B,O116,4)),0),0))</f>
        <v>76.740740740740748</v>
      </c>
      <c r="U122" s="1198">
        <f>IFERROR(MAX(1/S122-1/INDEX(ReliabilityModelGroup,O116,17), 0),0)</f>
        <v>0</v>
      </c>
      <c r="V122" s="1199">
        <f>IFERROR(MAX(1/T122-1/INDEX(ReliabilityModelGroup,O116,24), 0),0)</f>
        <v>0</v>
      </c>
      <c r="W122" s="1139">
        <f>IFERROR(AlphaSTD*MAX(AlphaTTI*(1+INDEX(ReliabilityModelGroup,O116,17)*U122)^BetaTTI-1,0)^BetaSTD*INDEX(ReliabilityModelGroup,O116,16)/INDEX(ReliabilityModelGroup,O116,17)*INDEX(RelAdjFactors,O116,15),0)</f>
        <v>1.6574357899845926E-3</v>
      </c>
      <c r="X122" s="1140">
        <f>IFERROR(AlphaSTD*MAX(AlphaTTI*(1+INDEX(ReliabilityModelGroup,O116,24)*V122)^BetaTTI-1,0)^BetaSTD*INDEX(ReliabilityModelGroup,O116,23)/INDEX(ReliabilityModelGroup,O116,24)*INDEX(RelAdjFactors,O116,15),0)</f>
        <v>7.8474510872739893E-4</v>
      </c>
      <c r="Y122" s="1141">
        <f>MIN(Q122,R122)*(W122-X122)*(INDEX(ReliabilityModelGroup,A116,12)*AnnualFactor)</f>
        <v>546.20566214167479</v>
      </c>
      <c r="Z122" s="1142">
        <f>IF(AND(R122&gt;Q122, Induced="Y"), (R122-Q122)*(W122-X122)*0.5*(INDEX(ReliabilityModelGroup,A116,12)*AnnualFactor), 0)</f>
        <v>0</v>
      </c>
      <c r="AA122" s="1143">
        <f>(Y122+Z122)*ValTimeTruck*ValRelTruck*IF(IM,ValTimeIMFactor,1)*(1+TTUprater)^($B122-YearCurrent)</f>
        <v>21569.661597974737</v>
      </c>
      <c r="AB122" s="370">
        <f>AA122/(1+DiscRate)^(P122-YearCurrent)</f>
        <v>18437.837133041736</v>
      </c>
    </row>
    <row r="123" spans="1:28" x14ac:dyDescent="0.2">
      <c r="B123" s="379">
        <f>YearLast</f>
        <v>2046</v>
      </c>
      <c r="C123" s="380">
        <f>_xlfn.SINGLE(IF(_xlfn.SINGLE(INDEX(ReliabilityGroup,$A116,1))=Hwy,IFERROR(_xlfn.SINGLE(INDEX(ReliabilityData20NB,$A116,5))*(1-_xlfn.SINGLE(INDEX(ReliabilityData20NB,$A116,3))),0),0))</f>
        <v>3430.8571428571431</v>
      </c>
      <c r="D123" s="1145">
        <f>_xlfn.SINGLE(IF(_xlfn.SINGLE(INDEX(ReliabilityGroup,$A116,1))=Hwy,IFERROR(_xlfn.SINGLE(INDEX(ReliabilityData20B,$A116,5))*(1-_xlfn.SINGLE(INDEX(ReliabilityData20B,$A116,3))),0),0))</f>
        <v>3412.1379310344832</v>
      </c>
      <c r="E123" s="1137">
        <f>_xlfn.SINGLE(IF(_xlfn.SINGLE(INDEX(ReliabilityGroup,A116,1))=Hwy,IFERROR(_xlfn.SINGLE(INDEX(ReliabilityData20NB,A116,4)),0),0))</f>
        <v>42.702702702702702</v>
      </c>
      <c r="F123" s="1022">
        <f>_xlfn.SINGLE(IF(_xlfn.SINGLE(INDEX(ReliabilityGroup,A116,1))=Hwy,IFERROR(_xlfn.SINGLE(INDEX(ReliabilityData20B,A116,4)),0),0))</f>
        <v>74.400000000000006</v>
      </c>
      <c r="G123" s="1139">
        <f>IFERROR(MAX(1/E123-1/INDEX(ReliabilityModelGroup,A116,17), 0),0)</f>
        <v>0</v>
      </c>
      <c r="H123" s="1140">
        <f>IFERROR(MAX(1/F123-1/INDEX(ReliabilityModelGroup,A116,24), 0),0)</f>
        <v>0</v>
      </c>
      <c r="I123" s="1139">
        <f>IFERROR(AlphaSTD*MAX(AlphaTTI*(1+INDEX(ReliabilityModelGroup,A116,17)*G123)^BetaTTI-1,0)^BetaSTD*INDEX(ReliabilityModelGroup,A116,16)/INDEX(ReliabilityModelGroup,A116,17)*INDEX(RelAdjFactors,A116,5),0)</f>
        <v>1.6574357899845926E-3</v>
      </c>
      <c r="J123" s="1140">
        <f>IFERROR(AlphaSTD*MAX(AlphaTTI*(1+INDEX(ReliabilityModelGroup,A116,24)*H123)^BetaTTI-1,0)^BetaSTD*INDEX(ReliabilityModelGroup,A116,23)/INDEX(ReliabilityModelGroup,A116,24)*INDEX(RelAdjFactors,A116,5),0)</f>
        <v>7.8474510872739893E-4</v>
      </c>
      <c r="K123" s="1146">
        <f>MIN(C123*INDEX(ReliabilityModelGroup,A116,18),D123*INDEX(ReliabilityModelGroup,A116,25))*(I123-J123)*(INDEX(ReliabilityModelGroup,A116,12)*AnnualFactor)</f>
        <v>3151.938822649307</v>
      </c>
      <c r="L123" s="1147">
        <f>IF(AND(D123*INDEX(ReliabilityModelGroup,A116,25)&gt;C123*INDEX(ReliabilityModelGroup,A116,18), Induced="Y"), (D123*INDEX(ReliabilityModelGroup,A116,25)-C123*INDEX(ReliabilityModelGroup,A116,18))*(I123-J123)*0.5*(INDEX(ReliabilityModelGroup,A116,12)*AnnualFactor), 0)</f>
        <v>0</v>
      </c>
      <c r="M123" s="1143">
        <f>(K123+L123)*ValTimeAuto*ValRelAuto*IF(IM,ValTimeIMFactor,1)*(1+TTUprater)^($B123-YearCurrent)</f>
        <v>40849.127141535027</v>
      </c>
      <c r="N123" s="370">
        <f>M123/(1+DiscRate)^(B123-YearCurrent)</f>
        <v>15936.12170612615</v>
      </c>
      <c r="P123" s="379">
        <f>YearLast</f>
        <v>2046</v>
      </c>
      <c r="Q123" s="380">
        <f>_xlfn.SINGLE(IF(_xlfn.SINGLE(INDEX(ReliabilityGroup,$O116,1))=Hwy,IFERROR(_xlfn.SINGLE(INDEX(ReliabilityData20NB,$O116,5))*_xlfn.SINGLE(INDEX(ReliabilityData20NB,$O116,3)),0),0))</f>
        <v>1083.4285714285716</v>
      </c>
      <c r="R123" s="1145">
        <f>_xlfn.SINGLE(IF(_xlfn.SINGLE(INDEX(ReliabilityGroup,$O116,1))=Hwy,IFERROR(_xlfn.SINGLE(INDEX(ReliabilityData20B,$O116,5))*_xlfn.SINGLE(INDEX(ReliabilityData20B,$O116,3)),0),0))</f>
        <v>1077.5172413793105</v>
      </c>
      <c r="S123" s="1137">
        <f>_xlfn.SINGLE(IF(_xlfn.SINGLE(INDEX(ReliabilityGroup,O116,1))=Hwy,IFERROR(_xlfn.SINGLE(INDEX(ReliabilityData20NB,O116,4)),0),0))</f>
        <v>42.702702702702702</v>
      </c>
      <c r="T123" s="1022">
        <f>_xlfn.SINGLE(IF(_xlfn.SINGLE(INDEX(ReliabilityGroup,O116,1))=Hwy,IFERROR(_xlfn.SINGLE(INDEX(ReliabilityData20B,O116,4)),0),0))</f>
        <v>74.400000000000006</v>
      </c>
      <c r="U123" s="1139">
        <f>IFERROR(MAX(1/S123-1/INDEX(ReliabilityModelGroup,O116,17), 0),0)</f>
        <v>0</v>
      </c>
      <c r="V123" s="1140">
        <f>IFERROR(MAX(1/T123-1/INDEX(ReliabilityModelGroup,O116,24), 0),0)</f>
        <v>0</v>
      </c>
      <c r="W123" s="1139">
        <f>IFERROR(AlphaSTD*MAX(AlphaTTI*(1+INDEX(ReliabilityModelGroup,O116,17)*U123)^BetaTTI-1,0)^BetaSTD*INDEX(ReliabilityModelGroup,O116,16)/INDEX(ReliabilityModelGroup,O116,17)*INDEX(RelAdjFactors,O116,15),0)</f>
        <v>1.6574357899845926E-3</v>
      </c>
      <c r="X123" s="1140">
        <f>IFERROR(AlphaSTD*MAX(AlphaTTI*(1+INDEX(ReliabilityModelGroup,O116,24)*V123)^BetaTTI-1,0)^BetaSTD*INDEX(ReliabilityModelGroup,O116,23)/INDEX(ReliabilityModelGroup,O116,24)*INDEX(RelAdjFactors,O116,15),0)</f>
        <v>7.8474510872739893E-4</v>
      </c>
      <c r="Y123" s="1146">
        <f>MIN(Q123,R123)*(W123-X123)*(INDEX(ReliabilityModelGroup,A116,12)*AnnualFactor)</f>
        <v>686.44765647534814</v>
      </c>
      <c r="Z123" s="1147">
        <f>IF(AND(R123&gt;Q123, Induced="Y"), (R123-Q123)*(W123-X123)*0.5*(INDEX(ReliabilityModelGroup,A116,12)*AnnualFactor), 0)</f>
        <v>0</v>
      </c>
      <c r="AA123" s="1143">
        <f>(Y123+Z123)*ValTimeTruck*ValRelTruck*IF(IM,ValTimeIMFactor,1)*(1+TTUprater)^($B123-YearCurrent)</f>
        <v>27107.817954211496</v>
      </c>
      <c r="AB123" s="370">
        <f>AA123/(1+DiscRate)^(P123-YearCurrent)</f>
        <v>10575.34190654906</v>
      </c>
    </row>
    <row r="124" spans="1:28" x14ac:dyDescent="0.2">
      <c r="B124" s="1148"/>
      <c r="C124" s="386"/>
      <c r="D124" s="386"/>
      <c r="E124" s="386"/>
      <c r="F124" s="386"/>
      <c r="G124" s="434"/>
      <c r="H124" s="434"/>
      <c r="I124" s="434"/>
      <c r="J124" s="434"/>
      <c r="K124" s="1149"/>
      <c r="L124" s="1149"/>
      <c r="M124" s="1150"/>
      <c r="N124" s="389"/>
      <c r="P124" s="1148"/>
      <c r="Q124" s="386"/>
      <c r="R124" s="386"/>
      <c r="S124" s="386"/>
      <c r="T124" s="386"/>
      <c r="U124" s="434"/>
      <c r="V124" s="434"/>
      <c r="W124" s="1151"/>
      <c r="X124" s="1152"/>
      <c r="Y124" s="1149"/>
      <c r="Z124" s="1149"/>
      <c r="AA124" s="1150"/>
      <c r="AB124" s="389"/>
    </row>
    <row r="125" spans="1:28" x14ac:dyDescent="0.2">
      <c r="B125" s="375">
        <f>YearOpen</f>
        <v>2026</v>
      </c>
      <c r="C125" s="393">
        <f>MAX(TREND(C122:C123,$B122:$B123,$B125),0)</f>
        <v>2728.4000000000087</v>
      </c>
      <c r="D125" s="394">
        <f>MAX(TREND(D122:D123,$B122:$B123,$B125),0)</f>
        <v>2715.0344827586232</v>
      </c>
      <c r="E125" s="1153">
        <f>MAX(TREND(E122:E123,$B122:$B123,$B125),0)</f>
        <v>43.327586206896548</v>
      </c>
      <c r="F125" s="1154">
        <f>MAX(TREND(F122:F123,$B122:$B123,$B125),0)</f>
        <v>76.74074074074079</v>
      </c>
      <c r="G125" s="1139">
        <f>IFERROR(MAX(1/E125-1/INDEX(ReliabilityModelGroup,A116,17), 0),0)</f>
        <v>0</v>
      </c>
      <c r="H125" s="1140">
        <f>IFERROR(MAX(1/F125-1/INDEX(ReliabilityModelGroup,A116,24), 0),0)</f>
        <v>0</v>
      </c>
      <c r="I125" s="1139">
        <f>IFERROR(AlphaSTD*MAX(AlphaTTI*(1+INDEX(ReliabilityModelGroup,A116,17)*G125)^BetaTTI-1,0)^BetaSTD*INDEX(ReliabilityModelGroup,A116,16)/INDEX(ReliabilityModelGroup,A116,17)*INDEX(RelAdjFactors,A116,5),0)</f>
        <v>1.6574357899845926E-3</v>
      </c>
      <c r="J125" s="1140">
        <f>IFERROR(AlphaSTD*MAX(AlphaTTI*(1+INDEX(ReliabilityModelGroup,A116,24)*H125)^BetaTTI-1,0)^BetaSTD*INDEX(ReliabilityModelGroup,A116,23)/INDEX(ReliabilityModelGroup,A116,24)*INDEX(RelAdjFactors,A116,5),0)</f>
        <v>7.8474510872739893E-4</v>
      </c>
      <c r="K125" s="1155">
        <f>MIN(C125*INDEX(ReliabilityModelGroup,A116,18),D125*INDEX(ReliabilityModelGroup,A116,25))*(I125-J125)*(INDEX(ReliabilityModelGroup,A116,12)*AnnualFactor)</f>
        <v>2507.9943320005254</v>
      </c>
      <c r="L125" s="1142">
        <f>IF(AND(D125*INDEX(ReliabilityModelGroup,A116,25)&gt;C125*INDEX(ReliabilityModelGroup,A116,18), Induced="Y"), (D125*INDEX(ReliabilityModelGroup,A116,25)-C125*INDEX(ReliabilityModelGroup,A116,18))*(I125-J125)*0.5*(INDEX(ReliabilityModelGroup,A116,12)*AnnualFactor), 0)</f>
        <v>0</v>
      </c>
      <c r="M125" s="1143">
        <f t="shared" ref="M125:M144" si="32">(K125+L125)*ValTimeAuto*ValRelAuto*IF(IM,ValTimeIMFactor,1)*(1+TTUprater)^($B125-YearCurrent)</f>
        <v>32503.606542726819</v>
      </c>
      <c r="N125" s="370">
        <f t="shared" ref="N125:N144" si="33">M125/(1+DiscRate)^(B125-YearCurrent)</f>
        <v>27784.219096304096</v>
      </c>
      <c r="P125" s="375">
        <f>YearOpen</f>
        <v>2026</v>
      </c>
      <c r="Q125" s="393">
        <f>MAX(TREND(Q122:Q123,$P122:$P123,$P125),0)</f>
        <v>861.59999999999854</v>
      </c>
      <c r="R125" s="394">
        <f>MAX(TREND(R122:R123,$P122:$P123,$P125),0)</f>
        <v>857.37931034482972</v>
      </c>
      <c r="S125" s="1153">
        <f>MAX(TREND(S122:S123,$P122:$P123,$P125),0)</f>
        <v>43.327586206896548</v>
      </c>
      <c r="T125" s="1154">
        <f>MAX(TREND(T122:T123,$P122:$P123,$P125),0)</f>
        <v>76.74074074074079</v>
      </c>
      <c r="U125" s="1139">
        <f>IFERROR(MAX(1/S125-1/INDEX(ReliabilityModelGroup,O116,17), 0),0)</f>
        <v>0</v>
      </c>
      <c r="V125" s="1140">
        <f>IFERROR(MAX(1/T125-1/INDEX(ReliabilityModelGroup,O116,24), 0),0)</f>
        <v>0</v>
      </c>
      <c r="W125" s="1139">
        <f>IFERROR(AlphaSTD*MAX(AlphaTTI*(1+INDEX(ReliabilityModelGroup,O116,17)*U125)^BetaTTI-1,0)^BetaSTD*INDEX(ReliabilityModelGroup,O116,16)/INDEX(ReliabilityModelGroup,O116,17)*INDEX(RelAdjFactors,O116,15),0)</f>
        <v>1.6574357899845926E-3</v>
      </c>
      <c r="X125" s="1140">
        <f>IFERROR(AlphaSTD*MAX(AlphaTTI*(1+INDEX(ReliabilityModelGroup,O116,24)*V125)^BetaTTI-1,0)^BetaSTD*INDEX(ReliabilityModelGroup,O116,23)/INDEX(ReliabilityModelGroup,O116,24)*INDEX(RelAdjFactors,O116,15),0)</f>
        <v>7.8474510872739893E-4</v>
      </c>
      <c r="Y125" s="1155">
        <f>MIN(Q125,R125)*(W125-X125)*(INDEX(ReliabilityModelGroup,A116,12)*AnnualFactor)</f>
        <v>546.20566214167616</v>
      </c>
      <c r="Z125" s="1142">
        <f>IF(AND(R125&gt;Q125, Induced="Y"), (R125-Q125)*(W125-X125)*0.5*(INDEX(ReliabilityModelGroup,A116,12)*AnnualFactor), 0)</f>
        <v>0</v>
      </c>
      <c r="AA125" s="1143">
        <f t="shared" ref="AA125:AA144" si="34">(Y125+Z125)*ValTimeTruck*ValRelTruck*IF(IM,ValTimeIMFactor,1)*(1+TTUprater)^($B125-YearCurrent)</f>
        <v>21569.661597974791</v>
      </c>
      <c r="AB125" s="370">
        <f t="shared" ref="AB125:AB144" si="35">AA125/(1+DiscRate)^(P125-YearCurrent)</f>
        <v>18437.837133041783</v>
      </c>
    </row>
    <row r="126" spans="1:28" x14ac:dyDescent="0.2">
      <c r="B126" s="375">
        <f>B125+1</f>
        <v>2027</v>
      </c>
      <c r="C126" s="401">
        <f>MAX(TREND(C122:C123,$B122:$B123,$B126),0)</f>
        <v>2763.5228571428597</v>
      </c>
      <c r="D126" s="402">
        <f>MAX(TREND(D122:D123,$B122:$B123,$B126),0)</f>
        <v>2749.8896551724174</v>
      </c>
      <c r="E126" s="725">
        <f>MAX(TREND(E122:E123,$B122:$B123,$B126),0)</f>
        <v>43.296342031686855</v>
      </c>
      <c r="F126" s="726">
        <f>MAX(TREND(F122:F123,$B122:$B123,$B126),0)</f>
        <v>76.62370370370374</v>
      </c>
      <c r="G126" s="1139">
        <f>IFERROR(MAX(1/E126-1/INDEX(ReliabilityModelGroup,A116,17), 0),0)</f>
        <v>0</v>
      </c>
      <c r="H126" s="1140">
        <f>IFERROR(MAX(1/F126-1/INDEX(ReliabilityModelGroup,A116,24), 0),0)</f>
        <v>0</v>
      </c>
      <c r="I126" s="1139">
        <f>IFERROR(AlphaSTD*MAX(AlphaTTI*(1+INDEX(ReliabilityModelGroup,A116,17)*G126)^BetaTTI-1,0)^BetaSTD*INDEX(ReliabilityModelGroup,A116,16)/INDEX(ReliabilityModelGroup,A116,17)*INDEX(RelAdjFactors,A116,5),0)</f>
        <v>1.6574357899845926E-3</v>
      </c>
      <c r="J126" s="1140">
        <f>IFERROR(AlphaSTD*MAX(AlphaTTI*(1+INDEX(ReliabilityModelGroup,A116,24)*H126)^BetaTTI-1,0)^BetaSTD*INDEX(ReliabilityModelGroup,A116,23)/INDEX(ReliabilityModelGroup,A116,24)*INDEX(RelAdjFactors,A116,5),0)</f>
        <v>7.8474510872739893E-4</v>
      </c>
      <c r="K126" s="1156">
        <f>MIN(C126*INDEX(ReliabilityModelGroup,A116,18),D126*INDEX(ReliabilityModelGroup,A116,25))*(I126-J126)*(INDEX(ReliabilityModelGroup,A116,12)*AnnualFactor)</f>
        <v>2540.1915565329659</v>
      </c>
      <c r="L126" s="1157">
        <f>IF(AND(D126*INDEX(ReliabilityModelGroup,A116,25)&gt;C126*INDEX(ReliabilityModelGroup,A116,18), Induced="Y"), (D126*INDEX(ReliabilityModelGroup,A116,25)-C126*INDEX(ReliabilityModelGroup,A116,18))*(I126-J126)*0.5*(INDEX(ReliabilityModelGroup,A116,12)*AnnualFactor), 0)</f>
        <v>0</v>
      </c>
      <c r="M126" s="1143">
        <f t="shared" si="32"/>
        <v>32920.882572667244</v>
      </c>
      <c r="N126" s="370">
        <f t="shared" si="33"/>
        <v>27058.565764916744</v>
      </c>
      <c r="P126" s="375">
        <f>P125+1</f>
        <v>2027</v>
      </c>
      <c r="Q126" s="401">
        <f>MAX(TREND(Q122:Q123,$P122:$P123,$P126),0)</f>
        <v>872.69142857143015</v>
      </c>
      <c r="R126" s="402">
        <f>MAX(TREND(R122:R123,$P122:$P123,$P126),0)</f>
        <v>868.38620689655363</v>
      </c>
      <c r="S126" s="725">
        <f>MAX(TREND(S122:S123,$P122:$P123,$P126),0)</f>
        <v>43.296342031686855</v>
      </c>
      <c r="T126" s="726">
        <f>MAX(TREND(T122:T123,$P122:$P123,$P126),0)</f>
        <v>76.62370370370374</v>
      </c>
      <c r="U126" s="1139">
        <f>IFERROR(MAX(1/S126-1/INDEX(ReliabilityModelGroup,O116,17), 0),0)</f>
        <v>0</v>
      </c>
      <c r="V126" s="1140">
        <f>IFERROR(MAX(1/T126-1/INDEX(ReliabilityModelGroup,O116,24), 0),0)</f>
        <v>0</v>
      </c>
      <c r="W126" s="1139">
        <f>IFERROR(AlphaSTD*MAX(AlphaTTI*(1+INDEX(ReliabilityModelGroup,O116,17)*U126)^BetaTTI-1,0)^BetaSTD*INDEX(ReliabilityModelGroup,O116,16)/INDEX(ReliabilityModelGroup,O116,17)*INDEX(RelAdjFactors,O116,15),0)</f>
        <v>1.6574357899845926E-3</v>
      </c>
      <c r="X126" s="1140">
        <f>IFERROR(AlphaSTD*MAX(AlphaTTI*(1+INDEX(ReliabilityModelGroup,O116,24)*V126)^BetaTTI-1,0)^BetaSTD*INDEX(ReliabilityModelGroup,O116,23)/INDEX(ReliabilityModelGroup,O116,24)*INDEX(RelAdjFactors,O116,15),0)</f>
        <v>7.8474510872739893E-4</v>
      </c>
      <c r="Y126" s="1156">
        <f>MIN(Q126,R126)*(W126-X126)*(INDEX(ReliabilityModelGroup,A116,12)*AnnualFactor)</f>
        <v>553.21776185835972</v>
      </c>
      <c r="Z126" s="1157">
        <f>IF(AND(R126&gt;Q126, Induced="Y"), (R126-Q126)*(W126-X126)*0.5*(INDEX(ReliabilityModelGroup,A116,12)*AnnualFactor), 0)</f>
        <v>0</v>
      </c>
      <c r="AA126" s="1143">
        <f t="shared" si="34"/>
        <v>21846.569415786624</v>
      </c>
      <c r="AB126" s="370">
        <f t="shared" si="35"/>
        <v>17956.287592534838</v>
      </c>
    </row>
    <row r="127" spans="1:28" x14ac:dyDescent="0.2">
      <c r="B127" s="375">
        <f t="shared" ref="B127:B144" si="36">B126+1</f>
        <v>2028</v>
      </c>
      <c r="C127" s="401">
        <f>MAX(TREND(C122:C123,$B122:$B123,$B127),0)</f>
        <v>2798.6457142857253</v>
      </c>
      <c r="D127" s="402">
        <f>MAX(TREND(D122:D123,$B122:$B123,$B127),0)</f>
        <v>2784.7448275862116</v>
      </c>
      <c r="E127" s="725">
        <f>MAX(TREND(E122:E123,$B122:$B123,$B127),0)</f>
        <v>43.265097856477162</v>
      </c>
      <c r="F127" s="726">
        <f>MAX(TREND(F122:F123,$B122:$B123,$B127),0)</f>
        <v>76.506666666666689</v>
      </c>
      <c r="G127" s="1139">
        <f>IFERROR(MAX(1/E127-1/INDEX(ReliabilityModelGroup,A116,17), 0),0)</f>
        <v>0</v>
      </c>
      <c r="H127" s="1140">
        <f>IFERROR(MAX(1/F127-1/INDEX(ReliabilityModelGroup,A116,24), 0),0)</f>
        <v>0</v>
      </c>
      <c r="I127" s="1139">
        <f>IFERROR(AlphaSTD*MAX(AlphaTTI*(1+INDEX(ReliabilityModelGroup,A116,17)*G127)^BetaTTI-1,0)^BetaSTD*INDEX(ReliabilityModelGroup,A116,16)/INDEX(ReliabilityModelGroup,A116,17)*INDEX(RelAdjFactors,A116,5),0)</f>
        <v>1.6574357899845926E-3</v>
      </c>
      <c r="J127" s="1140">
        <f>IFERROR(AlphaSTD*MAX(AlphaTTI*(1+INDEX(ReliabilityModelGroup,A116,24)*H127)^BetaTTI-1,0)^BetaSTD*INDEX(ReliabilityModelGroup,A116,23)/INDEX(ReliabilityModelGroup,A116,24)*INDEX(RelAdjFactors,A116,5),0)</f>
        <v>7.8474510872739893E-4</v>
      </c>
      <c r="K127" s="1156">
        <f>MIN(C127*INDEX(ReliabilityModelGroup,A116,18),D127*INDEX(ReliabilityModelGroup,A116,25))*(I127-J127)*(INDEX(ReliabilityModelGroup,A116,12)*AnnualFactor)</f>
        <v>2572.3887810654064</v>
      </c>
      <c r="L127" s="1157">
        <f>IF(AND(D127*INDEX(ReliabilityModelGroup,A116,25)&gt;C127*INDEX(ReliabilityModelGroup,A116,18), Induced="Y"), (D127*INDEX(ReliabilityModelGroup,A116,25)-C127*INDEX(ReliabilityModelGroup,A116,18))*(I127-J127)*0.5*(INDEX(ReliabilityModelGroup,A116,12)*AnnualFactor), 0)</f>
        <v>0</v>
      </c>
      <c r="M127" s="1143">
        <f t="shared" si="32"/>
        <v>33338.158602607677</v>
      </c>
      <c r="N127" s="370">
        <f t="shared" si="33"/>
        <v>26347.631004736264</v>
      </c>
      <c r="P127" s="375">
        <f t="shared" ref="P127:P144" si="37">P126+1</f>
        <v>2028</v>
      </c>
      <c r="Q127" s="401">
        <f>MAX(TREND(Q122:Q123,$P122:$P123,$P127),0)</f>
        <v>883.78285714285812</v>
      </c>
      <c r="R127" s="402">
        <f>MAX(TREND(R122:R123,$P122:$P123,$P127),0)</f>
        <v>879.39310344827754</v>
      </c>
      <c r="S127" s="725">
        <f>MAX(TREND(S122:S123,$P122:$P123,$P127),0)</f>
        <v>43.265097856477162</v>
      </c>
      <c r="T127" s="726">
        <f>MAX(TREND(T122:T123,$P122:$P123,$P127),0)</f>
        <v>76.506666666666689</v>
      </c>
      <c r="U127" s="1139">
        <f>IFERROR(MAX(1/S127-1/INDEX(ReliabilityModelGroup,O116,17), 0),0)</f>
        <v>0</v>
      </c>
      <c r="V127" s="1140">
        <f>IFERROR(MAX(1/T127-1/INDEX(ReliabilityModelGroup,O116,24), 0),0)</f>
        <v>0</v>
      </c>
      <c r="W127" s="1139">
        <f>IFERROR(AlphaSTD*MAX(AlphaTTI*(1+INDEX(ReliabilityModelGroup,O116,17)*U127)^BetaTTI-1,0)^BetaSTD*INDEX(ReliabilityModelGroup,O116,16)/INDEX(ReliabilityModelGroup,O116,17)*INDEX(RelAdjFactors,O116,15),0)</f>
        <v>1.6574357899845926E-3</v>
      </c>
      <c r="X127" s="1140">
        <f>IFERROR(AlphaSTD*MAX(AlphaTTI*(1+INDEX(ReliabilityModelGroup,O116,24)*V127)^BetaTTI-1,0)^BetaSTD*INDEX(ReliabilityModelGroup,O116,23)/INDEX(ReliabilityModelGroup,O116,24)*INDEX(RelAdjFactors,O116,15),0)</f>
        <v>7.8474510872739893E-4</v>
      </c>
      <c r="Y127" s="1156">
        <f>MIN(Q127,R127)*(W127-X127)*(INDEX(ReliabilityModelGroup,A116,12)*AnnualFactor)</f>
        <v>560.22986157504317</v>
      </c>
      <c r="Z127" s="1157">
        <f>IF(AND(R127&gt;Q127, Induced="Y"), (R127-Q127)*(W127-X127)*0.5*(INDEX(ReliabilityModelGroup,A116,12)*AnnualFactor), 0)</f>
        <v>0</v>
      </c>
      <c r="AA127" s="1143">
        <f t="shared" si="34"/>
        <v>22123.477233598456</v>
      </c>
      <c r="AB127" s="370">
        <f t="shared" si="35"/>
        <v>17484.505417373039</v>
      </c>
    </row>
    <row r="128" spans="1:28" x14ac:dyDescent="0.2">
      <c r="B128" s="375">
        <f t="shared" si="36"/>
        <v>2029</v>
      </c>
      <c r="C128" s="401">
        <f>MAX(TREND(C122:C123,$B122:$B123,$B128),0)</f>
        <v>2833.7685714285763</v>
      </c>
      <c r="D128" s="402">
        <f>MAX(TREND(D122:D123,$B122:$B123,$B128),0)</f>
        <v>2819.5999999999913</v>
      </c>
      <c r="E128" s="725">
        <f>MAX(TREND(E122:E123,$B122:$B123,$B128),0)</f>
        <v>43.233853681267469</v>
      </c>
      <c r="F128" s="726">
        <f>MAX(TREND(F122:F123,$B122:$B123,$B128),0)</f>
        <v>76.389629629629667</v>
      </c>
      <c r="G128" s="1139">
        <f>IFERROR(MAX(1/E128-1/INDEX(ReliabilityModelGroup,A116,17), 0),0)</f>
        <v>0</v>
      </c>
      <c r="H128" s="1140">
        <f>IFERROR(MAX(1/F128-1/INDEX(ReliabilityModelGroup,A116,24), 0),0)</f>
        <v>0</v>
      </c>
      <c r="I128" s="1139">
        <f>IFERROR(AlphaSTD*MAX(AlphaTTI*(1+INDEX(ReliabilityModelGroup,A116,17)*G128)^BetaTTI-1,0)^BetaSTD*INDEX(ReliabilityModelGroup,A116,16)/INDEX(ReliabilityModelGroup,A116,17)*INDEX(RelAdjFactors,A116,5),0)</f>
        <v>1.6574357899845926E-3</v>
      </c>
      <c r="J128" s="1140">
        <f>IFERROR(AlphaSTD*MAX(AlphaTTI*(1+INDEX(ReliabilityModelGroup,A116,24)*H128)^BetaTTI-1,0)^BetaSTD*INDEX(ReliabilityModelGroup,A116,23)/INDEX(ReliabilityModelGroup,A116,24)*INDEX(RelAdjFactors,A116,5),0)</f>
        <v>7.8474510872739893E-4</v>
      </c>
      <c r="K128" s="1156">
        <f>MIN(C128*INDEX(ReliabilityModelGroup,A116,18),D128*INDEX(ReliabilityModelGroup,A116,25))*(I128-J128)*(INDEX(ReliabilityModelGroup,A116,12)*AnnualFactor)</f>
        <v>2604.5860055978328</v>
      </c>
      <c r="L128" s="1157">
        <f>IF(AND(D128*INDEX(ReliabilityModelGroup,A116,25)&gt;C128*INDEX(ReliabilityModelGroup,A116,18), Induced="Y"), (D128*INDEX(ReliabilityModelGroup,A116,25)-C128*INDEX(ReliabilityModelGroup,A116,18))*(I128-J128)*0.5*(INDEX(ReliabilityModelGroup,A116,12)*AnnualFactor), 0)</f>
        <v>0</v>
      </c>
      <c r="M128" s="1143">
        <f t="shared" si="32"/>
        <v>33755.43463254792</v>
      </c>
      <c r="N128" s="370">
        <f t="shared" si="33"/>
        <v>25651.356069651007</v>
      </c>
      <c r="P128" s="375">
        <f t="shared" si="37"/>
        <v>2029</v>
      </c>
      <c r="Q128" s="401">
        <f>MAX(TREND(Q122:Q123,$P122:$P123,$P128),0)</f>
        <v>894.87428571428609</v>
      </c>
      <c r="R128" s="402">
        <f>MAX(TREND(R122:R123,$P122:$P123,$P128),0)</f>
        <v>890.40000000000146</v>
      </c>
      <c r="S128" s="725">
        <f>MAX(TREND(S122:S123,$P122:$P123,$P128),0)</f>
        <v>43.233853681267469</v>
      </c>
      <c r="T128" s="726">
        <f>MAX(TREND(T122:T123,$P122:$P123,$P128),0)</f>
        <v>76.389629629629667</v>
      </c>
      <c r="U128" s="1139">
        <f>IFERROR(MAX(1/S128-1/INDEX(ReliabilityModelGroup,O116,17), 0),0)</f>
        <v>0</v>
      </c>
      <c r="V128" s="1140">
        <f>IFERROR(MAX(1/T128-1/INDEX(ReliabilityModelGroup,O116,24), 0),0)</f>
        <v>0</v>
      </c>
      <c r="W128" s="1139">
        <f>IFERROR(AlphaSTD*MAX(AlphaTTI*(1+INDEX(ReliabilityModelGroup,O116,17)*U128)^BetaTTI-1,0)^BetaSTD*INDEX(ReliabilityModelGroup,O116,16)/INDEX(ReliabilityModelGroup,O116,17)*INDEX(RelAdjFactors,O116,15),0)</f>
        <v>1.6574357899845926E-3</v>
      </c>
      <c r="X128" s="1140">
        <f>IFERROR(AlphaSTD*MAX(AlphaTTI*(1+INDEX(ReliabilityModelGroup,O116,24)*V128)^BetaTTI-1,0)^BetaSTD*INDEX(ReliabilityModelGroup,O116,23)/INDEX(ReliabilityModelGroup,O116,24)*INDEX(RelAdjFactors,O116,15),0)</f>
        <v>7.8474510872739893E-4</v>
      </c>
      <c r="Y128" s="1156">
        <f>MIN(Q128,R128)*(W128-X128)*(INDEX(ReliabilityModelGroup,A116,12)*AnnualFactor)</f>
        <v>567.24196129172674</v>
      </c>
      <c r="Z128" s="1157">
        <f>IF(AND(R128&gt;Q128, Induced="Y"), (R128-Q128)*(W128-X128)*0.5*(INDEX(ReliabilityModelGroup,A116,12)*AnnualFactor), 0)</f>
        <v>0</v>
      </c>
      <c r="AA128" s="1143">
        <f t="shared" si="34"/>
        <v>22400.385051410289</v>
      </c>
      <c r="AB128" s="370">
        <f t="shared" si="35"/>
        <v>17022.451623151894</v>
      </c>
    </row>
    <row r="129" spans="2:28" x14ac:dyDescent="0.2">
      <c r="B129" s="375">
        <f t="shared" si="36"/>
        <v>2030</v>
      </c>
      <c r="C129" s="401">
        <f>MAX(TREND(C122:C123,$B122:$B123,$B129),0)</f>
        <v>2868.8914285714272</v>
      </c>
      <c r="D129" s="402">
        <f>MAX(TREND(D122:D123,$B122:$B123,$B129),0)</f>
        <v>2854.4551724137855</v>
      </c>
      <c r="E129" s="725">
        <f>MAX(TREND(E122:E123,$B122:$B123,$B129),0)</f>
        <v>43.202609506057776</v>
      </c>
      <c r="F129" s="726">
        <f>MAX(TREND(F122:F123,$B122:$B123,$B129),0)</f>
        <v>76.272592592592616</v>
      </c>
      <c r="G129" s="1139">
        <f>IFERROR(MAX(1/E129-1/INDEX(ReliabilityModelGroup,A116,17), 0),0)</f>
        <v>0</v>
      </c>
      <c r="H129" s="1140">
        <f>IFERROR(MAX(1/F129-1/INDEX(ReliabilityModelGroup,A116,24), 0),0)</f>
        <v>0</v>
      </c>
      <c r="I129" s="1139">
        <f>IFERROR(AlphaSTD*MAX(AlphaTTI*(1+INDEX(ReliabilityModelGroup,A116,17)*G129)^BetaTTI-1,0)^BetaSTD*INDEX(ReliabilityModelGroup,A116,16)/INDEX(ReliabilityModelGroup,A116,17)*INDEX(RelAdjFactors,A116,5),0)</f>
        <v>1.6574357899845926E-3</v>
      </c>
      <c r="J129" s="1140">
        <f>IFERROR(AlphaSTD*MAX(AlphaTTI*(1+INDEX(ReliabilityModelGroup,A116,24)*H129)^BetaTTI-1,0)^BetaSTD*INDEX(ReliabilityModelGroup,A116,23)/INDEX(ReliabilityModelGroup,A116,24)*INDEX(RelAdjFactors,A116,5),0)</f>
        <v>7.8474510872739893E-4</v>
      </c>
      <c r="K129" s="1156">
        <f>MIN(C129*INDEX(ReliabilityModelGroup,A116,18),D129*INDEX(ReliabilityModelGroup,A116,25))*(I129-J129)*(INDEX(ReliabilityModelGroup,A116,12)*AnnualFactor)</f>
        <v>2636.7832301302733</v>
      </c>
      <c r="L129" s="1157">
        <f>IF(AND(D129*INDEX(ReliabilityModelGroup,A116,25)&gt;C129*INDEX(ReliabilityModelGroup,A116,18), Induced="Y"), (D129*INDEX(ReliabilityModelGroup,A116,25)-C129*INDEX(ReliabilityModelGroup,A116,18))*(I129-J129)*0.5*(INDEX(ReliabilityModelGroup,A116,12)*AnnualFactor), 0)</f>
        <v>0</v>
      </c>
      <c r="M129" s="1143">
        <f t="shared" si="32"/>
        <v>34172.710662488353</v>
      </c>
      <c r="N129" s="370">
        <f t="shared" si="33"/>
        <v>24969.664959447091</v>
      </c>
      <c r="P129" s="375">
        <f t="shared" si="37"/>
        <v>2030</v>
      </c>
      <c r="Q129" s="401">
        <f>MAX(TREND(Q122:Q123,$P122:$P123,$P129),0)</f>
        <v>905.96571428571406</v>
      </c>
      <c r="R129" s="402">
        <f>MAX(TREND(R122:R123,$P122:$P123,$P129),0)</f>
        <v>901.40689655172537</v>
      </c>
      <c r="S129" s="725">
        <f>MAX(TREND(S122:S123,$P122:$P123,$P129),0)</f>
        <v>43.202609506057776</v>
      </c>
      <c r="T129" s="726">
        <f>MAX(TREND(T122:T123,$P122:$P123,$P129),0)</f>
        <v>76.272592592592616</v>
      </c>
      <c r="U129" s="1139">
        <f>IFERROR(MAX(1/S129-1/INDEX(ReliabilityModelGroup,O116,17), 0),0)</f>
        <v>0</v>
      </c>
      <c r="V129" s="1140">
        <f>IFERROR(MAX(1/T129-1/INDEX(ReliabilityModelGroup,O116,24), 0),0)</f>
        <v>0</v>
      </c>
      <c r="W129" s="1139">
        <f>IFERROR(AlphaSTD*MAX(AlphaTTI*(1+INDEX(ReliabilityModelGroup,O116,17)*U129)^BetaTTI-1,0)^BetaSTD*INDEX(ReliabilityModelGroup,O116,16)/INDEX(ReliabilityModelGroup,O116,17)*INDEX(RelAdjFactors,O116,15),0)</f>
        <v>1.6574357899845926E-3</v>
      </c>
      <c r="X129" s="1140">
        <f>IFERROR(AlphaSTD*MAX(AlphaTTI*(1+INDEX(ReliabilityModelGroup,O116,24)*V129)^BetaTTI-1,0)^BetaSTD*INDEX(ReliabilityModelGroup,O116,23)/INDEX(ReliabilityModelGroup,O116,24)*INDEX(RelAdjFactors,O116,15),0)</f>
        <v>7.8474510872739893E-4</v>
      </c>
      <c r="Y129" s="1156">
        <f>MIN(Q129,R129)*(W129-X129)*(INDEX(ReliabilityModelGroup,A116,12)*AnnualFactor)</f>
        <v>574.25406100841019</v>
      </c>
      <c r="Z129" s="1157">
        <f>IF(AND(R129&gt;Q129, Induced="Y"), (R129-Q129)*(W129-X129)*0.5*(INDEX(ReliabilityModelGroup,A116,12)*AnnualFactor), 0)</f>
        <v>0</v>
      </c>
      <c r="AA129" s="1143">
        <f t="shared" si="34"/>
        <v>22677.292869222121</v>
      </c>
      <c r="AB129" s="370">
        <f t="shared" si="35"/>
        <v>16570.075775501937</v>
      </c>
    </row>
    <row r="130" spans="2:28" x14ac:dyDescent="0.2">
      <c r="B130" s="375">
        <f t="shared" si="36"/>
        <v>2031</v>
      </c>
      <c r="C130" s="401">
        <f>MAX(TREND(C122:C123,$B122:$B123,$B130),0)</f>
        <v>2904.0142857142928</v>
      </c>
      <c r="D130" s="402">
        <f>MAX(TREND(D122:D123,$B122:$B123,$B130),0)</f>
        <v>2889.3103448275797</v>
      </c>
      <c r="E130" s="725">
        <f>MAX(TREND(E122:E123,$B122:$B123,$B130),0)</f>
        <v>43.171365330848083</v>
      </c>
      <c r="F130" s="726">
        <f>MAX(TREND(F122:F123,$B122:$B123,$B130),0)</f>
        <v>76.155555555555594</v>
      </c>
      <c r="G130" s="1139">
        <f>IFERROR(MAX(1/E130-1/INDEX(ReliabilityModelGroup,A116,17), 0),0)</f>
        <v>0</v>
      </c>
      <c r="H130" s="1140">
        <f>IFERROR(MAX(1/F130-1/INDEX(ReliabilityModelGroup,A116,24), 0),0)</f>
        <v>0</v>
      </c>
      <c r="I130" s="1139">
        <f>IFERROR(AlphaSTD*MAX(AlphaTTI*(1+INDEX(ReliabilityModelGroup,A116,17)*G130)^BetaTTI-1,0)^BetaSTD*INDEX(ReliabilityModelGroup,A116,16)/INDEX(ReliabilityModelGroup,A116,17)*INDEX(RelAdjFactors,A116,5),0)</f>
        <v>1.6574357899845926E-3</v>
      </c>
      <c r="J130" s="1140">
        <f>IFERROR(AlphaSTD*MAX(AlphaTTI*(1+INDEX(ReliabilityModelGroup,A116,24)*H130)^BetaTTI-1,0)^BetaSTD*INDEX(ReliabilityModelGroup,A116,23)/INDEX(ReliabilityModelGroup,A116,24)*INDEX(RelAdjFactors,A116,5),0)</f>
        <v>7.8474510872739893E-4</v>
      </c>
      <c r="K130" s="1156">
        <f>MIN(C130*INDEX(ReliabilityModelGroup,A116,18),D130*INDEX(ReliabilityModelGroup,A116,25))*(I130-J130)*(INDEX(ReliabilityModelGroup,A116,12)*AnnualFactor)</f>
        <v>2668.9804546627129</v>
      </c>
      <c r="L130" s="1157">
        <f>IF(AND(D130*INDEX(ReliabilityModelGroup,A116,25)&gt;C130*INDEX(ReliabilityModelGroup,A116,18), Induced="Y"), (D130*INDEX(ReliabilityModelGroup,A116,25)-C130*INDEX(ReliabilityModelGroup,A116,18))*(I130-J130)*0.5*(INDEX(ReliabilityModelGroup,A116,12)*AnnualFactor), 0)</f>
        <v>0</v>
      </c>
      <c r="M130" s="1143">
        <f t="shared" si="32"/>
        <v>34589.986692428763</v>
      </c>
      <c r="N130" s="370">
        <f t="shared" si="33"/>
        <v>24302.465833948714</v>
      </c>
      <c r="P130" s="375">
        <f t="shared" si="37"/>
        <v>2031</v>
      </c>
      <c r="Q130" s="401">
        <f>MAX(TREND(Q122:Q123,$P122:$P123,$P130),0)</f>
        <v>917.05714285714203</v>
      </c>
      <c r="R130" s="402">
        <f>MAX(TREND(R122:R123,$P122:$P123,$P130),0)</f>
        <v>912.41379310344928</v>
      </c>
      <c r="S130" s="725">
        <f>MAX(TREND(S122:S123,$P122:$P123,$P130),0)</f>
        <v>43.171365330848083</v>
      </c>
      <c r="T130" s="726">
        <f>MAX(TREND(T122:T123,$P122:$P123,$P130),0)</f>
        <v>76.155555555555594</v>
      </c>
      <c r="U130" s="1139">
        <f>IFERROR(MAX(1/S130-1/INDEX(ReliabilityModelGroup,O116,17), 0),0)</f>
        <v>0</v>
      </c>
      <c r="V130" s="1140">
        <f>IFERROR(MAX(1/T130-1/INDEX(ReliabilityModelGroup,O116,24), 0),0)</f>
        <v>0</v>
      </c>
      <c r="W130" s="1139">
        <f>IFERROR(AlphaSTD*MAX(AlphaTTI*(1+INDEX(ReliabilityModelGroup,O116,17)*U130)^BetaTTI-1,0)^BetaSTD*INDEX(ReliabilityModelGroup,O116,16)/INDEX(ReliabilityModelGroup,O116,17)*INDEX(RelAdjFactors,O116,15),0)</f>
        <v>1.6574357899845926E-3</v>
      </c>
      <c r="X130" s="1140">
        <f>IFERROR(AlphaSTD*MAX(AlphaTTI*(1+INDEX(ReliabilityModelGroup,O116,24)*V130)^BetaTTI-1,0)^BetaSTD*INDEX(ReliabilityModelGroup,O116,23)/INDEX(ReliabilityModelGroup,O116,24)*INDEX(RelAdjFactors,O116,15),0)</f>
        <v>7.8474510872739893E-4</v>
      </c>
      <c r="Y130" s="1156">
        <f>MIN(Q130,R130)*(W130-X130)*(INDEX(ReliabilityModelGroup,A116,12)*AnnualFactor)</f>
        <v>581.26616072509375</v>
      </c>
      <c r="Z130" s="1157">
        <f>IF(AND(R130&gt;Q130, Induced="Y"), (R130-Q130)*(W130-X130)*0.5*(INDEX(ReliabilityModelGroup,A116,12)*AnnualFactor), 0)</f>
        <v>0</v>
      </c>
      <c r="AA130" s="1143">
        <f t="shared" si="34"/>
        <v>22954.200687033954</v>
      </c>
      <c r="AB130" s="370">
        <f t="shared" si="35"/>
        <v>16127.316928524533</v>
      </c>
    </row>
    <row r="131" spans="2:28" x14ac:dyDescent="0.2">
      <c r="B131" s="375">
        <f t="shared" si="36"/>
        <v>2032</v>
      </c>
      <c r="C131" s="401">
        <f>MAX(TREND(C122:C123,$B122:$B123,$B131),0)</f>
        <v>2939.1371428571438</v>
      </c>
      <c r="D131" s="402">
        <f>MAX(TREND(D122:D123,$B122:$B123,$B131),0)</f>
        <v>2924.1655172413739</v>
      </c>
      <c r="E131" s="725">
        <f>MAX(TREND(E122:E123,$B122:$B123,$B131),0)</f>
        <v>43.14012115563839</v>
      </c>
      <c r="F131" s="726">
        <f>MAX(TREND(F122:F123,$B122:$B123,$B131),0)</f>
        <v>76.038518518518543</v>
      </c>
      <c r="G131" s="1139">
        <f>IFERROR(MAX(1/E131-1/INDEX(ReliabilityModelGroup,A116,17), 0),0)</f>
        <v>0</v>
      </c>
      <c r="H131" s="1140">
        <f>IFERROR(MAX(1/F131-1/INDEX(ReliabilityModelGroup,A116,24), 0),0)</f>
        <v>0</v>
      </c>
      <c r="I131" s="1139">
        <f>IFERROR(AlphaSTD*MAX(AlphaTTI*(1+INDEX(ReliabilityModelGroup,A116,17)*G131)^BetaTTI-1,0)^BetaSTD*INDEX(ReliabilityModelGroup,A116,16)/INDEX(ReliabilityModelGroup,A116,17)*INDEX(RelAdjFactors,A116,5),0)</f>
        <v>1.6574357899845926E-3</v>
      </c>
      <c r="J131" s="1140">
        <f>IFERROR(AlphaSTD*MAX(AlphaTTI*(1+INDEX(ReliabilityModelGroup,A116,24)*H131)^BetaTTI-1,0)^BetaSTD*INDEX(ReliabilityModelGroup,A116,23)/INDEX(ReliabilityModelGroup,A116,24)*INDEX(RelAdjFactors,A116,5),0)</f>
        <v>7.8474510872739893E-4</v>
      </c>
      <c r="K131" s="1156">
        <f>MIN(C131*INDEX(ReliabilityModelGroup,A116,18),D131*INDEX(ReliabilityModelGroup,A116,25))*(I131-J131)*(INDEX(ReliabilityModelGroup,A116,12)*AnnualFactor)</f>
        <v>2701.1776791951534</v>
      </c>
      <c r="L131" s="1157">
        <f>IF(AND(D131*INDEX(ReliabilityModelGroup,A116,25)&gt;C131*INDEX(ReliabilityModelGroup,A116,18), Induced="Y"), (D131*INDEX(ReliabilityModelGroup,A116,25)-C131*INDEX(ReliabilityModelGroup,A116,18))*(I131-J131)*0.5*(INDEX(ReliabilityModelGroup,A116,12)*AnnualFactor), 0)</f>
        <v>0</v>
      </c>
      <c r="M131" s="1143">
        <f t="shared" si="32"/>
        <v>35007.262722369196</v>
      </c>
      <c r="N131" s="370">
        <f t="shared" si="33"/>
        <v>23649.652343903708</v>
      </c>
      <c r="P131" s="375">
        <f t="shared" si="37"/>
        <v>2032</v>
      </c>
      <c r="Q131" s="401">
        <f>MAX(TREND(Q122:Q123,$P122:$P123,$P131),0)</f>
        <v>928.14857142856999</v>
      </c>
      <c r="R131" s="402">
        <f>MAX(TREND(R122:R123,$P122:$P123,$P131),0)</f>
        <v>923.42068965517319</v>
      </c>
      <c r="S131" s="725">
        <f>MAX(TREND(S122:S123,$P122:$P123,$P131),0)</f>
        <v>43.14012115563839</v>
      </c>
      <c r="T131" s="726">
        <f>MAX(TREND(T122:T123,$P122:$P123,$P131),0)</f>
        <v>76.038518518518543</v>
      </c>
      <c r="U131" s="1139">
        <f>IFERROR(MAX(1/S131-1/INDEX(ReliabilityModelGroup,O116,17), 0),0)</f>
        <v>0</v>
      </c>
      <c r="V131" s="1140">
        <f>IFERROR(MAX(1/T131-1/INDEX(ReliabilityModelGroup,O116,24), 0),0)</f>
        <v>0</v>
      </c>
      <c r="W131" s="1139">
        <f>IFERROR(AlphaSTD*MAX(AlphaTTI*(1+INDEX(ReliabilityModelGroup,O116,17)*U131)^BetaTTI-1,0)^BetaSTD*INDEX(ReliabilityModelGroup,O116,16)/INDEX(ReliabilityModelGroup,O116,17)*INDEX(RelAdjFactors,O116,15),0)</f>
        <v>1.6574357899845926E-3</v>
      </c>
      <c r="X131" s="1140">
        <f>IFERROR(AlphaSTD*MAX(AlphaTTI*(1+INDEX(ReliabilityModelGroup,O116,24)*V131)^BetaTTI-1,0)^BetaSTD*INDEX(ReliabilityModelGroup,O116,23)/INDEX(ReliabilityModelGroup,O116,24)*INDEX(RelAdjFactors,O116,15),0)</f>
        <v>7.8474510872739893E-4</v>
      </c>
      <c r="Y131" s="1156">
        <f>MIN(Q131,R131)*(W131-X131)*(INDEX(ReliabilityModelGroup,A116,12)*AnnualFactor)</f>
        <v>588.27826044177721</v>
      </c>
      <c r="Z131" s="1157">
        <f>IF(AND(R131&gt;Q131, Induced="Y"), (R131-Q131)*(W131-X131)*0.5*(INDEX(ReliabilityModelGroup,A116,12)*AnnualFactor), 0)</f>
        <v>0</v>
      </c>
      <c r="AA131" s="1143">
        <f t="shared" si="34"/>
        <v>23231.108504845786</v>
      </c>
      <c r="AB131" s="370">
        <f t="shared" si="35"/>
        <v>15694.104507978083</v>
      </c>
    </row>
    <row r="132" spans="2:28" x14ac:dyDescent="0.2">
      <c r="B132" s="375">
        <f t="shared" si="36"/>
        <v>2033</v>
      </c>
      <c r="C132" s="401">
        <f>MAX(TREND(C122:C123,$B122:$B123,$B132),0)</f>
        <v>2974.2600000000093</v>
      </c>
      <c r="D132" s="402">
        <f>MAX(TREND(D122:D123,$B122:$B123,$B132),0)</f>
        <v>2959.0206896551681</v>
      </c>
      <c r="E132" s="725">
        <f>MAX(TREND(E122:E123,$B122:$B123,$B132),0)</f>
        <v>43.108876980428697</v>
      </c>
      <c r="F132" s="726">
        <f>MAX(TREND(F122:F123,$B122:$B123,$B132),0)</f>
        <v>75.921481481481521</v>
      </c>
      <c r="G132" s="1139">
        <f>IFERROR(MAX(1/E132-1/INDEX(ReliabilityModelGroup,A116,17), 0),0)</f>
        <v>0</v>
      </c>
      <c r="H132" s="1140">
        <f>IFERROR(MAX(1/F132-1/INDEX(ReliabilityModelGroup,A116,24), 0),0)</f>
        <v>0</v>
      </c>
      <c r="I132" s="1139">
        <f>IFERROR(AlphaSTD*MAX(AlphaTTI*(1+INDEX(ReliabilityModelGroup,A116,17)*G132)^BetaTTI-1,0)^BetaSTD*INDEX(ReliabilityModelGroup,A116,16)/INDEX(ReliabilityModelGroup,A116,17)*INDEX(RelAdjFactors,A116,5),0)</f>
        <v>1.6574357899845926E-3</v>
      </c>
      <c r="J132" s="1140">
        <f>IFERROR(AlphaSTD*MAX(AlphaTTI*(1+INDEX(ReliabilityModelGroup,A116,24)*H132)^BetaTTI-1,0)^BetaSTD*INDEX(ReliabilityModelGroup,A116,23)/INDEX(ReliabilityModelGroup,A116,24)*INDEX(RelAdjFactors,A116,5),0)</f>
        <v>7.8474510872739893E-4</v>
      </c>
      <c r="K132" s="1156">
        <f>MIN(C132*INDEX(ReliabilityModelGroup,A116,18),D132*INDEX(ReliabilityModelGroup,A116,25))*(I132-J132)*(INDEX(ReliabilityModelGroup,A116,12)*AnnualFactor)</f>
        <v>2733.3749037275934</v>
      </c>
      <c r="L132" s="1157">
        <f>IF(AND(D132*INDEX(ReliabilityModelGroup,A116,25)&gt;C132*INDEX(ReliabilityModelGroup,A116,18), Induced="Y"), (D132*INDEX(ReliabilityModelGroup,A116,25)-C132*INDEX(ReliabilityModelGroup,A116,18))*(I132-J132)*0.5*(INDEX(ReliabilityModelGroup,A116,12)*AnnualFactor), 0)</f>
        <v>0</v>
      </c>
      <c r="M132" s="1143">
        <f t="shared" si="32"/>
        <v>35424.538752309621</v>
      </c>
      <c r="N132" s="370">
        <f t="shared" si="33"/>
        <v>23011.104882924366</v>
      </c>
      <c r="P132" s="375">
        <f t="shared" si="37"/>
        <v>2033</v>
      </c>
      <c r="Q132" s="401">
        <f>MAX(TREND(Q122:Q123,$P122:$P123,$P132),0)</f>
        <v>939.2400000000016</v>
      </c>
      <c r="R132" s="402">
        <f>MAX(TREND(R122:R123,$P122:$P123,$P132),0)</f>
        <v>934.4275862068971</v>
      </c>
      <c r="S132" s="725">
        <f>MAX(TREND(S122:S123,$P122:$P123,$P132),0)</f>
        <v>43.108876980428697</v>
      </c>
      <c r="T132" s="726">
        <f>MAX(TREND(T122:T123,$P122:$P123,$P132),0)</f>
        <v>75.921481481481521</v>
      </c>
      <c r="U132" s="1139">
        <f>IFERROR(MAX(1/S132-1/INDEX(ReliabilityModelGroup,O116,17), 0),0)</f>
        <v>0</v>
      </c>
      <c r="V132" s="1140">
        <f>IFERROR(MAX(1/T132-1/INDEX(ReliabilityModelGroup,O116,24), 0),0)</f>
        <v>0</v>
      </c>
      <c r="W132" s="1139">
        <f>IFERROR(AlphaSTD*MAX(AlphaTTI*(1+INDEX(ReliabilityModelGroup,O116,17)*U132)^BetaTTI-1,0)^BetaSTD*INDEX(ReliabilityModelGroup,O116,16)/INDEX(ReliabilityModelGroup,O116,17)*INDEX(RelAdjFactors,O116,15),0)</f>
        <v>1.6574357899845926E-3</v>
      </c>
      <c r="X132" s="1140">
        <f>IFERROR(AlphaSTD*MAX(AlphaTTI*(1+INDEX(ReliabilityModelGroup,O116,24)*V132)^BetaTTI-1,0)^BetaSTD*INDEX(ReliabilityModelGroup,O116,23)/INDEX(ReliabilityModelGroup,O116,24)*INDEX(RelAdjFactors,O116,15),0)</f>
        <v>7.8474510872739893E-4</v>
      </c>
      <c r="Y132" s="1156">
        <f>MIN(Q132,R132)*(W132-X132)*(INDEX(ReliabilityModelGroup,A116,12)*AnnualFactor)</f>
        <v>595.29036015846077</v>
      </c>
      <c r="Z132" s="1157">
        <f>IF(AND(R132&gt;Q132, Induced="Y"), (R132-Q132)*(W132-X132)*0.5*(INDEX(ReliabilityModelGroup,A116,12)*AnnualFactor), 0)</f>
        <v>0</v>
      </c>
      <c r="AA132" s="1143">
        <f t="shared" si="34"/>
        <v>23508.016322657619</v>
      </c>
      <c r="AB132" s="370">
        <f t="shared" si="35"/>
        <v>15270.359142076442</v>
      </c>
    </row>
    <row r="133" spans="2:28" x14ac:dyDescent="0.2">
      <c r="B133" s="375">
        <f t="shared" si="36"/>
        <v>2034</v>
      </c>
      <c r="C133" s="401">
        <f>MAX(TREND(C122:C123,$B122:$B123,$B133),0)</f>
        <v>3009.3828571428603</v>
      </c>
      <c r="D133" s="402">
        <f>MAX(TREND(D122:D123,$B122:$B123,$B133),0)</f>
        <v>2993.8758620689623</v>
      </c>
      <c r="E133" s="725">
        <f>MAX(TREND(E122:E123,$B122:$B123,$B133),0)</f>
        <v>43.077632805219004</v>
      </c>
      <c r="F133" s="726">
        <f>MAX(TREND(F122:F123,$B122:$B123,$B133),0)</f>
        <v>75.804444444444471</v>
      </c>
      <c r="G133" s="1139">
        <f>IFERROR(MAX(1/E133-1/INDEX(ReliabilityModelGroup,A116,17), 0),0)</f>
        <v>0</v>
      </c>
      <c r="H133" s="1140">
        <f>IFERROR(MAX(1/F133-1/INDEX(ReliabilityModelGroup,A116,24), 0),0)</f>
        <v>0</v>
      </c>
      <c r="I133" s="1139">
        <f>IFERROR(AlphaSTD*MAX(AlphaTTI*(1+INDEX(ReliabilityModelGroup,A116,17)*G133)^BetaTTI-1,0)^BetaSTD*INDEX(ReliabilityModelGroup,A116,16)/INDEX(ReliabilityModelGroup,A116,17)*INDEX(RelAdjFactors,A116,5),0)</f>
        <v>1.6574357899845926E-3</v>
      </c>
      <c r="J133" s="1140">
        <f>IFERROR(AlphaSTD*MAX(AlphaTTI*(1+INDEX(ReliabilityModelGroup,A116,24)*H133)^BetaTTI-1,0)^BetaSTD*INDEX(ReliabilityModelGroup,A116,23)/INDEX(ReliabilityModelGroup,A116,24)*INDEX(RelAdjFactors,A116,5),0)</f>
        <v>7.8474510872739893E-4</v>
      </c>
      <c r="K133" s="1156">
        <f>MIN(C133*INDEX(ReliabilityModelGroup,A116,18),D133*INDEX(ReliabilityModelGroup,A116,25))*(I133-J133)*(INDEX(ReliabilityModelGroup,A116,12)*AnnualFactor)</f>
        <v>2765.5721282600339</v>
      </c>
      <c r="L133" s="1157">
        <f>IF(AND(D133*INDEX(ReliabilityModelGroup,A116,25)&gt;C133*INDEX(ReliabilityModelGroup,A116,18), Induced="Y"), (D133*INDEX(ReliabilityModelGroup,A116,25)-C133*INDEX(ReliabilityModelGroup,A116,18))*(I133-J133)*0.5*(INDEX(ReliabilityModelGroup,A116,12)*AnnualFactor), 0)</f>
        <v>0</v>
      </c>
      <c r="M133" s="1143">
        <f t="shared" si="32"/>
        <v>35841.814782250047</v>
      </c>
      <c r="N133" s="370">
        <f t="shared" si="33"/>
        <v>22386.691764588544</v>
      </c>
      <c r="P133" s="375">
        <f t="shared" si="37"/>
        <v>2034</v>
      </c>
      <c r="Q133" s="401">
        <f>MAX(TREND(Q122:Q123,$P122:$P123,$P133),0)</f>
        <v>950.33142857142957</v>
      </c>
      <c r="R133" s="402">
        <f>MAX(TREND(R122:R123,$P122:$P123,$P133),0)</f>
        <v>945.43448275862102</v>
      </c>
      <c r="S133" s="725">
        <f>MAX(TREND(S122:S123,$P122:$P123,$P133),0)</f>
        <v>43.077632805219004</v>
      </c>
      <c r="T133" s="726">
        <f>MAX(TREND(T122:T123,$P122:$P123,$P133),0)</f>
        <v>75.804444444444471</v>
      </c>
      <c r="U133" s="1139">
        <f>IFERROR(MAX(1/S133-1/INDEX(ReliabilityModelGroup,O116,17), 0),0)</f>
        <v>0</v>
      </c>
      <c r="V133" s="1140">
        <f>IFERROR(MAX(1/T133-1/INDEX(ReliabilityModelGroup,O116,24), 0),0)</f>
        <v>0</v>
      </c>
      <c r="W133" s="1139">
        <f>IFERROR(AlphaSTD*MAX(AlphaTTI*(1+INDEX(ReliabilityModelGroup,O116,17)*U133)^BetaTTI-1,0)^BetaSTD*INDEX(ReliabilityModelGroup,O116,16)/INDEX(ReliabilityModelGroup,O116,17)*INDEX(RelAdjFactors,O116,15),0)</f>
        <v>1.6574357899845926E-3</v>
      </c>
      <c r="X133" s="1140">
        <f>IFERROR(AlphaSTD*MAX(AlphaTTI*(1+INDEX(ReliabilityModelGroup,O116,24)*V133)^BetaTTI-1,0)^BetaSTD*INDEX(ReliabilityModelGroup,O116,23)/INDEX(ReliabilityModelGroup,O116,24)*INDEX(RelAdjFactors,O116,15),0)</f>
        <v>7.8474510872739893E-4</v>
      </c>
      <c r="Y133" s="1156">
        <f>MIN(Q133,R133)*(W133-X133)*(INDEX(ReliabilityModelGroup,A116,12)*AnnualFactor)</f>
        <v>602.30245987514434</v>
      </c>
      <c r="Z133" s="1157">
        <f>IF(AND(R133&gt;Q133, Induced="Y"), (R133-Q133)*(W133-X133)*0.5*(INDEX(ReliabilityModelGroup,A116,12)*AnnualFactor), 0)</f>
        <v>0</v>
      </c>
      <c r="AA133" s="1143">
        <f t="shared" si="34"/>
        <v>23784.924140469448</v>
      </c>
      <c r="AB133" s="370">
        <f t="shared" si="35"/>
        <v>14855.993442622885</v>
      </c>
    </row>
    <row r="134" spans="2:28" x14ac:dyDescent="0.2">
      <c r="B134" s="375">
        <f t="shared" si="36"/>
        <v>2035</v>
      </c>
      <c r="C134" s="401">
        <f>MAX(TREND(C122:C123,$B122:$B123,$B134),0)</f>
        <v>3044.5057142857258</v>
      </c>
      <c r="D134" s="402">
        <f>MAX(TREND(D122:D123,$B122:$B123,$B134),0)</f>
        <v>3028.7310344827565</v>
      </c>
      <c r="E134" s="725">
        <f>MAX(TREND(E122:E123,$B122:$B123,$B134),0)</f>
        <v>43.046388630009311</v>
      </c>
      <c r="F134" s="726">
        <f>MAX(TREND(F122:F123,$B122:$B123,$B134),0)</f>
        <v>75.687407407407449</v>
      </c>
      <c r="G134" s="1139">
        <f>IFERROR(MAX(1/E134-1/INDEX(ReliabilityModelGroup,A116,17), 0),0)</f>
        <v>0</v>
      </c>
      <c r="H134" s="1140">
        <f>IFERROR(MAX(1/F134-1/INDEX(ReliabilityModelGroup,A116,24), 0),0)</f>
        <v>0</v>
      </c>
      <c r="I134" s="1139">
        <f>IFERROR(AlphaSTD*MAX(AlphaTTI*(1+INDEX(ReliabilityModelGroup,A116,17)*G134)^BetaTTI-1,0)^BetaSTD*INDEX(ReliabilityModelGroup,A116,16)/INDEX(ReliabilityModelGroup,A116,17)*INDEX(RelAdjFactors,A116,5),0)</f>
        <v>1.6574357899845926E-3</v>
      </c>
      <c r="J134" s="1140">
        <f>IFERROR(AlphaSTD*MAX(AlphaTTI*(1+INDEX(ReliabilityModelGroup,A116,24)*H134)^BetaTTI-1,0)^BetaSTD*INDEX(ReliabilityModelGroup,A116,23)/INDEX(ReliabilityModelGroup,A116,24)*INDEX(RelAdjFactors,A116,5),0)</f>
        <v>7.8474510872739893E-4</v>
      </c>
      <c r="K134" s="1156">
        <f>MIN(C134*INDEX(ReliabilityModelGroup,A116,18),D134*INDEX(ReliabilityModelGroup,A116,25))*(I134-J134)*(INDEX(ReliabilityModelGroup,A116,12)*AnnualFactor)</f>
        <v>2797.7693527924739</v>
      </c>
      <c r="L134" s="1157">
        <f>IF(AND(D134*INDEX(ReliabilityModelGroup,A116,25)&gt;C134*INDEX(ReliabilityModelGroup,A116,18), Induced="Y"), (D134*INDEX(ReliabilityModelGroup,A116,25)-C134*INDEX(ReliabilityModelGroup,A116,18))*(I134-J134)*0.5*(INDEX(ReliabilityModelGroup,A116,12)*AnnualFactor), 0)</f>
        <v>0</v>
      </c>
      <c r="M134" s="1143">
        <f t="shared" si="32"/>
        <v>36259.090812190472</v>
      </c>
      <c r="N134" s="370">
        <f t="shared" si="33"/>
        <v>21776.270328605591</v>
      </c>
      <c r="P134" s="375">
        <f t="shared" si="37"/>
        <v>2035</v>
      </c>
      <c r="Q134" s="401">
        <f>MAX(TREND(Q122:Q123,$P122:$P123,$P134),0)</f>
        <v>961.42285714285754</v>
      </c>
      <c r="R134" s="402">
        <f>MAX(TREND(R122:R123,$P122:$P123,$P134),0)</f>
        <v>956.44137931034493</v>
      </c>
      <c r="S134" s="725">
        <f>MAX(TREND(S122:S123,$P122:$P123,$P134),0)</f>
        <v>43.046388630009311</v>
      </c>
      <c r="T134" s="726">
        <f>MAX(TREND(T122:T123,$P122:$P123,$P134),0)</f>
        <v>75.687407407407449</v>
      </c>
      <c r="U134" s="1139">
        <f>IFERROR(MAX(1/S134-1/INDEX(ReliabilityModelGroup,O116,17), 0),0)</f>
        <v>0</v>
      </c>
      <c r="V134" s="1140">
        <f>IFERROR(MAX(1/T134-1/INDEX(ReliabilityModelGroup,O116,24), 0),0)</f>
        <v>0</v>
      </c>
      <c r="W134" s="1139">
        <f>IFERROR(AlphaSTD*MAX(AlphaTTI*(1+INDEX(ReliabilityModelGroup,O116,17)*U134)^BetaTTI-1,0)^BetaSTD*INDEX(ReliabilityModelGroup,O116,16)/INDEX(ReliabilityModelGroup,O116,17)*INDEX(RelAdjFactors,O116,15),0)</f>
        <v>1.6574357899845926E-3</v>
      </c>
      <c r="X134" s="1140">
        <f>IFERROR(AlphaSTD*MAX(AlphaTTI*(1+INDEX(ReliabilityModelGroup,O116,24)*V134)^BetaTTI-1,0)^BetaSTD*INDEX(ReliabilityModelGroup,O116,23)/INDEX(ReliabilityModelGroup,O116,24)*INDEX(RelAdjFactors,O116,15),0)</f>
        <v>7.8474510872739893E-4</v>
      </c>
      <c r="Y134" s="1156">
        <f>MIN(Q134,R134)*(W134-X134)*(INDEX(ReliabilityModelGroup,A116,12)*AnnualFactor)</f>
        <v>609.3145595918279</v>
      </c>
      <c r="Z134" s="1157">
        <f>IF(AND(R134&gt;Q134, Induced="Y"), (R134-Q134)*(W134-X134)*0.5*(INDEX(ReliabilityModelGroup,A116,12)*AnnualFactor), 0)</f>
        <v>0</v>
      </c>
      <c r="AA134" s="1143">
        <f t="shared" si="34"/>
        <v>24061.831958281284</v>
      </c>
      <c r="AB134" s="370">
        <f t="shared" si="35"/>
        <v>14450.912739070971</v>
      </c>
    </row>
    <row r="135" spans="2:28" x14ac:dyDescent="0.2">
      <c r="B135" s="375">
        <f t="shared" si="36"/>
        <v>2036</v>
      </c>
      <c r="C135" s="401">
        <f>MAX(TREND(C122:C123,$B122:$B123,$B135),0)</f>
        <v>3079.6285714285768</v>
      </c>
      <c r="D135" s="402">
        <f>MAX(TREND(D122:D123,$B122:$B123,$B135),0)</f>
        <v>3063.5862068965507</v>
      </c>
      <c r="E135" s="725">
        <f>MAX(TREND(E122:E123,$B122:$B123,$B135),0)</f>
        <v>43.015144454799618</v>
      </c>
      <c r="F135" s="726">
        <f>MAX(TREND(F122:F123,$B122:$B123,$B135),0)</f>
        <v>75.570370370370398</v>
      </c>
      <c r="G135" s="1139">
        <f>IFERROR(MAX(1/E135-1/INDEX(ReliabilityModelGroup,A116,17), 0),0)</f>
        <v>0</v>
      </c>
      <c r="H135" s="1140">
        <f>IFERROR(MAX(1/F135-1/INDEX(ReliabilityModelGroup,A116,24), 0),0)</f>
        <v>0</v>
      </c>
      <c r="I135" s="1139">
        <f>IFERROR(AlphaSTD*MAX(AlphaTTI*(1+INDEX(ReliabilityModelGroup,A116,17)*G135)^BetaTTI-1,0)^BetaSTD*INDEX(ReliabilityModelGroup,A116,16)/INDEX(ReliabilityModelGroup,A116,17)*INDEX(RelAdjFactors,A116,5),0)</f>
        <v>1.6574357899845926E-3</v>
      </c>
      <c r="J135" s="1140">
        <f>IFERROR(AlphaSTD*MAX(AlphaTTI*(1+INDEX(ReliabilityModelGroup,A116,24)*H135)^BetaTTI-1,0)^BetaSTD*INDEX(ReliabilityModelGroup,A116,23)/INDEX(ReliabilityModelGroup,A116,24)*INDEX(RelAdjFactors,A116,5),0)</f>
        <v>7.8474510872739893E-4</v>
      </c>
      <c r="K135" s="1156">
        <f>MIN(C135*INDEX(ReliabilityModelGroup,A116,18),D135*INDEX(ReliabilityModelGroup,A116,25))*(I135-J135)*(INDEX(ReliabilityModelGroup,A116,12)*AnnualFactor)</f>
        <v>2829.9665773249139</v>
      </c>
      <c r="L135" s="1157">
        <f>IF(AND(D135*INDEX(ReliabilityModelGroup,A116,25)&gt;C135*INDEX(ReliabilityModelGroup,A116,18), Induced="Y"), (D135*INDEX(ReliabilityModelGroup,A116,25)-C135*INDEX(ReliabilityModelGroup,A116,18))*(I135-J135)*0.5*(INDEX(ReliabilityModelGroup,A116,12)*AnnualFactor), 0)</f>
        <v>0</v>
      </c>
      <c r="M135" s="1143">
        <f t="shared" si="32"/>
        <v>36676.36684213089</v>
      </c>
      <c r="N135" s="370">
        <f t="shared" si="33"/>
        <v>21179.687979762468</v>
      </c>
      <c r="P135" s="375">
        <f t="shared" si="37"/>
        <v>2036</v>
      </c>
      <c r="Q135" s="401">
        <f>MAX(TREND(Q122:Q123,$P122:$P123,$P135),0)</f>
        <v>972.51428571428551</v>
      </c>
      <c r="R135" s="402">
        <f>MAX(TREND(R122:R123,$P122:$P123,$P135),0)</f>
        <v>967.44827586206884</v>
      </c>
      <c r="S135" s="725">
        <f>MAX(TREND(S122:S123,$P122:$P123,$P135),0)</f>
        <v>43.015144454799618</v>
      </c>
      <c r="T135" s="726">
        <f>MAX(TREND(T122:T123,$P122:$P123,$P135),0)</f>
        <v>75.570370370370398</v>
      </c>
      <c r="U135" s="1139">
        <f>IFERROR(MAX(1/S135-1/INDEX(ReliabilityModelGroup,O116,17), 0),0)</f>
        <v>0</v>
      </c>
      <c r="V135" s="1140">
        <f>IFERROR(MAX(1/T135-1/INDEX(ReliabilityModelGroup,O116,24), 0),0)</f>
        <v>0</v>
      </c>
      <c r="W135" s="1139">
        <f>IFERROR(AlphaSTD*MAX(AlphaTTI*(1+INDEX(ReliabilityModelGroup,O116,17)*U135)^BetaTTI-1,0)^BetaSTD*INDEX(ReliabilityModelGroup,O116,16)/INDEX(ReliabilityModelGroup,O116,17)*INDEX(RelAdjFactors,O116,15),0)</f>
        <v>1.6574357899845926E-3</v>
      </c>
      <c r="X135" s="1140">
        <f>IFERROR(AlphaSTD*MAX(AlphaTTI*(1+INDEX(ReliabilityModelGroup,O116,24)*V135)^BetaTTI-1,0)^BetaSTD*INDEX(ReliabilityModelGroup,O116,23)/INDEX(ReliabilityModelGroup,O116,24)*INDEX(RelAdjFactors,O116,15),0)</f>
        <v>7.8474510872739893E-4</v>
      </c>
      <c r="Y135" s="1156">
        <f>MIN(Q135,R135)*(W135-X135)*(INDEX(ReliabilityModelGroup,A116,12)*AnnualFactor)</f>
        <v>616.32665930851135</v>
      </c>
      <c r="Z135" s="1157">
        <f>IF(AND(R135&gt;Q135, Induced="Y"), (R135-Q135)*(W135-X135)*0.5*(INDEX(ReliabilityModelGroup,A116,12)*AnnualFactor), 0)</f>
        <v>0</v>
      </c>
      <c r="AA135" s="1143">
        <f t="shared" si="34"/>
        <v>24338.739776093113</v>
      </c>
      <c r="AB135" s="370">
        <f t="shared" si="35"/>
        <v>14055.015767977749</v>
      </c>
    </row>
    <row r="136" spans="2:28" x14ac:dyDescent="0.2">
      <c r="B136" s="375">
        <f t="shared" si="36"/>
        <v>2037</v>
      </c>
      <c r="C136" s="401">
        <f>MAX(TREND(C122:C123,$B122:$B123,$B136),0)</f>
        <v>3114.7514285714278</v>
      </c>
      <c r="D136" s="402">
        <f>MAX(TREND(D122:D123,$B122:$B123,$B136),0)</f>
        <v>3098.4413793103449</v>
      </c>
      <c r="E136" s="725">
        <f>MAX(TREND(E122:E123,$B122:$B123,$B136),0)</f>
        <v>42.983900279589925</v>
      </c>
      <c r="F136" s="726">
        <f>MAX(TREND(F122:F123,$B122:$B123,$B136),0)</f>
        <v>75.453333333333376</v>
      </c>
      <c r="G136" s="1139">
        <f>IFERROR(MAX(1/E136-1/INDEX(ReliabilityModelGroup,A116,17), 0),0)</f>
        <v>0</v>
      </c>
      <c r="H136" s="1140">
        <f>IFERROR(MAX(1/F136-1/INDEX(ReliabilityModelGroup,A116,24), 0),0)</f>
        <v>0</v>
      </c>
      <c r="I136" s="1139">
        <f>IFERROR(AlphaSTD*MAX(AlphaTTI*(1+INDEX(ReliabilityModelGroup,A116,17)*G136)^BetaTTI-1,0)^BetaSTD*INDEX(ReliabilityModelGroup,A116,16)/INDEX(ReliabilityModelGroup,A116,17)*INDEX(RelAdjFactors,A116,5),0)</f>
        <v>1.6574357899845926E-3</v>
      </c>
      <c r="J136" s="1140">
        <f>IFERROR(AlphaSTD*MAX(AlphaTTI*(1+INDEX(ReliabilityModelGroup,A116,24)*H136)^BetaTTI-1,0)^BetaSTD*INDEX(ReliabilityModelGroup,A116,23)/INDEX(ReliabilityModelGroup,A116,24)*INDEX(RelAdjFactors,A116,5),0)</f>
        <v>7.8474510872739893E-4</v>
      </c>
      <c r="K136" s="1156">
        <f>MIN(C136*INDEX(ReliabilityModelGroup,A116,18),D136*INDEX(ReliabilityModelGroup,A116,25))*(I136-J136)*(INDEX(ReliabilityModelGroup,A116,12)*AnnualFactor)</f>
        <v>2862.163801857354</v>
      </c>
      <c r="L136" s="1157">
        <f>IF(AND(D136*INDEX(ReliabilityModelGroup,A116,25)&gt;C136*INDEX(ReliabilityModelGroup,A116,18), Induced="Y"), (D136*INDEX(ReliabilityModelGroup,A116,25)-C136*INDEX(ReliabilityModelGroup,A116,18))*(I136-J136)*0.5*(INDEX(ReliabilityModelGroup,A116,12)*AnnualFactor), 0)</f>
        <v>0</v>
      </c>
      <c r="M136" s="1143">
        <f t="shared" si="32"/>
        <v>37093.642872071316</v>
      </c>
      <c r="N136" s="370">
        <f t="shared" si="33"/>
        <v>20596.783163184489</v>
      </c>
      <c r="P136" s="375">
        <f t="shared" si="37"/>
        <v>2037</v>
      </c>
      <c r="Q136" s="401">
        <f>MAX(TREND(Q122:Q123,$P122:$P123,$P136),0)</f>
        <v>983.60571428571347</v>
      </c>
      <c r="R136" s="402">
        <f>MAX(TREND(R122:R123,$P122:$P123,$P136),0)</f>
        <v>978.45517241379275</v>
      </c>
      <c r="S136" s="725">
        <f>MAX(TREND(S122:S123,$P122:$P123,$P136),0)</f>
        <v>42.983900279589925</v>
      </c>
      <c r="T136" s="726">
        <f>MAX(TREND(T122:T123,$P122:$P123,$P136),0)</f>
        <v>75.453333333333376</v>
      </c>
      <c r="U136" s="1139">
        <f>IFERROR(MAX(1/S136-1/INDEX(ReliabilityModelGroup,O116,17), 0),0)</f>
        <v>0</v>
      </c>
      <c r="V136" s="1140">
        <f>IFERROR(MAX(1/T136-1/INDEX(ReliabilityModelGroup,O116,24), 0),0)</f>
        <v>0</v>
      </c>
      <c r="W136" s="1139">
        <f>IFERROR(AlphaSTD*MAX(AlphaTTI*(1+INDEX(ReliabilityModelGroup,O116,17)*U136)^BetaTTI-1,0)^BetaSTD*INDEX(ReliabilityModelGroup,O116,16)/INDEX(ReliabilityModelGroup,O116,17)*INDEX(RelAdjFactors,O116,15),0)</f>
        <v>1.6574357899845926E-3</v>
      </c>
      <c r="X136" s="1140">
        <f>IFERROR(AlphaSTD*MAX(AlphaTTI*(1+INDEX(ReliabilityModelGroup,O116,24)*V136)^BetaTTI-1,0)^BetaSTD*INDEX(ReliabilityModelGroup,O116,23)/INDEX(ReliabilityModelGroup,O116,24)*INDEX(RelAdjFactors,O116,15),0)</f>
        <v>7.8474510872739893E-4</v>
      </c>
      <c r="Y136" s="1156">
        <f>MIN(Q136,R136)*(W136-X136)*(INDEX(ReliabilityModelGroup,A116,12)*AnnualFactor)</f>
        <v>623.33875902519492</v>
      </c>
      <c r="Z136" s="1157">
        <f>IF(AND(R136&gt;Q136, Induced="Y"), (R136-Q136)*(W136-X136)*0.5*(INDEX(ReliabilityModelGroup,A116,12)*AnnualFactor), 0)</f>
        <v>0</v>
      </c>
      <c r="AA136" s="1143">
        <f t="shared" si="34"/>
        <v>24615.647593904949</v>
      </c>
      <c r="AB136" s="370">
        <f t="shared" si="35"/>
        <v>13668.195320194851</v>
      </c>
    </row>
    <row r="137" spans="2:28" x14ac:dyDescent="0.2">
      <c r="B137" s="375">
        <f t="shared" si="36"/>
        <v>2038</v>
      </c>
      <c r="C137" s="401">
        <f>MAX(TREND(C122:C123,$B122:$B123,$B137),0)</f>
        <v>3149.8742857142934</v>
      </c>
      <c r="D137" s="402">
        <f>MAX(TREND(D122:D123,$B122:$B123,$B137),0)</f>
        <v>3133.2965517241391</v>
      </c>
      <c r="E137" s="725">
        <f>MAX(TREND(E122:E123,$B122:$B123,$B137),0)</f>
        <v>42.952656104380239</v>
      </c>
      <c r="F137" s="726">
        <f>MAX(TREND(F122:F123,$B122:$B123,$B137),0)</f>
        <v>75.336296296296325</v>
      </c>
      <c r="G137" s="1139">
        <f>IFERROR(MAX(1/E137-1/INDEX(ReliabilityModelGroup,A116,17), 0),0)</f>
        <v>0</v>
      </c>
      <c r="H137" s="1140">
        <f>IFERROR(MAX(1/F137-1/INDEX(ReliabilityModelGroup,A116,24), 0),0)</f>
        <v>0</v>
      </c>
      <c r="I137" s="1139">
        <f>IFERROR(AlphaSTD*MAX(AlphaTTI*(1+INDEX(ReliabilityModelGroup,A116,17)*G137)^BetaTTI-1,0)^BetaSTD*INDEX(ReliabilityModelGroup,A116,16)/INDEX(ReliabilityModelGroup,A116,17)*INDEX(RelAdjFactors,A116,5),0)</f>
        <v>1.6574357899845926E-3</v>
      </c>
      <c r="J137" s="1140">
        <f>IFERROR(AlphaSTD*MAX(AlphaTTI*(1+INDEX(ReliabilityModelGroup,A116,24)*H137)^BetaTTI-1,0)^BetaSTD*INDEX(ReliabilityModelGroup,A116,23)/INDEX(ReliabilityModelGroup,A116,24)*INDEX(RelAdjFactors,A116,5),0)</f>
        <v>7.8474510872739893E-4</v>
      </c>
      <c r="K137" s="1156">
        <f>MIN(C137*INDEX(ReliabilityModelGroup,A116,18),D137*INDEX(ReliabilityModelGroup,A116,25))*(I137-J137)*(INDEX(ReliabilityModelGroup,A116,12)*AnnualFactor)</f>
        <v>2894.3610263897945</v>
      </c>
      <c r="L137" s="1157">
        <f>IF(AND(D137*INDEX(ReliabilityModelGroup,A116,25)&gt;C137*INDEX(ReliabilityModelGroup,A116,18), Induced="Y"), (D137*INDEX(ReliabilityModelGroup,A116,25)-C137*INDEX(ReliabilityModelGroup,A116,18))*(I137-J137)*0.5*(INDEX(ReliabilityModelGroup,A116,12)*AnnualFactor), 0)</f>
        <v>0</v>
      </c>
      <c r="M137" s="1143">
        <f t="shared" si="32"/>
        <v>37510.918902011748</v>
      </c>
      <c r="N137" s="370">
        <f t="shared" si="33"/>
        <v>20027.386279272625</v>
      </c>
      <c r="P137" s="375">
        <f t="shared" si="37"/>
        <v>2038</v>
      </c>
      <c r="Q137" s="401">
        <f>MAX(TREND(Q122:Q123,$P122:$P123,$P137),0)</f>
        <v>994.69714285714144</v>
      </c>
      <c r="R137" s="402">
        <f>MAX(TREND(R122:R123,$P122:$P123,$P137),0)</f>
        <v>989.46206896551666</v>
      </c>
      <c r="S137" s="725">
        <f>MAX(TREND(S122:S123,$P122:$P123,$P137),0)</f>
        <v>42.952656104380239</v>
      </c>
      <c r="T137" s="726">
        <f>MAX(TREND(T122:T123,$P122:$P123,$P137),0)</f>
        <v>75.336296296296325</v>
      </c>
      <c r="U137" s="1139">
        <f>IFERROR(MAX(1/S137-1/INDEX(ReliabilityModelGroup,O116,17), 0),0)</f>
        <v>0</v>
      </c>
      <c r="V137" s="1140">
        <f>IFERROR(MAX(1/T137-1/INDEX(ReliabilityModelGroup,O116,24), 0),0)</f>
        <v>0</v>
      </c>
      <c r="W137" s="1139">
        <f>IFERROR(AlphaSTD*MAX(AlphaTTI*(1+INDEX(ReliabilityModelGroup,O116,17)*U137)^BetaTTI-1,0)^BetaSTD*INDEX(ReliabilityModelGroup,O116,16)/INDEX(ReliabilityModelGroup,O116,17)*INDEX(RelAdjFactors,O116,15),0)</f>
        <v>1.6574357899845926E-3</v>
      </c>
      <c r="X137" s="1140">
        <f>IFERROR(AlphaSTD*MAX(AlphaTTI*(1+INDEX(ReliabilityModelGroup,O116,24)*V137)^BetaTTI-1,0)^BetaSTD*INDEX(ReliabilityModelGroup,O116,23)/INDEX(ReliabilityModelGroup,O116,24)*INDEX(RelAdjFactors,O116,15),0)</f>
        <v>7.8474510872739893E-4</v>
      </c>
      <c r="Y137" s="1156">
        <f>MIN(Q137,R137)*(W137-X137)*(INDEX(ReliabilityModelGroup,A116,12)*AnnualFactor)</f>
        <v>630.35085874187837</v>
      </c>
      <c r="Z137" s="1157">
        <f>IF(AND(R137&gt;Q137, Induced="Y"), (R137-Q137)*(W137-X137)*0.5*(INDEX(ReliabilityModelGroup,A116,12)*AnnualFactor), 0)</f>
        <v>0</v>
      </c>
      <c r="AA137" s="1143">
        <f t="shared" si="34"/>
        <v>24892.555411716778</v>
      </c>
      <c r="AB137" s="370">
        <f t="shared" si="35"/>
        <v>13290.338848028416</v>
      </c>
    </row>
    <row r="138" spans="2:28" x14ac:dyDescent="0.2">
      <c r="B138" s="375">
        <f t="shared" si="36"/>
        <v>2039</v>
      </c>
      <c r="C138" s="401">
        <f>MAX(TREND(C122:C123,$B122:$B123,$B138),0)</f>
        <v>3184.9971428571444</v>
      </c>
      <c r="D138" s="402">
        <f>MAX(TREND(D122:D123,$B122:$B123,$B138),0)</f>
        <v>3168.1517241379333</v>
      </c>
      <c r="E138" s="725">
        <f>MAX(TREND(E122:E123,$B122:$B123,$B138),0)</f>
        <v>42.921411929170546</v>
      </c>
      <c r="F138" s="726">
        <f>MAX(TREND(F122:F123,$B122:$B123,$B138),0)</f>
        <v>75.219259259259303</v>
      </c>
      <c r="G138" s="1139">
        <f>IFERROR(MAX(1/E138-1/INDEX(ReliabilityModelGroup,A116,17), 0),0)</f>
        <v>0</v>
      </c>
      <c r="H138" s="1140">
        <f>IFERROR(MAX(1/F138-1/INDEX(ReliabilityModelGroup,A116,24), 0),0)</f>
        <v>0</v>
      </c>
      <c r="I138" s="1139">
        <f>IFERROR(AlphaSTD*MAX(AlphaTTI*(1+INDEX(ReliabilityModelGroup,A116,17)*G138)^BetaTTI-1,0)^BetaSTD*INDEX(ReliabilityModelGroup,A116,16)/INDEX(ReliabilityModelGroup,A116,17)*INDEX(RelAdjFactors,A116,5),0)</f>
        <v>1.6574357899845926E-3</v>
      </c>
      <c r="J138" s="1140">
        <f>IFERROR(AlphaSTD*MAX(AlphaTTI*(1+INDEX(ReliabilityModelGroup,A116,24)*H138)^BetaTTI-1,0)^BetaSTD*INDEX(ReliabilityModelGroup,A116,23)/INDEX(ReliabilityModelGroup,A116,24)*INDEX(RelAdjFactors,A116,5),0)</f>
        <v>7.8474510872739893E-4</v>
      </c>
      <c r="K138" s="1156">
        <f>MIN(C138*INDEX(ReliabilityModelGroup,A116,18),D138*INDEX(ReliabilityModelGroup,A116,25))*(I138-J138)*(INDEX(ReliabilityModelGroup,A116,12)*AnnualFactor)</f>
        <v>2926.5582509222345</v>
      </c>
      <c r="L138" s="1157">
        <f>IF(AND(D138*INDEX(ReliabilityModelGroup,A116,25)&gt;C138*INDEX(ReliabilityModelGroup,A116,18), Induced="Y"), (D138*INDEX(ReliabilityModelGroup,A116,25)-C138*INDEX(ReliabilityModelGroup,A116,18))*(I138-J138)*0.5*(INDEX(ReliabilityModelGroup,A116,12)*AnnualFactor), 0)</f>
        <v>0</v>
      </c>
      <c r="M138" s="1143">
        <f t="shared" si="32"/>
        <v>37928.194931952166</v>
      </c>
      <c r="N138" s="370">
        <f t="shared" si="33"/>
        <v>19471.320541514946</v>
      </c>
      <c r="P138" s="375">
        <f t="shared" si="37"/>
        <v>2039</v>
      </c>
      <c r="Q138" s="401">
        <f>MAX(TREND(Q122:Q123,$P122:$P123,$P138),0)</f>
        <v>1005.7885714285731</v>
      </c>
      <c r="R138" s="402">
        <f>MAX(TREND(R122:R123,$P122:$P123,$P138),0)</f>
        <v>1000.4689655172406</v>
      </c>
      <c r="S138" s="725">
        <f>MAX(TREND(S122:S123,$P122:$P123,$P138),0)</f>
        <v>42.921411929170546</v>
      </c>
      <c r="T138" s="726">
        <f>MAX(TREND(T122:T123,$P122:$P123,$P138),0)</f>
        <v>75.219259259259303</v>
      </c>
      <c r="U138" s="1139">
        <f>IFERROR(MAX(1/S138-1/INDEX(ReliabilityModelGroup,O116,17), 0),0)</f>
        <v>0</v>
      </c>
      <c r="V138" s="1140">
        <f>IFERROR(MAX(1/T138-1/INDEX(ReliabilityModelGroup,O116,24), 0),0)</f>
        <v>0</v>
      </c>
      <c r="W138" s="1139">
        <f>IFERROR(AlphaSTD*MAX(AlphaTTI*(1+INDEX(ReliabilityModelGroup,O116,17)*U138)^BetaTTI-1,0)^BetaSTD*INDEX(ReliabilityModelGroup,O116,16)/INDEX(ReliabilityModelGroup,O116,17)*INDEX(RelAdjFactors,O116,15),0)</f>
        <v>1.6574357899845926E-3</v>
      </c>
      <c r="X138" s="1140">
        <f>IFERROR(AlphaSTD*MAX(AlphaTTI*(1+INDEX(ReliabilityModelGroup,O116,24)*V138)^BetaTTI-1,0)^BetaSTD*INDEX(ReliabilityModelGroup,O116,23)/INDEX(ReliabilityModelGroup,O116,24)*INDEX(RelAdjFactors,O116,15),0)</f>
        <v>7.8474510872739893E-4</v>
      </c>
      <c r="Y138" s="1156">
        <f>MIN(Q138,R138)*(W138-X138)*(INDEX(ReliabilityModelGroup,A116,12)*AnnualFactor)</f>
        <v>637.36295845856193</v>
      </c>
      <c r="Z138" s="1157">
        <f>IF(AND(R138&gt;Q138, Induced="Y"), (R138-Q138)*(W138-X138)*0.5*(INDEX(ReliabilityModelGroup,A116,12)*AnnualFactor), 0)</f>
        <v>0</v>
      </c>
      <c r="AA138" s="1143">
        <f t="shared" si="34"/>
        <v>25169.463229528614</v>
      </c>
      <c r="AB138" s="370">
        <f t="shared" si="35"/>
        <v>12921.329034489883</v>
      </c>
    </row>
    <row r="139" spans="2:28" x14ac:dyDescent="0.2">
      <c r="B139" s="375">
        <f t="shared" si="36"/>
        <v>2040</v>
      </c>
      <c r="C139" s="401">
        <f>MAX(TREND(C122:C123,$B122:$B123,$B139),0)</f>
        <v>3220.1200000000099</v>
      </c>
      <c r="D139" s="402">
        <f>MAX(TREND(D122:D123,$B122:$B123,$B139),0)</f>
        <v>3203.0068965517276</v>
      </c>
      <c r="E139" s="725">
        <f>MAX(TREND(E122:E123,$B122:$B123,$B139),0)</f>
        <v>42.890167753960853</v>
      </c>
      <c r="F139" s="726">
        <f>MAX(TREND(F122:F123,$B122:$B123,$B139),0)</f>
        <v>75.102222222222252</v>
      </c>
      <c r="G139" s="1139">
        <f>IFERROR(MAX(1/E139-1/INDEX(ReliabilityModelGroup,A116,17), 0),0)</f>
        <v>0</v>
      </c>
      <c r="H139" s="1140">
        <f>IFERROR(MAX(1/F139-1/INDEX(ReliabilityModelGroup,A116,24), 0),0)</f>
        <v>0</v>
      </c>
      <c r="I139" s="1139">
        <f>IFERROR(AlphaSTD*MAX(AlphaTTI*(1+INDEX(ReliabilityModelGroup,A116,17)*G139)^BetaTTI-1,0)^BetaSTD*INDEX(ReliabilityModelGroup,A116,16)/INDEX(ReliabilityModelGroup,A116,17)*INDEX(RelAdjFactors,A116,5),0)</f>
        <v>1.6574357899845926E-3</v>
      </c>
      <c r="J139" s="1140">
        <f>IFERROR(AlphaSTD*MAX(AlphaTTI*(1+INDEX(ReliabilityModelGroup,A116,24)*H139)^BetaTTI-1,0)^BetaSTD*INDEX(ReliabilityModelGroup,A116,23)/INDEX(ReliabilityModelGroup,A116,24)*INDEX(RelAdjFactors,A116,5),0)</f>
        <v>7.8474510872739893E-4</v>
      </c>
      <c r="K139" s="1156">
        <f>MIN(C139*INDEX(ReliabilityModelGroup,A116,18),D139*INDEX(ReliabilityModelGroup,A116,25))*(I139-J139)*(INDEX(ReliabilityModelGroup,A116,12)*AnnualFactor)</f>
        <v>2958.755475454675</v>
      </c>
      <c r="L139" s="1157">
        <f>IF(AND(D139*INDEX(ReliabilityModelGroup,A116,25)&gt;C139*INDEX(ReliabilityModelGroup,A116,18), Induced="Y"), (D139*INDEX(ReliabilityModelGroup,A116,25)-C139*INDEX(ReliabilityModelGroup,A116,18))*(I139-J139)*0.5*(INDEX(ReliabilityModelGroup,A116,12)*AnnualFactor), 0)</f>
        <v>0</v>
      </c>
      <c r="M139" s="1143">
        <f t="shared" si="32"/>
        <v>38345.470961892592</v>
      </c>
      <c r="N139" s="370">
        <f t="shared" si="33"/>
        <v>18928.402780213077</v>
      </c>
      <c r="P139" s="375">
        <f t="shared" si="37"/>
        <v>2040</v>
      </c>
      <c r="Q139" s="401">
        <f>MAX(TREND(Q122:Q123,$P122:$P123,$P139),0)</f>
        <v>1016.880000000001</v>
      </c>
      <c r="R139" s="402">
        <f>MAX(TREND(R122:R123,$P122:$P123,$P139),0)</f>
        <v>1011.4758620689645</v>
      </c>
      <c r="S139" s="725">
        <f>MAX(TREND(S122:S123,$P122:$P123,$P139),0)</f>
        <v>42.890167753960853</v>
      </c>
      <c r="T139" s="726">
        <f>MAX(TREND(T122:T123,$P122:$P123,$P139),0)</f>
        <v>75.102222222222252</v>
      </c>
      <c r="U139" s="1139">
        <f>IFERROR(MAX(1/S139-1/INDEX(ReliabilityModelGroup,O116,17), 0),0)</f>
        <v>0</v>
      </c>
      <c r="V139" s="1140">
        <f>IFERROR(MAX(1/T139-1/INDEX(ReliabilityModelGroup,O116,24), 0),0)</f>
        <v>0</v>
      </c>
      <c r="W139" s="1139">
        <f>IFERROR(AlphaSTD*MAX(AlphaTTI*(1+INDEX(ReliabilityModelGroup,O116,17)*U139)^BetaTTI-1,0)^BetaSTD*INDEX(ReliabilityModelGroup,O116,16)/INDEX(ReliabilityModelGroup,O116,17)*INDEX(RelAdjFactors,O116,15),0)</f>
        <v>1.6574357899845926E-3</v>
      </c>
      <c r="X139" s="1140">
        <f>IFERROR(AlphaSTD*MAX(AlphaTTI*(1+INDEX(ReliabilityModelGroup,O116,24)*V139)^BetaTTI-1,0)^BetaSTD*INDEX(ReliabilityModelGroup,O116,23)/INDEX(ReliabilityModelGroup,O116,24)*INDEX(RelAdjFactors,O116,15),0)</f>
        <v>7.8474510872739893E-4</v>
      </c>
      <c r="Y139" s="1156">
        <f>MIN(Q139,R139)*(W139-X139)*(INDEX(ReliabilityModelGroup,A116,12)*AnnualFactor)</f>
        <v>644.37505817524539</v>
      </c>
      <c r="Z139" s="1157">
        <f>IF(AND(R139&gt;Q139, Induced="Y"), (R139-Q139)*(W139-X139)*0.5*(INDEX(ReliabilityModelGroup,A116,12)*AnnualFactor), 0)</f>
        <v>0</v>
      </c>
      <c r="AA139" s="1143">
        <f t="shared" si="34"/>
        <v>25446.371047340443</v>
      </c>
      <c r="AB139" s="370">
        <f t="shared" si="35"/>
        <v>12561.044326655454</v>
      </c>
    </row>
    <row r="140" spans="2:28" x14ac:dyDescent="0.2">
      <c r="B140" s="375">
        <f t="shared" si="36"/>
        <v>2041</v>
      </c>
      <c r="C140" s="401">
        <f>MAX(TREND(C122:C123,$B122:$B123,$B140),0)</f>
        <v>3255.2428571428609</v>
      </c>
      <c r="D140" s="402">
        <f>MAX(TREND(D122:D123,$B122:$B123,$B140),0)</f>
        <v>3237.8620689655218</v>
      </c>
      <c r="E140" s="725">
        <f>MAX(TREND(E122:E123,$B122:$B123,$B140),0)</f>
        <v>42.85892357875116</v>
      </c>
      <c r="F140" s="726">
        <f>MAX(TREND(F122:F123,$B122:$B123,$B140),0)</f>
        <v>74.98518518518523</v>
      </c>
      <c r="G140" s="1139">
        <f>IFERROR(MAX(1/E140-1/INDEX(ReliabilityModelGroup,A116,17), 0),0)</f>
        <v>0</v>
      </c>
      <c r="H140" s="1140">
        <f>IFERROR(MAX(1/F140-1/INDEX(ReliabilityModelGroup,A116,24), 0),0)</f>
        <v>0</v>
      </c>
      <c r="I140" s="1139">
        <f>IFERROR(AlphaSTD*MAX(AlphaTTI*(1+INDEX(ReliabilityModelGroup,A116,17)*G140)^BetaTTI-1,0)^BetaSTD*INDEX(ReliabilityModelGroup,A116,16)/INDEX(ReliabilityModelGroup,A116,17)*INDEX(RelAdjFactors,A116,5),0)</f>
        <v>1.6574357899845926E-3</v>
      </c>
      <c r="J140" s="1140">
        <f>IFERROR(AlphaSTD*MAX(AlphaTTI*(1+INDEX(ReliabilityModelGroup,A116,24)*H140)^BetaTTI-1,0)^BetaSTD*INDEX(ReliabilityModelGroup,A116,23)/INDEX(ReliabilityModelGroup,A116,24)*INDEX(RelAdjFactors,A116,5),0)</f>
        <v>7.8474510872739893E-4</v>
      </c>
      <c r="K140" s="1156">
        <f>MIN(C140*INDEX(ReliabilityModelGroup,A116,18),D140*INDEX(ReliabilityModelGroup,A116,25))*(I140-J140)*(INDEX(ReliabilityModelGroup,A116,12)*AnnualFactor)</f>
        <v>2990.9526999871146</v>
      </c>
      <c r="L140" s="1157">
        <f>IF(AND(D140*INDEX(ReliabilityModelGroup,A116,25)&gt;C140*INDEX(ReliabilityModelGroup,A116,18), Induced="Y"), (D140*INDEX(ReliabilityModelGroup,A116,25)-C140*INDEX(ReliabilityModelGroup,A116,18))*(I140-J140)*0.5*(INDEX(ReliabilityModelGroup,A116,12)*AnnualFactor), 0)</f>
        <v>0</v>
      </c>
      <c r="M140" s="1143">
        <f t="shared" si="32"/>
        <v>38762.746991833017</v>
      </c>
      <c r="N140" s="370">
        <f t="shared" si="33"/>
        <v>18398.444195015032</v>
      </c>
      <c r="P140" s="375">
        <f t="shared" si="37"/>
        <v>2041</v>
      </c>
      <c r="Q140" s="401">
        <f>MAX(TREND(Q122:Q123,$P122:$P123,$P140),0)</f>
        <v>1027.971428571429</v>
      </c>
      <c r="R140" s="402">
        <f>MAX(TREND(R122:R123,$P122:$P123,$P140),0)</f>
        <v>1022.482758620692</v>
      </c>
      <c r="S140" s="725">
        <f>MAX(TREND(S122:S123,$P122:$P123,$P140),0)</f>
        <v>42.85892357875116</v>
      </c>
      <c r="T140" s="726">
        <f>MAX(TREND(T122:T123,$P122:$P123,$P140),0)</f>
        <v>74.98518518518523</v>
      </c>
      <c r="U140" s="1139">
        <f>IFERROR(MAX(1/S140-1/INDEX(ReliabilityModelGroup,O116,17), 0),0)</f>
        <v>0</v>
      </c>
      <c r="V140" s="1140">
        <f>IFERROR(MAX(1/T140-1/INDEX(ReliabilityModelGroup,O116,24), 0),0)</f>
        <v>0</v>
      </c>
      <c r="W140" s="1139">
        <f>IFERROR(AlphaSTD*MAX(AlphaTTI*(1+INDEX(ReliabilityModelGroup,O116,17)*U140)^BetaTTI-1,0)^BetaSTD*INDEX(ReliabilityModelGroup,O116,16)/INDEX(ReliabilityModelGroup,O116,17)*INDEX(RelAdjFactors,O116,15),0)</f>
        <v>1.6574357899845926E-3</v>
      </c>
      <c r="X140" s="1140">
        <f>IFERROR(AlphaSTD*MAX(AlphaTTI*(1+INDEX(ReliabilityModelGroup,O116,24)*V140)^BetaTTI-1,0)^BetaSTD*INDEX(ReliabilityModelGroup,O116,23)/INDEX(ReliabilityModelGroup,O116,24)*INDEX(RelAdjFactors,O116,15),0)</f>
        <v>7.8474510872739893E-4</v>
      </c>
      <c r="Y140" s="1156">
        <f>MIN(Q140,R140)*(W140-X140)*(INDEX(ReliabilityModelGroup,A116,12)*AnnualFactor)</f>
        <v>651.38715789193122</v>
      </c>
      <c r="Z140" s="1157">
        <f>IF(AND(R140&gt;Q140, Induced="Y"), (R140-Q140)*(W140-X140)*0.5*(INDEX(ReliabilityModelGroup,A116,12)*AnnualFactor), 0)</f>
        <v>0</v>
      </c>
      <c r="AA140" s="1143">
        <f t="shared" si="34"/>
        <v>25723.278865152366</v>
      </c>
      <c r="AB140" s="370">
        <f t="shared" si="35"/>
        <v>12209.359435053171</v>
      </c>
    </row>
    <row r="141" spans="2:28" x14ac:dyDescent="0.2">
      <c r="B141" s="375">
        <f t="shared" si="36"/>
        <v>2042</v>
      </c>
      <c r="C141" s="401">
        <f>MAX(TREND(C122:C123,$B122:$B123,$B141),0)</f>
        <v>3290.3657142857119</v>
      </c>
      <c r="D141" s="402">
        <f>MAX(TREND(D122:D123,$B122:$B123,$B141),0)</f>
        <v>3272.7172413793014</v>
      </c>
      <c r="E141" s="725">
        <f>MAX(TREND(E122:E123,$B122:$B123,$B141),0)</f>
        <v>42.827679403541467</v>
      </c>
      <c r="F141" s="726">
        <f>MAX(TREND(F122:F123,$B122:$B123,$B141),0)</f>
        <v>74.86814814814818</v>
      </c>
      <c r="G141" s="1139">
        <f>IFERROR(MAX(1/E141-1/INDEX(ReliabilityModelGroup,A116,17), 0),0)</f>
        <v>0</v>
      </c>
      <c r="H141" s="1140">
        <f>IFERROR(MAX(1/F141-1/INDEX(ReliabilityModelGroup,A116,24), 0),0)</f>
        <v>0</v>
      </c>
      <c r="I141" s="1139">
        <f>IFERROR(AlphaSTD*MAX(AlphaTTI*(1+INDEX(ReliabilityModelGroup,A116,17)*G141)^BetaTTI-1,0)^BetaSTD*INDEX(ReliabilityModelGroup,A116,16)/INDEX(ReliabilityModelGroup,A116,17)*INDEX(RelAdjFactors,A116,5),0)</f>
        <v>1.6574357899845926E-3</v>
      </c>
      <c r="J141" s="1140">
        <f>IFERROR(AlphaSTD*MAX(AlphaTTI*(1+INDEX(ReliabilityModelGroup,A116,24)*H141)^BetaTTI-1,0)^BetaSTD*INDEX(ReliabilityModelGroup,A116,23)/INDEX(ReliabilityModelGroup,A116,24)*INDEX(RelAdjFactors,A116,5),0)</f>
        <v>7.8474510872739893E-4</v>
      </c>
      <c r="K141" s="1156">
        <f>MIN(C141*INDEX(ReliabilityModelGroup,A116,18),D141*INDEX(ReliabilityModelGroup,A116,25))*(I141-J141)*(INDEX(ReliabilityModelGroup,A116,12)*AnnualFactor)</f>
        <v>3023.1499245195419</v>
      </c>
      <c r="L141" s="1157">
        <f>IF(AND(D141*INDEX(ReliabilityModelGroup,A116,25)&gt;C141*INDEX(ReliabilityModelGroup,A116,18), Induced="Y"), (D141*INDEX(ReliabilityModelGroup,A116,25)-C141*INDEX(ReliabilityModelGroup,A116,18))*(I141-J141)*0.5*(INDEX(ReliabilityModelGroup,A116,12)*AnnualFactor), 0)</f>
        <v>0</v>
      </c>
      <c r="M141" s="1143">
        <f t="shared" si="32"/>
        <v>39180.023021773275</v>
      </c>
      <c r="N141" s="370">
        <f t="shared" si="33"/>
        <v>17881.251059003425</v>
      </c>
      <c r="P141" s="375">
        <f t="shared" si="37"/>
        <v>2042</v>
      </c>
      <c r="Q141" s="401">
        <f>MAX(TREND(Q122:Q123,$P122:$P123,$P141),0)</f>
        <v>1039.062857142857</v>
      </c>
      <c r="R141" s="402">
        <f>MAX(TREND(R122:R123,$P122:$P123,$P141),0)</f>
        <v>1033.489655172416</v>
      </c>
      <c r="S141" s="725">
        <f>MAX(TREND(S122:S123,$P122:$P123,$P141),0)</f>
        <v>42.827679403541467</v>
      </c>
      <c r="T141" s="726">
        <f>MAX(TREND(T122:T123,$P122:$P123,$P141),0)</f>
        <v>74.86814814814818</v>
      </c>
      <c r="U141" s="1139">
        <f>IFERROR(MAX(1/S141-1/INDEX(ReliabilityModelGroup,O116,17), 0),0)</f>
        <v>0</v>
      </c>
      <c r="V141" s="1140">
        <f>IFERROR(MAX(1/T141-1/INDEX(ReliabilityModelGroup,O116,24), 0),0)</f>
        <v>0</v>
      </c>
      <c r="W141" s="1139">
        <f>IFERROR(AlphaSTD*MAX(AlphaTTI*(1+INDEX(ReliabilityModelGroup,O116,17)*U141)^BetaTTI-1,0)^BetaSTD*INDEX(ReliabilityModelGroup,O116,16)/INDEX(ReliabilityModelGroup,O116,17)*INDEX(RelAdjFactors,O116,15),0)</f>
        <v>1.6574357899845926E-3</v>
      </c>
      <c r="X141" s="1140">
        <f>IFERROR(AlphaSTD*MAX(AlphaTTI*(1+INDEX(ReliabilityModelGroup,O116,24)*V141)^BetaTTI-1,0)^BetaSTD*INDEX(ReliabilityModelGroup,O116,23)/INDEX(ReliabilityModelGroup,O116,24)*INDEX(RelAdjFactors,O116,15),0)</f>
        <v>7.8474510872739893E-4</v>
      </c>
      <c r="Y141" s="1156">
        <f>MIN(Q141,R141)*(W141-X141)*(INDEX(ReliabilityModelGroup,A116,12)*AnnualFactor)</f>
        <v>658.39925760861479</v>
      </c>
      <c r="Z141" s="1157">
        <f>IF(AND(R141&gt;Q141, Induced="Y"), (R141-Q141)*(W141-X141)*0.5*(INDEX(ReliabilityModelGroup,A116,12)*AnnualFactor), 0)</f>
        <v>0</v>
      </c>
      <c r="AA141" s="1143">
        <f t="shared" si="34"/>
        <v>26000.186682964199</v>
      </c>
      <c r="AB141" s="370">
        <f t="shared" si="35"/>
        <v>11866.145800901531</v>
      </c>
    </row>
    <row r="142" spans="2:28" x14ac:dyDescent="0.2">
      <c r="B142" s="375">
        <f t="shared" si="36"/>
        <v>2043</v>
      </c>
      <c r="C142" s="401">
        <f>MAX(TREND(C122:C123,$B122:$B123,$B142),0)</f>
        <v>3325.4885714285774</v>
      </c>
      <c r="D142" s="402">
        <f>MAX(TREND(D122:D123,$B122:$B123,$B142),0)</f>
        <v>3307.5724137930956</v>
      </c>
      <c r="E142" s="725">
        <f>MAX(TREND(E122:E123,$B122:$B123,$B142),0)</f>
        <v>42.796435228331774</v>
      </c>
      <c r="F142" s="726">
        <f>MAX(TREND(F122:F123,$B122:$B123,$B142),0)</f>
        <v>74.751111111111157</v>
      </c>
      <c r="G142" s="1139">
        <f>IFERROR(MAX(1/E142-1/INDEX(ReliabilityModelGroup,A116,17), 0),0)</f>
        <v>0</v>
      </c>
      <c r="H142" s="1140">
        <f>IFERROR(MAX(1/F142-1/INDEX(ReliabilityModelGroup,A116,24), 0),0)</f>
        <v>0</v>
      </c>
      <c r="I142" s="1139">
        <f>IFERROR(AlphaSTD*MAX(AlphaTTI*(1+INDEX(ReliabilityModelGroup,A116,17)*G142)^BetaTTI-1,0)^BetaSTD*INDEX(ReliabilityModelGroup,A116,16)/INDEX(ReliabilityModelGroup,A116,17)*INDEX(RelAdjFactors,A116,5),0)</f>
        <v>1.6574357899845926E-3</v>
      </c>
      <c r="J142" s="1140">
        <f>IFERROR(AlphaSTD*MAX(AlphaTTI*(1+INDEX(ReliabilityModelGroup,A116,24)*H142)^BetaTTI-1,0)^BetaSTD*INDEX(ReliabilityModelGroup,A116,23)/INDEX(ReliabilityModelGroup,A116,24)*INDEX(RelAdjFactors,A116,5),0)</f>
        <v>7.8474510872739893E-4</v>
      </c>
      <c r="K142" s="1156">
        <f>MIN(C142*INDEX(ReliabilityModelGroup,A116,18),D142*INDEX(ReliabilityModelGroup,A116,25))*(I142-J142)*(INDEX(ReliabilityModelGroup,A116,12)*AnnualFactor)</f>
        <v>3055.3471490519823</v>
      </c>
      <c r="L142" s="1157">
        <f>IF(AND(D142*INDEX(ReliabilityModelGroup,A116,25)&gt;C142*INDEX(ReliabilityModelGroup,A116,18), Induced="Y"), (D142*INDEX(ReliabilityModelGroup,A116,25)-C142*INDEX(ReliabilityModelGroup,A116,18))*(I142-J142)*0.5*(INDEX(ReliabilityModelGroup,A116,12)*AnnualFactor), 0)</f>
        <v>0</v>
      </c>
      <c r="M142" s="1143">
        <f t="shared" si="32"/>
        <v>39597.2990517137</v>
      </c>
      <c r="N142" s="370">
        <f t="shared" si="33"/>
        <v>17376.625376952816</v>
      </c>
      <c r="P142" s="375">
        <f t="shared" si="37"/>
        <v>2043</v>
      </c>
      <c r="Q142" s="401">
        <f>MAX(TREND(Q122:Q123,$P122:$P123,$P142),0)</f>
        <v>1050.1542857142849</v>
      </c>
      <c r="R142" s="402">
        <f>MAX(TREND(R122:R123,$P122:$P123,$P142),0)</f>
        <v>1044.4965517241399</v>
      </c>
      <c r="S142" s="725">
        <f>MAX(TREND(S122:S123,$P122:$P123,$P142),0)</f>
        <v>42.796435228331774</v>
      </c>
      <c r="T142" s="726">
        <f>MAX(TREND(T122:T123,$P122:$P123,$P142),0)</f>
        <v>74.751111111111157</v>
      </c>
      <c r="U142" s="1139">
        <f>IFERROR(MAX(1/S142-1/INDEX(ReliabilityModelGroup,O116,17), 0),0)</f>
        <v>0</v>
      </c>
      <c r="V142" s="1140">
        <f>IFERROR(MAX(1/T142-1/INDEX(ReliabilityModelGroup,O116,24), 0),0)</f>
        <v>0</v>
      </c>
      <c r="W142" s="1139">
        <f>IFERROR(AlphaSTD*MAX(AlphaTTI*(1+INDEX(ReliabilityModelGroup,O116,17)*U142)^BetaTTI-1,0)^BetaSTD*INDEX(ReliabilityModelGroup,O116,16)/INDEX(ReliabilityModelGroup,O116,17)*INDEX(RelAdjFactors,O116,15),0)</f>
        <v>1.6574357899845926E-3</v>
      </c>
      <c r="X142" s="1140">
        <f>IFERROR(AlphaSTD*MAX(AlphaTTI*(1+INDEX(ReliabilityModelGroup,O116,24)*V142)^BetaTTI-1,0)^BetaSTD*INDEX(ReliabilityModelGroup,O116,23)/INDEX(ReliabilityModelGroup,O116,24)*INDEX(RelAdjFactors,O116,15),0)</f>
        <v>7.8474510872739893E-4</v>
      </c>
      <c r="Y142" s="1156">
        <f>MIN(Q142,R142)*(W142-X142)*(INDEX(ReliabilityModelGroup,A116,12)*AnnualFactor)</f>
        <v>665.41135732529824</v>
      </c>
      <c r="Z142" s="1157">
        <f>IF(AND(R142&gt;Q142, Induced="Y"), (R142-Q142)*(W142-X142)*0.5*(INDEX(ReliabilityModelGroup,A116,12)*AnnualFactor), 0)</f>
        <v>0</v>
      </c>
      <c r="AA142" s="1143">
        <f t="shared" si="34"/>
        <v>26277.094500776031</v>
      </c>
      <c r="AB142" s="370">
        <f t="shared" si="35"/>
        <v>11531.272032934552</v>
      </c>
    </row>
    <row r="143" spans="2:28" x14ac:dyDescent="0.2">
      <c r="B143" s="375">
        <f t="shared" si="36"/>
        <v>2044</v>
      </c>
      <c r="C143" s="401">
        <f>MAX(TREND(C122:C123,$B122:$B123,$B143),0)</f>
        <v>3360.6114285714284</v>
      </c>
      <c r="D143" s="402">
        <f>MAX(TREND(D122:D123,$B122:$B123,$B143),0)</f>
        <v>3342.4275862068898</v>
      </c>
      <c r="E143" s="725">
        <f>MAX(TREND(E122:E123,$B122:$B123,$B143),0)</f>
        <v>42.765191053122081</v>
      </c>
      <c r="F143" s="726">
        <f>MAX(TREND(F122:F123,$B122:$B123,$B143),0)</f>
        <v>74.634074074074107</v>
      </c>
      <c r="G143" s="1139">
        <f>IFERROR(MAX(1/E143-1/INDEX(ReliabilityModelGroup,A116,17), 0),0)</f>
        <v>0</v>
      </c>
      <c r="H143" s="1140">
        <f>IFERROR(MAX(1/F143-1/INDEX(ReliabilityModelGroup,A116,24), 0),0)</f>
        <v>0</v>
      </c>
      <c r="I143" s="1139">
        <f>IFERROR(AlphaSTD*MAX(AlphaTTI*(1+INDEX(ReliabilityModelGroup,A116,17)*G143)^BetaTTI-1,0)^BetaSTD*INDEX(ReliabilityModelGroup,A116,16)/INDEX(ReliabilityModelGroup,A116,17)*INDEX(RelAdjFactors,A116,5),0)</f>
        <v>1.6574357899845926E-3</v>
      </c>
      <c r="J143" s="1140">
        <f>IFERROR(AlphaSTD*MAX(AlphaTTI*(1+INDEX(ReliabilityModelGroup,A116,24)*H143)^BetaTTI-1,0)^BetaSTD*INDEX(ReliabilityModelGroup,A116,23)/INDEX(ReliabilityModelGroup,A116,24)*INDEX(RelAdjFactors,A116,5),0)</f>
        <v>7.8474510872739893E-4</v>
      </c>
      <c r="K143" s="1156">
        <f>MIN(C143*INDEX(ReliabilityModelGroup,A116,18),D143*INDEX(ReliabilityModelGroup,A116,25))*(I143-J143)*(INDEX(ReliabilityModelGroup,A116,12)*AnnualFactor)</f>
        <v>3087.5443735844219</v>
      </c>
      <c r="L143" s="1157">
        <f>IF(AND(D143*INDEX(ReliabilityModelGroup,A116,25)&gt;C143*INDEX(ReliabilityModelGroup,A116,18), Induced="Y"), (D143*INDEX(ReliabilityModelGroup,A116,25)-C143*INDEX(ReliabilityModelGroup,A116,18))*(I143-J143)*0.5*(INDEX(ReliabilityModelGroup,A116,12)*AnnualFactor), 0)</f>
        <v>0</v>
      </c>
      <c r="M143" s="1143">
        <f t="shared" si="32"/>
        <v>40014.575081654119</v>
      </c>
      <c r="N143" s="370">
        <f t="shared" si="33"/>
        <v>16884.365500238939</v>
      </c>
      <c r="P143" s="375">
        <f t="shared" si="37"/>
        <v>2044</v>
      </c>
      <c r="Q143" s="401">
        <f>MAX(TREND(Q122:Q123,$P122:$P123,$P143),0)</f>
        <v>1061.2457142857129</v>
      </c>
      <c r="R143" s="402">
        <f>MAX(TREND(R122:R123,$P122:$P123,$P143),0)</f>
        <v>1055.5034482758638</v>
      </c>
      <c r="S143" s="725">
        <f>MAX(TREND(S122:S123,$P122:$P123,$P143),0)</f>
        <v>42.765191053122081</v>
      </c>
      <c r="T143" s="726">
        <f>MAX(TREND(T122:T123,$P122:$P123,$P143),0)</f>
        <v>74.634074074074107</v>
      </c>
      <c r="U143" s="1139">
        <f>IFERROR(MAX(1/S143-1/INDEX(ReliabilityModelGroup,O116,17), 0),0)</f>
        <v>0</v>
      </c>
      <c r="V143" s="1140">
        <f>IFERROR(MAX(1/T143-1/INDEX(ReliabilityModelGroup,O116,24), 0),0)</f>
        <v>0</v>
      </c>
      <c r="W143" s="1139">
        <f>IFERROR(AlphaSTD*MAX(AlphaTTI*(1+INDEX(ReliabilityModelGroup,O116,17)*U143)^BetaTTI-1,0)^BetaSTD*INDEX(ReliabilityModelGroup,O116,16)/INDEX(ReliabilityModelGroup,O116,17)*INDEX(RelAdjFactors,O116,15),0)</f>
        <v>1.6574357899845926E-3</v>
      </c>
      <c r="X143" s="1140">
        <f>IFERROR(AlphaSTD*MAX(AlphaTTI*(1+INDEX(ReliabilityModelGroup,O116,24)*V143)^BetaTTI-1,0)^BetaSTD*INDEX(ReliabilityModelGroup,O116,23)/INDEX(ReliabilityModelGroup,O116,24)*INDEX(RelAdjFactors,O116,15),0)</f>
        <v>7.8474510872739893E-4</v>
      </c>
      <c r="Y143" s="1156">
        <f>MIN(Q143,R143)*(W143-X143)*(INDEX(ReliabilityModelGroup,A116,12)*AnnualFactor)</f>
        <v>672.42345704198181</v>
      </c>
      <c r="Z143" s="1157">
        <f>IF(AND(R143&gt;Q143, Induced="Y"), (R143-Q143)*(W143-X143)*0.5*(INDEX(ReliabilityModelGroup,A116,12)*AnnualFactor), 0)</f>
        <v>0</v>
      </c>
      <c r="AA143" s="1143">
        <f t="shared" si="34"/>
        <v>26554.00231858786</v>
      </c>
      <c r="AB143" s="370">
        <f t="shared" si="35"/>
        <v>11204.604315460743</v>
      </c>
    </row>
    <row r="144" spans="2:28" x14ac:dyDescent="0.2">
      <c r="B144" s="375">
        <f t="shared" si="36"/>
        <v>2045</v>
      </c>
      <c r="C144" s="401">
        <f>MAX(TREND(C122:C123,$B122:$B123,$B144),0)</f>
        <v>3395.7342857142939</v>
      </c>
      <c r="D144" s="402">
        <f>MAX(TREND(D122:D123,$B122:$B123,$B144),0)</f>
        <v>3377.282758620684</v>
      </c>
      <c r="E144" s="725">
        <f>MAX(TREND(E122:E123,$B122:$B123,$B144),0)</f>
        <v>42.733946877912388</v>
      </c>
      <c r="F144" s="726">
        <f>MAX(TREND(F122:F123,$B122:$B123,$B144),0)</f>
        <v>74.517037037037085</v>
      </c>
      <c r="G144" s="1139">
        <f>IFERROR(MAX(1/E144-1/INDEX(ReliabilityModelGroup,A116,17), 0),0)</f>
        <v>0</v>
      </c>
      <c r="H144" s="1140">
        <f>IFERROR(MAX(1/F144-1/INDEX(ReliabilityModelGroup,A116,24), 0),0)</f>
        <v>0</v>
      </c>
      <c r="I144" s="1139">
        <f>IFERROR(AlphaSTD*MAX(AlphaTTI*(1+INDEX(ReliabilityModelGroup,A116,17)*G144)^BetaTTI-1,0)^BetaSTD*INDEX(ReliabilityModelGroup,A116,16)/INDEX(ReliabilityModelGroup,A116,17)*INDEX(RelAdjFactors,A116,5),0)</f>
        <v>1.6574357899845926E-3</v>
      </c>
      <c r="J144" s="1140">
        <f>IFERROR(AlphaSTD*MAX(AlphaTTI*(1+INDEX(ReliabilityModelGroup,A116,24)*H144)^BetaTTI-1,0)^BetaSTD*INDEX(ReliabilityModelGroup,A116,23)/INDEX(ReliabilityModelGroup,A116,24)*INDEX(RelAdjFactors,A116,5),0)</f>
        <v>7.8474510872739893E-4</v>
      </c>
      <c r="K144" s="1156">
        <f>MIN(C144*INDEX(ReliabilityModelGroup,A116,18),D144*INDEX(ReliabilityModelGroup,A116,25))*(I144-J144)*(INDEX(ReliabilityModelGroup,A116,12)*AnnualFactor)</f>
        <v>3119.7415981168615</v>
      </c>
      <c r="L144" s="1157">
        <f>IF(AND(D144*INDEX(ReliabilityModelGroup,A116,25)&gt;C144*INDEX(ReliabilityModelGroup,A116,18), Induced="Y"), (D144*INDEX(ReliabilityModelGroup,A116,25)-C144*INDEX(ReliabilityModelGroup,A116,18))*(I144-J144)*0.5*(INDEX(ReliabilityModelGroup,A116,12)*AnnualFactor), 0)</f>
        <v>0</v>
      </c>
      <c r="M144" s="1143">
        <f t="shared" si="32"/>
        <v>40431.851111594529</v>
      </c>
      <c r="N144" s="370">
        <f t="shared" si="33"/>
        <v>16404.266700761997</v>
      </c>
      <c r="P144" s="375">
        <f t="shared" si="37"/>
        <v>2045</v>
      </c>
      <c r="Q144" s="401">
        <f>MAX(TREND(Q122:Q123,$P122:$P123,$P144),0)</f>
        <v>1072.3371428571445</v>
      </c>
      <c r="R144" s="402">
        <f>MAX(TREND(R122:R123,$P122:$P123,$P144),0)</f>
        <v>1066.5103448275877</v>
      </c>
      <c r="S144" s="725">
        <f>MAX(TREND(S122:S123,$P122:$P123,$P144),0)</f>
        <v>42.733946877912388</v>
      </c>
      <c r="T144" s="726">
        <f>MAX(TREND(T122:T123,$P122:$P123,$P144),0)</f>
        <v>74.517037037037085</v>
      </c>
      <c r="U144" s="1139">
        <f>IFERROR(MAX(1/S144-1/INDEX(ReliabilityModelGroup,O116,17), 0),0)</f>
        <v>0</v>
      </c>
      <c r="V144" s="1140">
        <f>IFERROR(MAX(1/T144-1/INDEX(ReliabilityModelGroup,O116,24), 0),0)</f>
        <v>0</v>
      </c>
      <c r="W144" s="1139">
        <f>IFERROR(AlphaSTD*MAX(AlphaTTI*(1+INDEX(ReliabilityModelGroup,O116,17)*U144)^BetaTTI-1,0)^BetaSTD*INDEX(ReliabilityModelGroup,O116,16)/INDEX(ReliabilityModelGroup,O116,17)*INDEX(RelAdjFactors,O116,15),0)</f>
        <v>1.6574357899845926E-3</v>
      </c>
      <c r="X144" s="1140">
        <f>IFERROR(AlphaSTD*MAX(AlphaTTI*(1+INDEX(ReliabilityModelGroup,O116,24)*V144)^BetaTTI-1,0)^BetaSTD*INDEX(ReliabilityModelGroup,O116,23)/INDEX(ReliabilityModelGroup,O116,24)*INDEX(RelAdjFactors,O116,15),0)</f>
        <v>7.8474510872739893E-4</v>
      </c>
      <c r="Y144" s="1156">
        <f>MIN(Q144,R144)*(W144-X144)*(INDEX(ReliabilityModelGroup,A116,12)*AnnualFactor)</f>
        <v>679.43555675866537</v>
      </c>
      <c r="Z144" s="1157">
        <f>IF(AND(R144&gt;Q144, Induced="Y"), (R144-Q144)*(W144-X144)*0.5*(INDEX(ReliabilityModelGroup,A116,12)*AnnualFactor), 0)</f>
        <v>0</v>
      </c>
      <c r="AA144" s="1143">
        <f t="shared" si="34"/>
        <v>26830.910136399696</v>
      </c>
      <c r="AB144" s="370">
        <f t="shared" si="35"/>
        <v>10886.006789223185</v>
      </c>
    </row>
    <row r="145" spans="1:28" x14ac:dyDescent="0.2">
      <c r="B145" s="1148"/>
      <c r="C145" s="386"/>
      <c r="D145" s="386"/>
      <c r="E145" s="386"/>
      <c r="F145" s="386"/>
      <c r="G145" s="386"/>
      <c r="H145" s="386"/>
      <c r="I145" s="1150"/>
      <c r="J145" s="1150"/>
      <c r="K145" s="1150"/>
      <c r="L145" s="1150"/>
      <c r="M145" s="1150"/>
      <c r="N145" s="389"/>
      <c r="P145" s="1148"/>
      <c r="Q145" s="386"/>
      <c r="R145" s="386"/>
      <c r="S145" s="386"/>
      <c r="T145" s="386"/>
      <c r="U145" s="386"/>
      <c r="V145" s="386"/>
      <c r="W145" s="1150"/>
      <c r="X145" s="1150"/>
      <c r="Y145" s="1150"/>
      <c r="Z145" s="1150"/>
      <c r="AA145" s="1150"/>
      <c r="AB145" s="389"/>
    </row>
    <row r="146" spans="1:28" x14ac:dyDescent="0.2">
      <c r="B146" s="1158" t="s">
        <v>56</v>
      </c>
      <c r="C146" s="1159"/>
      <c r="D146" s="1159"/>
      <c r="E146" s="1159"/>
      <c r="F146" s="1159"/>
      <c r="G146" s="1159"/>
      <c r="H146" s="1159"/>
      <c r="I146" s="1159"/>
      <c r="J146" s="1159"/>
      <c r="K146" s="1159"/>
      <c r="L146" s="1159"/>
      <c r="M146" s="1160">
        <f>SUM(M125:M144)</f>
        <v>729354.57654321357</v>
      </c>
      <c r="N146" s="1160">
        <f>SUM(N125:N144)</f>
        <v>434086.15562494588</v>
      </c>
      <c r="P146" s="1158" t="s">
        <v>56</v>
      </c>
      <c r="Q146" s="1159"/>
      <c r="R146" s="1159"/>
      <c r="S146" s="1159"/>
      <c r="T146" s="1159"/>
      <c r="U146" s="1159"/>
      <c r="V146" s="1159"/>
      <c r="W146" s="1159"/>
      <c r="X146" s="1159"/>
      <c r="Y146" s="1159"/>
      <c r="Z146" s="1159"/>
      <c r="AA146" s="1160">
        <f>SUM(AA125:AA144)</f>
        <v>484005.71734374447</v>
      </c>
      <c r="AB146" s="1160">
        <f>SUM(AB125:AB144)</f>
        <v>288063.15597279585</v>
      </c>
    </row>
    <row r="147" spans="1:28" x14ac:dyDescent="0.2">
      <c r="G147" s="1046"/>
      <c r="H147" s="1046"/>
      <c r="I147" s="1047"/>
      <c r="K147" s="678"/>
      <c r="O147" s="1047"/>
      <c r="P147" s="1047"/>
      <c r="Q147" s="678"/>
      <c r="R147" s="1045"/>
      <c r="S147" s="1045"/>
      <c r="W147" s="1046"/>
      <c r="X147" s="1046"/>
      <c r="Y147" s="1046"/>
    </row>
    <row r="148" spans="1:28" x14ac:dyDescent="0.2">
      <c r="A148" s="678">
        <f>MAX($A$1:A147)+1</f>
        <v>5</v>
      </c>
      <c r="B148" s="1106" t="str">
        <f>IF(ISBLANK(INDEX(ReliabilityGroup,A148,2)),"Not Used",INDEX(ReliabilityGroup,A148,2))</f>
        <v>NB Mainline</v>
      </c>
      <c r="C148" s="1049"/>
      <c r="D148" s="1049"/>
      <c r="E148" s="1049"/>
      <c r="F148" s="1049"/>
      <c r="G148" s="1049"/>
      <c r="H148" s="1049"/>
      <c r="I148" s="1102"/>
      <c r="K148" s="1107"/>
      <c r="L148" s="1102"/>
      <c r="M148" s="1102"/>
      <c r="N148" s="1049"/>
      <c r="O148" s="1045">
        <f>MAX($O$1:O147)+1</f>
        <v>5</v>
      </c>
      <c r="P148" s="1106" t="str">
        <f>IF(ISBLANK(INDEX(ReliabilityGroup,O148,2)),"Not Used",INDEX(ReliabilityGroup,O148,2))</f>
        <v>NB Mainline</v>
      </c>
      <c r="Q148" s="1049"/>
      <c r="R148" s="1049"/>
      <c r="S148" s="1049"/>
      <c r="T148" s="1049"/>
      <c r="U148" s="1049"/>
      <c r="V148" s="1049"/>
      <c r="W148" s="1102"/>
      <c r="X148" s="1102"/>
      <c r="Y148" s="1102"/>
      <c r="Z148" s="1049"/>
      <c r="AA148" s="1049"/>
      <c r="AB148" s="1049"/>
    </row>
    <row r="149" spans="1:28" x14ac:dyDescent="0.2">
      <c r="B149" s="1049"/>
      <c r="C149" s="1049"/>
      <c r="D149" s="1108"/>
      <c r="E149" s="1108"/>
      <c r="F149" s="1108"/>
      <c r="G149" s="1108"/>
      <c r="H149" s="1108"/>
      <c r="I149" s="1109"/>
      <c r="J149" s="1049"/>
      <c r="K149" s="1109"/>
      <c r="L149" s="1049"/>
      <c r="M149" s="1049"/>
      <c r="N149" s="1105"/>
      <c r="P149" s="1049"/>
      <c r="Q149" s="1049"/>
      <c r="R149" s="1108"/>
      <c r="S149" s="1108"/>
      <c r="T149" s="1108"/>
      <c r="U149" s="1108"/>
      <c r="V149" s="1108"/>
      <c r="W149" s="1049"/>
      <c r="X149" s="1049"/>
      <c r="Y149" s="1049"/>
      <c r="Z149" s="1049"/>
      <c r="AA149" s="1049"/>
      <c r="AB149" s="1105"/>
    </row>
    <row r="150" spans="1:28" ht="15.75" x14ac:dyDescent="0.2">
      <c r="B150" s="1111"/>
      <c r="C150" s="681" t="s">
        <v>332</v>
      </c>
      <c r="D150" s="1112"/>
      <c r="E150" s="681" t="s">
        <v>272</v>
      </c>
      <c r="F150" s="1112"/>
      <c r="G150" s="681" t="s">
        <v>825</v>
      </c>
      <c r="H150" s="1113"/>
      <c r="I150" s="852" t="s">
        <v>826</v>
      </c>
      <c r="J150" s="1112"/>
      <c r="K150" s="852" t="s">
        <v>827</v>
      </c>
      <c r="L150" s="1114"/>
      <c r="M150" s="1115"/>
      <c r="N150" s="1116"/>
      <c r="P150" s="1111"/>
      <c r="Q150" s="681" t="s">
        <v>332</v>
      </c>
      <c r="R150" s="1112"/>
      <c r="S150" s="681" t="s">
        <v>272</v>
      </c>
      <c r="T150" s="1112"/>
      <c r="U150" s="681" t="s">
        <v>825</v>
      </c>
      <c r="V150" s="1113"/>
      <c r="W150" s="852" t="s">
        <v>826</v>
      </c>
      <c r="X150" s="1112"/>
      <c r="Y150" s="852" t="s">
        <v>827</v>
      </c>
      <c r="Z150" s="1114"/>
      <c r="AA150" s="1186"/>
      <c r="AB150" s="1116"/>
    </row>
    <row r="151" spans="1:28" ht="15.75" x14ac:dyDescent="0.2">
      <c r="B151" s="1121"/>
      <c r="C151" s="1188" t="s">
        <v>828</v>
      </c>
      <c r="D151" s="1189"/>
      <c r="E151" s="688" t="s">
        <v>276</v>
      </c>
      <c r="F151" s="1122"/>
      <c r="G151" s="688" t="s">
        <v>829</v>
      </c>
      <c r="H151" s="1123"/>
      <c r="I151" s="1124" t="s">
        <v>830</v>
      </c>
      <c r="J151" s="1122"/>
      <c r="K151" s="1125" t="s">
        <v>831</v>
      </c>
      <c r="L151" s="687"/>
      <c r="M151" s="1126"/>
      <c r="N151" s="1127"/>
      <c r="P151" s="1121"/>
      <c r="Q151" s="1188" t="s">
        <v>828</v>
      </c>
      <c r="R151" s="1189"/>
      <c r="S151" s="688" t="s">
        <v>276</v>
      </c>
      <c r="T151" s="1122"/>
      <c r="U151" s="688" t="s">
        <v>829</v>
      </c>
      <c r="V151" s="1123"/>
      <c r="W151" s="1124" t="s">
        <v>830</v>
      </c>
      <c r="X151" s="1122"/>
      <c r="Y151" s="1125" t="s">
        <v>831</v>
      </c>
      <c r="Z151" s="687"/>
      <c r="AA151" s="1126"/>
      <c r="AB151" s="1127"/>
    </row>
    <row r="152" spans="1:28" ht="15" x14ac:dyDescent="0.2">
      <c r="B152" s="1129" t="s">
        <v>34</v>
      </c>
      <c r="C152" s="1130"/>
      <c r="D152" s="692"/>
      <c r="E152" s="1130"/>
      <c r="F152" s="692"/>
      <c r="G152" s="1130"/>
      <c r="H152" s="692"/>
      <c r="I152" s="688" t="s">
        <v>832</v>
      </c>
      <c r="J152" s="1122"/>
      <c r="K152" s="1130" t="s">
        <v>207</v>
      </c>
      <c r="L152" s="692" t="s">
        <v>231</v>
      </c>
      <c r="M152" s="1131" t="s">
        <v>208</v>
      </c>
      <c r="N152" s="1128" t="s">
        <v>39</v>
      </c>
      <c r="P152" s="1129" t="s">
        <v>34</v>
      </c>
      <c r="Q152" s="1190"/>
      <c r="R152" s="1191"/>
      <c r="S152" s="1130"/>
      <c r="T152" s="692"/>
      <c r="U152" s="1130"/>
      <c r="V152" s="692"/>
      <c r="W152" s="688" t="s">
        <v>832</v>
      </c>
      <c r="X152" s="1122"/>
      <c r="Y152" s="1130" t="s">
        <v>207</v>
      </c>
      <c r="Z152" s="692" t="s">
        <v>231</v>
      </c>
      <c r="AA152" s="1131" t="s">
        <v>208</v>
      </c>
      <c r="AB152" s="1128" t="s">
        <v>39</v>
      </c>
    </row>
    <row r="153" spans="1:28" ht="15" x14ac:dyDescent="0.2">
      <c r="B153" s="1133"/>
      <c r="C153" s="1134" t="s">
        <v>74</v>
      </c>
      <c r="D153" s="696" t="s">
        <v>125</v>
      </c>
      <c r="E153" s="1134" t="s">
        <v>74</v>
      </c>
      <c r="F153" s="696" t="s">
        <v>125</v>
      </c>
      <c r="G153" s="1134" t="s">
        <v>74</v>
      </c>
      <c r="H153" s="696" t="s">
        <v>125</v>
      </c>
      <c r="I153" s="1134" t="s">
        <v>74</v>
      </c>
      <c r="J153" s="696" t="s">
        <v>125</v>
      </c>
      <c r="K153" s="1134" t="s">
        <v>211</v>
      </c>
      <c r="L153" s="696" t="s">
        <v>233</v>
      </c>
      <c r="M153" s="1135" t="s">
        <v>48</v>
      </c>
      <c r="N153" s="1136" t="s">
        <v>49</v>
      </c>
      <c r="P153" s="1133"/>
      <c r="Q153" s="1134" t="s">
        <v>74</v>
      </c>
      <c r="R153" s="696" t="s">
        <v>125</v>
      </c>
      <c r="S153" s="1134" t="s">
        <v>74</v>
      </c>
      <c r="T153" s="696" t="s">
        <v>125</v>
      </c>
      <c r="U153" s="1134" t="s">
        <v>74</v>
      </c>
      <c r="V153" s="696" t="s">
        <v>125</v>
      </c>
      <c r="W153" s="1134" t="s">
        <v>74</v>
      </c>
      <c r="X153" s="696" t="s">
        <v>125</v>
      </c>
      <c r="Y153" s="1134" t="s">
        <v>211</v>
      </c>
      <c r="Z153" s="696" t="s">
        <v>233</v>
      </c>
      <c r="AA153" s="1135" t="s">
        <v>48</v>
      </c>
      <c r="AB153" s="1136" t="s">
        <v>49</v>
      </c>
    </row>
    <row r="154" spans="1:28" x14ac:dyDescent="0.2">
      <c r="B154" s="363">
        <f>YearFirst</f>
        <v>2026</v>
      </c>
      <c r="C154" s="364">
        <f>_xlfn.SINGLE(IF(_xlfn.SINGLE(INDEX(ReliabilityGroup,$A148,1))=Hwy,IFERROR(_xlfn.SINGLE(INDEX(ReliabilityData1NB,$A148,5))*(1-_xlfn.SINGLE(INDEX(ReliabilityData1NB,$A148,3))),0),0))</f>
        <v>4884.6921119592871</v>
      </c>
      <c r="D154" s="365">
        <f>_xlfn.SINGLE(IF(_xlfn.SINGLE(INDEX(ReliabilityGroup,$A148,1))=Hwy,IFERROR(_xlfn.SINGLE(INDEX(ReliabilityData1B,A148,5))*(1-_xlfn.SINGLE(INDEX(ReliabilityData1B,A148,3))),0),0))</f>
        <v>4545.3994910941474</v>
      </c>
      <c r="E154" s="1137">
        <f>_xlfn.SINGLE(IF(_xlfn.SINGLE(INDEX(ReliabilityGroup,A148,1))=Hwy,IFERROR(_xlfn.SINGLE(INDEX(ReliabilityData1NB,A148,4)),0),0))</f>
        <v>69.392857142857139</v>
      </c>
      <c r="F154" s="1138">
        <f>_xlfn.SINGLE(IF(_xlfn.SINGLE(INDEX(ReliabilityGroup,A148,1))=Hwy,IFERROR(_xlfn.SINGLE(INDEX(ReliabilityData1B,A148,4)),0),0))</f>
        <v>69.539940828402365</v>
      </c>
      <c r="G154" s="1198">
        <f>IFERROR(MAX(1/E154-1/INDEX(ReliabilityModelGroup,A148,17), 0),0)</f>
        <v>0</v>
      </c>
      <c r="H154" s="1199">
        <f>IFERROR(MAX(1/F154-1/INDEX(ReliabilityModelGroup,A148,24), 0),0)</f>
        <v>0</v>
      </c>
      <c r="I154" s="1139">
        <f>IFERROR(AlphaSTD*MAX(AlphaTTI*(1+INDEX(ReliabilityModelGroup,A148,17)*G154)^BetaTTI-1,0)^BetaSTD*INDEX(ReliabilityModelGroup,A148,16)/INDEX(ReliabilityModelGroup,A148,17)*INDEX(RelAdjFactors,A148,5),0)</f>
        <v>6.203545385370904E-3</v>
      </c>
      <c r="J154" s="1140">
        <f>IFERROR(AlphaSTD*MAX(AlphaTTI*(1+INDEX(ReliabilityModelGroup,A148,24)*H154)^BetaTTI-1,0)^BetaSTD*INDEX(ReliabilityModelGroup,A148,23)/INDEX(ReliabilityModelGroup,A148,24)*INDEX(RelAdjFactors,A148,5),0)</f>
        <v>5.7263495864962191E-3</v>
      </c>
      <c r="K154" s="1141">
        <f>MIN(C154*INDEX(ReliabilityModelGroup,A148,18),D154*INDEX(ReliabilityModelGroup,A148,25))*(I154-J154)*(INDEX(ReliabilityModelGroup,A148,12)*AnnualFactor)</f>
        <v>2295.9347055266571</v>
      </c>
      <c r="L154" s="1142">
        <f>IF(AND(D154*INDEX(ReliabilityModelGroup,A148,25)&gt;C154*INDEX(ReliabilityModelGroup,A148,18), Induced="Y"), (D154*INDEX(ReliabilityModelGroup,A148,25)-C154*INDEX(ReliabilityModelGroup,A148,18))*(I154-J154)*0.5*(INDEX(ReliabilityModelGroup,A148,12)*AnnualFactor), 0)</f>
        <v>0</v>
      </c>
      <c r="M154" s="1143">
        <f>(K154+L154)*ValTimeAuto*ValRelAuto*IF(IM,ValTimeIMFactor,1)*(1+TTUprater)^($B154-YearCurrent)</f>
        <v>29755.313783625486</v>
      </c>
      <c r="N154" s="370">
        <f>M154/(1+DiscRate)^(B154-YearCurrent)</f>
        <v>25434.966927647631</v>
      </c>
      <c r="P154" s="363">
        <f>YearFirst</f>
        <v>2026</v>
      </c>
      <c r="Q154" s="364">
        <f>_xlfn.SINGLE(IF(_xlfn.SINGLE(INDEX(ReliabilityGroup,$O148,1))=Hwy,IFERROR(_xlfn.SINGLE(INDEX(ReliabilityData1NB,$O148,5))*_xlfn.SINGLE(INDEX(ReliabilityData1NB,$O148,3)),0),0))</f>
        <v>1542.534351145038</v>
      </c>
      <c r="R154" s="365">
        <f>_xlfn.SINGLE(IF(_xlfn.SINGLE(INDEX(ReliabilityGroup,$O148,1))=Hwy,IFERROR(_xlfn.SINGLE(INDEX(ReliabilityData1B,$O148,5))*_xlfn.SINGLE(INDEX(ReliabilityData1B,$O148,3)),0),0))</f>
        <v>1435.3893129770993</v>
      </c>
      <c r="S154" s="1137">
        <f>_xlfn.SINGLE(IF(_xlfn.SINGLE(INDEX(ReliabilityGroup,O148,1))=Hwy,IFERROR(_xlfn.SINGLE(INDEX(ReliabilityData1NB,O148,4)),0),0))</f>
        <v>69.392857142857139</v>
      </c>
      <c r="T154" s="1138">
        <f>_xlfn.SINGLE(IF(_xlfn.SINGLE(INDEX(ReliabilityGroup,O148,1))=Hwy,IFERROR(_xlfn.SINGLE(INDEX(ReliabilityData1B,O148,4)),0),0))</f>
        <v>69.539940828402365</v>
      </c>
      <c r="U154" s="1198">
        <f>IFERROR(MAX(1/S154-1/INDEX(ReliabilityModelGroup,O148,17), 0),0)</f>
        <v>0</v>
      </c>
      <c r="V154" s="1199">
        <f>IFERROR(MAX(1/T154-1/INDEX(ReliabilityModelGroup,O148,24), 0),0)</f>
        <v>0</v>
      </c>
      <c r="W154" s="1139">
        <f>IFERROR(AlphaSTD*MAX(AlphaTTI*(1+INDEX(ReliabilityModelGroup,O148,17)*U154)^BetaTTI-1,0)^BetaSTD*INDEX(ReliabilityModelGroup,O148,16)/INDEX(ReliabilityModelGroup,O148,17)*INDEX(RelAdjFactors,O148,15),0)</f>
        <v>6.203545385370904E-3</v>
      </c>
      <c r="X154" s="1140">
        <f>IFERROR(AlphaSTD*MAX(AlphaTTI*(1+INDEX(ReliabilityModelGroup,O148,24)*V154)^BetaTTI-1,0)^BetaSTD*INDEX(ReliabilityModelGroup,O148,23)/INDEX(ReliabilityModelGroup,O148,24)*INDEX(RelAdjFactors,O148,15),0)</f>
        <v>5.7263495864962191E-3</v>
      </c>
      <c r="Y154" s="1141">
        <f>MIN(Q154,R154)*(W154-X154)*(INDEX(ReliabilityModelGroup,A148,12)*AnnualFactor)</f>
        <v>500.02207742867313</v>
      </c>
      <c r="Z154" s="1142">
        <f>IF(AND(R154&gt;Q154, Induced="Y"), (R154-Q154)*(W154-X154)*0.5*(INDEX(ReliabilityModelGroup,A148,12)*AnnualFactor), 0)</f>
        <v>0</v>
      </c>
      <c r="AA154" s="1143">
        <f>(Y154+Z154)*ValTimeTruck*ValRelTruck*IF(IM,ValTimeIMFactor,1)*(1+TTUprater)^($B154-YearCurrent)</f>
        <v>19745.871837658302</v>
      </c>
      <c r="AB154" s="370">
        <f>AA154/(1+DiscRate)^(P154-YearCurrent)</f>
        <v>16878.854002366148</v>
      </c>
    </row>
    <row r="155" spans="1:28" x14ac:dyDescent="0.2">
      <c r="B155" s="379">
        <f>YearLast</f>
        <v>2046</v>
      </c>
      <c r="C155" s="380">
        <f>_xlfn.SINGLE(IF(_xlfn.SINGLE(INDEX(ReliabilityGroup,$A148,1))=Hwy,IFERROR(_xlfn.SINGLE(INDEX(ReliabilityData20NB,$A148,5))*(1-_xlfn.SINGLE(INDEX(ReliabilityData20NB,$A148,3))),0),0))</f>
        <v>6200.7684478371502</v>
      </c>
      <c r="D155" s="1145">
        <f>_xlfn.SINGLE(IF(_xlfn.SINGLE(INDEX(ReliabilityGroup,$A148,1))=Hwy,IFERROR(_xlfn.SINGLE(INDEX(ReliabilityData20B,$A148,5))*(1-_xlfn.SINGLE(INDEX(ReliabilityData20B,$A148,3))),0),0))</f>
        <v>5481.765903307888</v>
      </c>
      <c r="E155" s="1137">
        <f>_xlfn.SINGLE(IF(_xlfn.SINGLE(INDEX(ReliabilityGroup,A148,1))=Hwy,IFERROR(_xlfn.SINGLE(INDEX(ReliabilityData20NB,A148,4)),0),0))</f>
        <v>69.104525862068968</v>
      </c>
      <c r="F155" s="1022">
        <f>_xlfn.SINGLE(IF(_xlfn.SINGLE(INDEX(ReliabilityGroup,A148,1))=Hwy,IFERROR(_xlfn.SINGLE(INDEX(ReliabilityData20B,A148,4)),0),0))</f>
        <v>69.306845965770165</v>
      </c>
      <c r="G155" s="1139">
        <f>IFERROR(MAX(1/E155-1/INDEX(ReliabilityModelGroup,A148,17), 0),0)</f>
        <v>0</v>
      </c>
      <c r="H155" s="1140">
        <f>IFERROR(MAX(1/F155-1/INDEX(ReliabilityModelGroup,A148,24), 0),0)</f>
        <v>0</v>
      </c>
      <c r="I155" s="1139">
        <f>IFERROR(AlphaSTD*MAX(AlphaTTI*(1+INDEX(ReliabilityModelGroup,A148,17)*G155)^BetaTTI-1,0)^BetaSTD*INDEX(ReliabilityModelGroup,A148,16)/INDEX(ReliabilityModelGroup,A148,17)*INDEX(RelAdjFactors,A148,5),0)</f>
        <v>6.203545385370904E-3</v>
      </c>
      <c r="J155" s="1140">
        <f>IFERROR(AlphaSTD*MAX(AlphaTTI*(1+INDEX(ReliabilityModelGroup,A148,24)*H155)^BetaTTI-1,0)^BetaSTD*INDEX(ReliabilityModelGroup,A148,23)/INDEX(ReliabilityModelGroup,A148,24)*INDEX(RelAdjFactors,A148,5),0)</f>
        <v>5.7263495864962191E-3</v>
      </c>
      <c r="K155" s="1146">
        <f>MIN(C155*INDEX(ReliabilityModelGroup,A148,18),D155*INDEX(ReliabilityModelGroup,A148,25))*(I155-J155)*(INDEX(ReliabilityModelGroup,A148,12)*AnnualFactor)</f>
        <v>2768.9043855521877</v>
      </c>
      <c r="L155" s="1147">
        <f>IF(AND(D155*INDEX(ReliabilityModelGroup,A148,25)&gt;C155*INDEX(ReliabilityModelGroup,A148,18), Induced="Y"), (D155*INDEX(ReliabilityModelGroup,A148,25)-C155*INDEX(ReliabilityModelGroup,A148,18))*(I155-J155)*0.5*(INDEX(ReliabilityModelGroup,A148,12)*AnnualFactor), 0)</f>
        <v>0</v>
      </c>
      <c r="M155" s="1143">
        <f>(K155+L155)*ValTimeAuto*ValRelAuto*IF(IM,ValTimeIMFactor,1)*(1+TTUprater)^($B155-YearCurrent)</f>
        <v>35885.000836756364</v>
      </c>
      <c r="N155" s="370">
        <f>M155/(1+DiscRate)^(B155-YearCurrent)</f>
        <v>13999.509433275458</v>
      </c>
      <c r="P155" s="379">
        <f>YearLast</f>
        <v>2046</v>
      </c>
      <c r="Q155" s="380">
        <f>_xlfn.SINGLE(IF(_xlfn.SINGLE(INDEX(ReliabilityGroup,$O148,1))=Hwy,IFERROR(_xlfn.SINGLE(INDEX(ReliabilityData20NB,$O148,5))*_xlfn.SINGLE(INDEX(ReliabilityData20NB,$O148,3)),0),0))</f>
        <v>1958.1374045801524</v>
      </c>
      <c r="R155" s="1145">
        <f>_xlfn.SINGLE(IF(_xlfn.SINGLE(INDEX(ReliabilityGroup,$O148,1))=Hwy,IFERROR(_xlfn.SINGLE(INDEX(ReliabilityData20B,$O148,5))*_xlfn.SINGLE(INDEX(ReliabilityData20B,$O148,3)),0),0))</f>
        <v>1731.0839694656488</v>
      </c>
      <c r="S155" s="1137">
        <f>_xlfn.SINGLE(IF(_xlfn.SINGLE(INDEX(ReliabilityGroup,O148,1))=Hwy,IFERROR(_xlfn.SINGLE(INDEX(ReliabilityData20NB,O148,4)),0),0))</f>
        <v>69.104525862068968</v>
      </c>
      <c r="T155" s="1022">
        <f>_xlfn.SINGLE(IF(_xlfn.SINGLE(INDEX(ReliabilityGroup,O148,1))=Hwy,IFERROR(_xlfn.SINGLE(INDEX(ReliabilityData20B,O148,4)),0),0))</f>
        <v>69.306845965770165</v>
      </c>
      <c r="U155" s="1139">
        <f>IFERROR(MAX(1/S155-1/INDEX(ReliabilityModelGroup,O148,17), 0),0)</f>
        <v>0</v>
      </c>
      <c r="V155" s="1140">
        <f>IFERROR(MAX(1/T155-1/INDEX(ReliabilityModelGroup,O148,24), 0),0)</f>
        <v>0</v>
      </c>
      <c r="W155" s="1139">
        <f>IFERROR(AlphaSTD*MAX(AlphaTTI*(1+INDEX(ReliabilityModelGroup,O148,17)*U155)^BetaTTI-1,0)^BetaSTD*INDEX(ReliabilityModelGroup,O148,16)/INDEX(ReliabilityModelGroup,O148,17)*INDEX(RelAdjFactors,O148,15),0)</f>
        <v>6.203545385370904E-3</v>
      </c>
      <c r="X155" s="1140">
        <f>IFERROR(AlphaSTD*MAX(AlphaTTI*(1+INDEX(ReliabilityModelGroup,O148,24)*V155)^BetaTTI-1,0)^BetaSTD*INDEX(ReliabilityModelGroup,O148,23)/INDEX(ReliabilityModelGroup,O148,24)*INDEX(RelAdjFactors,O148,15),0)</f>
        <v>5.7263495864962191E-3</v>
      </c>
      <c r="Y155" s="1146">
        <f>MIN(Q155,R155)*(W155-X155)*(INDEX(ReliabilityModelGroup,A148,12)*AnnualFactor)</f>
        <v>603.02817834167422</v>
      </c>
      <c r="Z155" s="1147">
        <f>IF(AND(R155&gt;Q155, Induced="Y"), (R155-Q155)*(W155-X155)*0.5*(INDEX(ReliabilityModelGroup,A148,12)*AnnualFactor), 0)</f>
        <v>0</v>
      </c>
      <c r="AA155" s="1143">
        <f>(Y155+Z155)*ValTimeTruck*ValRelTruck*IF(IM,ValTimeIMFactor,1)*(1+TTUprater)^($B155-YearCurrent)</f>
        <v>23813.582762712718</v>
      </c>
      <c r="AB155" s="370">
        <f>AA155/(1+DiscRate)^(P155-YearCurrent)</f>
        <v>9290.1900168052653</v>
      </c>
    </row>
    <row r="156" spans="1:28" x14ac:dyDescent="0.2">
      <c r="B156" s="1148"/>
      <c r="C156" s="386"/>
      <c r="D156" s="386"/>
      <c r="E156" s="386"/>
      <c r="F156" s="386"/>
      <c r="G156" s="434"/>
      <c r="H156" s="434"/>
      <c r="I156" s="434"/>
      <c r="J156" s="434"/>
      <c r="K156" s="1149"/>
      <c r="L156" s="1149"/>
      <c r="M156" s="1150"/>
      <c r="N156" s="389"/>
      <c r="P156" s="1148"/>
      <c r="Q156" s="386"/>
      <c r="R156" s="386"/>
      <c r="S156" s="386"/>
      <c r="T156" s="386"/>
      <c r="U156" s="434"/>
      <c r="V156" s="434"/>
      <c r="W156" s="1151"/>
      <c r="X156" s="1152"/>
      <c r="Y156" s="1149"/>
      <c r="Z156" s="1149"/>
      <c r="AA156" s="1150"/>
      <c r="AB156" s="389"/>
    </row>
    <row r="157" spans="1:28" x14ac:dyDescent="0.2">
      <c r="B157" s="375">
        <f>YearOpen</f>
        <v>2026</v>
      </c>
      <c r="C157" s="393">
        <f>MAX(TREND(C154:C155,$B154:$B155,$B157),0)</f>
        <v>4884.6921119593026</v>
      </c>
      <c r="D157" s="394">
        <f>MAX(TREND(D154:D155,$B154:$B155,$B157),0)</f>
        <v>4545.3994910941401</v>
      </c>
      <c r="E157" s="1153">
        <f>MAX(TREND(E154:E155,$B154:$B155,$B157),0)</f>
        <v>69.392857142857139</v>
      </c>
      <c r="F157" s="1154">
        <f>MAX(TREND(F154:F155,$B154:$B155,$B157),0)</f>
        <v>69.539940828402365</v>
      </c>
      <c r="G157" s="1139">
        <f>IFERROR(MAX(1/E157-1/INDEX(ReliabilityModelGroup,A148,17), 0),0)</f>
        <v>0</v>
      </c>
      <c r="H157" s="1140">
        <f>IFERROR(MAX(1/F157-1/INDEX(ReliabilityModelGroup,A148,24), 0),0)</f>
        <v>0</v>
      </c>
      <c r="I157" s="1139">
        <f>IFERROR(AlphaSTD*MAX(AlphaTTI*(1+INDEX(ReliabilityModelGroup,A148,17)*G157)^BetaTTI-1,0)^BetaSTD*INDEX(ReliabilityModelGroup,A148,16)/INDEX(ReliabilityModelGroup,A148,17)*INDEX(RelAdjFactors,A148,5),0)</f>
        <v>6.203545385370904E-3</v>
      </c>
      <c r="J157" s="1140">
        <f>IFERROR(AlphaSTD*MAX(AlphaTTI*(1+INDEX(ReliabilityModelGroup,A148,24)*H157)^BetaTTI-1,0)^BetaSTD*INDEX(ReliabilityModelGroup,A148,23)/INDEX(ReliabilityModelGroup,A148,24)*INDEX(RelAdjFactors,A148,5),0)</f>
        <v>5.7263495864962191E-3</v>
      </c>
      <c r="K157" s="1155">
        <f>MIN(C157*INDEX(ReliabilityModelGroup,A148,18),D157*INDEX(ReliabilityModelGroup,A148,25))*(I157-J157)*(INDEX(ReliabilityModelGroup,A148,12)*AnnualFactor)</f>
        <v>2295.9347055266535</v>
      </c>
      <c r="L157" s="1142">
        <f>IF(AND(D157*INDEX(ReliabilityModelGroup,A148,25)&gt;C157*INDEX(ReliabilityModelGroup,A148,18), Induced="Y"), (D157*INDEX(ReliabilityModelGroup,A148,25)-C157*INDEX(ReliabilityModelGroup,A148,18))*(I157-J157)*0.5*(INDEX(ReliabilityModelGroup,A148,12)*AnnualFactor), 0)</f>
        <v>0</v>
      </c>
      <c r="M157" s="1143">
        <f t="shared" ref="M157:M176" si="38">(K157+L157)*ValTimeAuto*ValRelAuto*IF(IM,ValTimeIMFactor,1)*(1+TTUprater)^($B157-YearCurrent)</f>
        <v>29755.313783625432</v>
      </c>
      <c r="N157" s="370">
        <f t="shared" ref="N157:N176" si="39">M157/(1+DiscRate)^(B157-YearCurrent)</f>
        <v>25434.966927647583</v>
      </c>
      <c r="P157" s="375">
        <f>YearOpen</f>
        <v>2026</v>
      </c>
      <c r="Q157" s="393">
        <f>MAX(TREND(Q154:Q155,$P154:$P155,$P157),0)</f>
        <v>1542.534351145041</v>
      </c>
      <c r="R157" s="394">
        <f>MAX(TREND(R154:R155,$P154:$P155,$P157),0)</f>
        <v>1435.3893129771022</v>
      </c>
      <c r="S157" s="1153">
        <f>MAX(TREND(S154:S155,$P154:$P155,$P157),0)</f>
        <v>69.392857142857139</v>
      </c>
      <c r="T157" s="1154">
        <f>MAX(TREND(T154:T155,$P154:$P155,$P157),0)</f>
        <v>69.539940828402365</v>
      </c>
      <c r="U157" s="1139">
        <f>IFERROR(MAX(1/S157-1/INDEX(ReliabilityModelGroup,O148,17), 0),0)</f>
        <v>0</v>
      </c>
      <c r="V157" s="1140">
        <f>IFERROR(MAX(1/T157-1/INDEX(ReliabilityModelGroup,O148,24), 0),0)</f>
        <v>0</v>
      </c>
      <c r="W157" s="1139">
        <f>IFERROR(AlphaSTD*MAX(AlphaTTI*(1+INDEX(ReliabilityModelGroup,O148,17)*U157)^BetaTTI-1,0)^BetaSTD*INDEX(ReliabilityModelGroup,O148,16)/INDEX(ReliabilityModelGroup,O148,17)*INDEX(RelAdjFactors,O148,15),0)</f>
        <v>6.203545385370904E-3</v>
      </c>
      <c r="X157" s="1140">
        <f>IFERROR(AlphaSTD*MAX(AlphaTTI*(1+INDEX(ReliabilityModelGroup,O148,24)*V157)^BetaTTI-1,0)^BetaSTD*INDEX(ReliabilityModelGroup,O148,23)/INDEX(ReliabilityModelGroup,O148,24)*INDEX(RelAdjFactors,O148,15),0)</f>
        <v>5.7263495864962191E-3</v>
      </c>
      <c r="Y157" s="1155">
        <f>MIN(Q157,R157)*(W157-X157)*(INDEX(ReliabilityModelGroup,A148,12)*AnnualFactor)</f>
        <v>500.02207742867409</v>
      </c>
      <c r="Z157" s="1142">
        <f>IF(AND(R157&gt;Q157, Induced="Y"), (R157-Q157)*(W157-X157)*0.5*(INDEX(ReliabilityModelGroup,A148,12)*AnnualFactor), 0)</f>
        <v>0</v>
      </c>
      <c r="AA157" s="1143">
        <f t="shared" ref="AA157:AA176" si="40">(Y157+Z157)*ValTimeTruck*ValRelTruck*IF(IM,ValTimeIMFactor,1)*(1+TTUprater)^($B157-YearCurrent)</f>
        <v>19745.871837658338</v>
      </c>
      <c r="AB157" s="370">
        <f t="shared" ref="AB157:AB176" si="41">AA157/(1+DiscRate)^(P157-YearCurrent)</f>
        <v>16878.854002366177</v>
      </c>
    </row>
    <row r="158" spans="1:28" x14ac:dyDescent="0.2">
      <c r="B158" s="375">
        <f>B157+1</f>
        <v>2027</v>
      </c>
      <c r="C158" s="401">
        <f>MAX(TREND(C154:C155,$B154:$B155,$B158),0)</f>
        <v>4950.4959287531965</v>
      </c>
      <c r="D158" s="402">
        <f>MAX(TREND(D154:D155,$B154:$B155,$B158),0)</f>
        <v>4592.217811704817</v>
      </c>
      <c r="E158" s="725">
        <f>MAX(TREND(E154:E155,$B154:$B155,$B158),0)</f>
        <v>69.378440578817731</v>
      </c>
      <c r="F158" s="726">
        <f>MAX(TREND(F154:F155,$B154:$B155,$B158),0)</f>
        <v>69.528286085270764</v>
      </c>
      <c r="G158" s="1139">
        <f>IFERROR(MAX(1/E158-1/INDEX(ReliabilityModelGroup,A148,17), 0),0)</f>
        <v>0</v>
      </c>
      <c r="H158" s="1140">
        <f>IFERROR(MAX(1/F158-1/INDEX(ReliabilityModelGroup,A148,24), 0),0)</f>
        <v>0</v>
      </c>
      <c r="I158" s="1139">
        <f>IFERROR(AlphaSTD*MAX(AlphaTTI*(1+INDEX(ReliabilityModelGroup,A148,17)*G158)^BetaTTI-1,0)^BetaSTD*INDEX(ReliabilityModelGroup,A148,16)/INDEX(ReliabilityModelGroup,A148,17)*INDEX(RelAdjFactors,A148,5),0)</f>
        <v>6.203545385370904E-3</v>
      </c>
      <c r="J158" s="1140">
        <f>IFERROR(AlphaSTD*MAX(AlphaTTI*(1+INDEX(ReliabilityModelGroup,A148,24)*H158)^BetaTTI-1,0)^BetaSTD*INDEX(ReliabilityModelGroup,A148,23)/INDEX(ReliabilityModelGroup,A148,24)*INDEX(RelAdjFactors,A148,5),0)</f>
        <v>5.7263495864962191E-3</v>
      </c>
      <c r="K158" s="1156">
        <f>MIN(C158*INDEX(ReliabilityModelGroup,A148,18),D158*INDEX(ReliabilityModelGroup,A148,25))*(I158-J158)*(INDEX(ReliabilityModelGroup,A148,12)*AnnualFactor)</f>
        <v>2319.5831895279248</v>
      </c>
      <c r="L158" s="1157">
        <f>IF(AND(D158*INDEX(ReliabilityModelGroup,A148,25)&gt;C158*INDEX(ReliabilityModelGroup,A148,18), Induced="Y"), (D158*INDEX(ReliabilityModelGroup,A148,25)-C158*INDEX(ReliabilityModelGroup,A148,18))*(I158-J158)*0.5*(INDEX(ReliabilityModelGroup,A148,12)*AnnualFactor), 0)</f>
        <v>0</v>
      </c>
      <c r="M158" s="1143">
        <f t="shared" si="38"/>
        <v>30061.798136281912</v>
      </c>
      <c r="N158" s="370">
        <f t="shared" si="39"/>
        <v>24708.606766137858</v>
      </c>
      <c r="P158" s="375">
        <f>P157+1</f>
        <v>2027</v>
      </c>
      <c r="Q158" s="401">
        <f>MAX(TREND(Q154:Q155,$P154:$P155,$P158),0)</f>
        <v>1563.3145038168004</v>
      </c>
      <c r="R158" s="402">
        <f>MAX(TREND(R154:R155,$P154:$P155,$P158),0)</f>
        <v>1450.1740458015302</v>
      </c>
      <c r="S158" s="725">
        <f>MAX(TREND(S154:S155,$P154:$P155,$P158),0)</f>
        <v>69.378440578817731</v>
      </c>
      <c r="T158" s="726">
        <f>MAX(TREND(T154:T155,$P154:$P155,$P158),0)</f>
        <v>69.528286085270764</v>
      </c>
      <c r="U158" s="1139">
        <f>IFERROR(MAX(1/S158-1/INDEX(ReliabilityModelGroup,O148,17), 0),0)</f>
        <v>0</v>
      </c>
      <c r="V158" s="1140">
        <f>IFERROR(MAX(1/T158-1/INDEX(ReliabilityModelGroup,O148,24), 0),0)</f>
        <v>0</v>
      </c>
      <c r="W158" s="1139">
        <f>IFERROR(AlphaSTD*MAX(AlphaTTI*(1+INDEX(ReliabilityModelGroup,O148,17)*U158)^BetaTTI-1,0)^BetaSTD*INDEX(ReliabilityModelGroup,O148,16)/INDEX(ReliabilityModelGroup,O148,17)*INDEX(RelAdjFactors,O148,15),0)</f>
        <v>6.203545385370904E-3</v>
      </c>
      <c r="X158" s="1140">
        <f>IFERROR(AlphaSTD*MAX(AlphaTTI*(1+INDEX(ReliabilityModelGroup,O148,24)*V158)^BetaTTI-1,0)^BetaSTD*INDEX(ReliabilityModelGroup,O148,23)/INDEX(ReliabilityModelGroup,O148,24)*INDEX(RelAdjFactors,O148,15),0)</f>
        <v>5.7263495864962191E-3</v>
      </c>
      <c r="Y158" s="1156">
        <f>MIN(Q158,R158)*(W158-X158)*(INDEX(ReliabilityModelGroup,A148,12)*AnnualFactor)</f>
        <v>505.17238247432437</v>
      </c>
      <c r="Z158" s="1157">
        <f>IF(AND(R158&gt;Q158, Induced="Y"), (R158-Q158)*(W158-X158)*0.5*(INDEX(ReliabilityModelGroup,A148,12)*AnnualFactor), 0)</f>
        <v>0</v>
      </c>
      <c r="AA158" s="1143">
        <f t="shared" si="40"/>
        <v>19949.25738391107</v>
      </c>
      <c r="AB158" s="370">
        <f t="shared" si="41"/>
        <v>16396.835403555655</v>
      </c>
    </row>
    <row r="159" spans="1:28" x14ac:dyDescent="0.2">
      <c r="B159" s="375">
        <f t="shared" ref="B159:B176" si="42">B158+1</f>
        <v>2028</v>
      </c>
      <c r="C159" s="401">
        <f>MAX(TREND(C154:C155,$B154:$B155,$B159),0)</f>
        <v>5016.2997455470904</v>
      </c>
      <c r="D159" s="402">
        <f>MAX(TREND(D154:D155,$B154:$B155,$B159),0)</f>
        <v>4639.0361323155084</v>
      </c>
      <c r="E159" s="725">
        <f>MAX(TREND(E154:E155,$B154:$B155,$B159),0)</f>
        <v>69.364024014778323</v>
      </c>
      <c r="F159" s="726">
        <f>MAX(TREND(F154:F155,$B154:$B155,$B159),0)</f>
        <v>69.516631342139149</v>
      </c>
      <c r="G159" s="1139">
        <f>IFERROR(MAX(1/E159-1/INDEX(ReliabilityModelGroup,A148,17), 0),0)</f>
        <v>0</v>
      </c>
      <c r="H159" s="1140">
        <f>IFERROR(MAX(1/F159-1/INDEX(ReliabilityModelGroup,A148,24), 0),0)</f>
        <v>0</v>
      </c>
      <c r="I159" s="1139">
        <f>IFERROR(AlphaSTD*MAX(AlphaTTI*(1+INDEX(ReliabilityModelGroup,A148,17)*G159)^BetaTTI-1,0)^BetaSTD*INDEX(ReliabilityModelGroup,A148,16)/INDEX(ReliabilityModelGroup,A148,17)*INDEX(RelAdjFactors,A148,5),0)</f>
        <v>6.203545385370904E-3</v>
      </c>
      <c r="J159" s="1140">
        <f>IFERROR(AlphaSTD*MAX(AlphaTTI*(1+INDEX(ReliabilityModelGroup,A148,24)*H159)^BetaTTI-1,0)^BetaSTD*INDEX(ReliabilityModelGroup,A148,23)/INDEX(ReliabilityModelGroup,A148,24)*INDEX(RelAdjFactors,A148,5),0)</f>
        <v>5.7263495864962191E-3</v>
      </c>
      <c r="K159" s="1156">
        <f>MIN(C159*INDEX(ReliabilityModelGroup,A148,18),D159*INDEX(ReliabilityModelGroup,A148,25))*(I159-J159)*(INDEX(ReliabilityModelGroup,A148,12)*AnnualFactor)</f>
        <v>2343.2316735292038</v>
      </c>
      <c r="L159" s="1157">
        <f>IF(AND(D159*INDEX(ReliabilityModelGroup,A148,25)&gt;C159*INDEX(ReliabilityModelGroup,A148,18), Induced="Y"), (D159*INDEX(ReliabilityModelGroup,A148,25)-C159*INDEX(ReliabilityModelGroup,A148,18))*(I159-J159)*0.5*(INDEX(ReliabilityModelGroup,A148,12)*AnnualFactor), 0)</f>
        <v>0</v>
      </c>
      <c r="M159" s="1143">
        <f t="shared" si="38"/>
        <v>30368.282488938486</v>
      </c>
      <c r="N159" s="370">
        <f t="shared" si="39"/>
        <v>24000.494772484508</v>
      </c>
      <c r="P159" s="375">
        <f t="shared" ref="P159:P176" si="43">P158+1</f>
        <v>2028</v>
      </c>
      <c r="Q159" s="401">
        <f>MAX(TREND(Q154:Q155,$P154:$P155,$P159),0)</f>
        <v>1584.0946564885526</v>
      </c>
      <c r="R159" s="402">
        <f>MAX(TREND(R154:R155,$P154:$P155,$P159),0)</f>
        <v>1464.9587786259544</v>
      </c>
      <c r="S159" s="725">
        <f>MAX(TREND(S154:S155,$P154:$P155,$P159),0)</f>
        <v>69.364024014778323</v>
      </c>
      <c r="T159" s="726">
        <f>MAX(TREND(T154:T155,$P154:$P155,$P159),0)</f>
        <v>69.516631342139149</v>
      </c>
      <c r="U159" s="1139">
        <f>IFERROR(MAX(1/S159-1/INDEX(ReliabilityModelGroup,O148,17), 0),0)</f>
        <v>0</v>
      </c>
      <c r="V159" s="1140">
        <f>IFERROR(MAX(1/T159-1/INDEX(ReliabilityModelGroup,O148,24), 0),0)</f>
        <v>0</v>
      </c>
      <c r="W159" s="1139">
        <f>IFERROR(AlphaSTD*MAX(AlphaTTI*(1+INDEX(ReliabilityModelGroup,O148,17)*U159)^BetaTTI-1,0)^BetaSTD*INDEX(ReliabilityModelGroup,O148,16)/INDEX(ReliabilityModelGroup,O148,17)*INDEX(RelAdjFactors,O148,15),0)</f>
        <v>6.203545385370904E-3</v>
      </c>
      <c r="X159" s="1140">
        <f>IFERROR(AlphaSTD*MAX(AlphaTTI*(1+INDEX(ReliabilityModelGroup,O148,24)*V159)^BetaTTI-1,0)^BetaSTD*INDEX(ReliabilityModelGroup,O148,23)/INDEX(ReliabilityModelGroup,O148,24)*INDEX(RelAdjFactors,O148,15),0)</f>
        <v>5.7263495864962191E-3</v>
      </c>
      <c r="Y159" s="1156">
        <f>MIN(Q159,R159)*(W159-X159)*(INDEX(ReliabilityModelGroup,A148,12)*AnnualFactor)</f>
        <v>510.32268751997327</v>
      </c>
      <c r="Z159" s="1157">
        <f>IF(AND(R159&gt;Q159, Induced="Y"), (R159-Q159)*(W159-X159)*0.5*(INDEX(ReliabilityModelGroup,A148,12)*AnnualFactor), 0)</f>
        <v>0</v>
      </c>
      <c r="AA159" s="1143">
        <f t="shared" si="40"/>
        <v>20152.642930163744</v>
      </c>
      <c r="AB159" s="370">
        <f t="shared" si="41"/>
        <v>15926.926439561334</v>
      </c>
    </row>
    <row r="160" spans="1:28" x14ac:dyDescent="0.2">
      <c r="B160" s="375">
        <f t="shared" si="42"/>
        <v>2029</v>
      </c>
      <c r="C160" s="401">
        <f>MAX(TREND(C154:C155,$B154:$B155,$B160),0)</f>
        <v>5082.1035623409844</v>
      </c>
      <c r="D160" s="402">
        <f>MAX(TREND(D154:D155,$B154:$B155,$B160),0)</f>
        <v>4685.8544529261999</v>
      </c>
      <c r="E160" s="725">
        <f>MAX(TREND(E154:E155,$B154:$B155,$B160),0)</f>
        <v>69.349607450738915</v>
      </c>
      <c r="F160" s="726">
        <f>MAX(TREND(F154:F155,$B154:$B155,$B160),0)</f>
        <v>69.504976599007534</v>
      </c>
      <c r="G160" s="1139">
        <f>IFERROR(MAX(1/E160-1/INDEX(ReliabilityModelGroup,A148,17), 0),0)</f>
        <v>0</v>
      </c>
      <c r="H160" s="1140">
        <f>IFERROR(MAX(1/F160-1/INDEX(ReliabilityModelGroup,A148,24), 0),0)</f>
        <v>0</v>
      </c>
      <c r="I160" s="1139">
        <f>IFERROR(AlphaSTD*MAX(AlphaTTI*(1+INDEX(ReliabilityModelGroup,A148,17)*G160)^BetaTTI-1,0)^BetaSTD*INDEX(ReliabilityModelGroup,A148,16)/INDEX(ReliabilityModelGroup,A148,17)*INDEX(RelAdjFactors,A148,5),0)</f>
        <v>6.203545385370904E-3</v>
      </c>
      <c r="J160" s="1140">
        <f>IFERROR(AlphaSTD*MAX(AlphaTTI*(1+INDEX(ReliabilityModelGroup,A148,24)*H160)^BetaTTI-1,0)^BetaSTD*INDEX(ReliabilityModelGroup,A148,23)/INDEX(ReliabilityModelGroup,A148,24)*INDEX(RelAdjFactors,A148,5),0)</f>
        <v>5.7263495864962191E-3</v>
      </c>
      <c r="K160" s="1156">
        <f>MIN(C160*INDEX(ReliabilityModelGroup,A148,18),D160*INDEX(ReliabilityModelGroup,A148,25))*(I160-J160)*(INDEX(ReliabilityModelGroup,A148,12)*AnnualFactor)</f>
        <v>2366.8801575304824</v>
      </c>
      <c r="L160" s="1157">
        <f>IF(AND(D160*INDEX(ReliabilityModelGroup,A148,25)&gt;C160*INDEX(ReliabilityModelGroup,A148,18), Induced="Y"), (D160*INDEX(ReliabilityModelGroup,A148,25)-C160*INDEX(ReliabilityModelGroup,A148,18))*(I160-J160)*0.5*(INDEX(ReliabilityModelGroup,A148,12)*AnnualFactor), 0)</f>
        <v>0</v>
      </c>
      <c r="M160" s="1143">
        <f t="shared" si="38"/>
        <v>30674.766841595057</v>
      </c>
      <c r="N160" s="370">
        <f t="shared" si="39"/>
        <v>23310.301738748076</v>
      </c>
      <c r="P160" s="375">
        <f t="shared" si="43"/>
        <v>2029</v>
      </c>
      <c r="Q160" s="401">
        <f>MAX(TREND(Q154:Q155,$P154:$P155,$P160),0)</f>
        <v>1604.874809160312</v>
      </c>
      <c r="R160" s="402">
        <f>MAX(TREND(R154:R155,$P154:$P155,$P160),0)</f>
        <v>1479.7435114503824</v>
      </c>
      <c r="S160" s="725">
        <f>MAX(TREND(S154:S155,$P154:$P155,$P160),0)</f>
        <v>69.349607450738915</v>
      </c>
      <c r="T160" s="726">
        <f>MAX(TREND(T154:T155,$P154:$P155,$P160),0)</f>
        <v>69.504976599007534</v>
      </c>
      <c r="U160" s="1139">
        <f>IFERROR(MAX(1/S160-1/INDEX(ReliabilityModelGroup,O148,17), 0),0)</f>
        <v>0</v>
      </c>
      <c r="V160" s="1140">
        <f>IFERROR(MAX(1/T160-1/INDEX(ReliabilityModelGroup,O148,24), 0),0)</f>
        <v>0</v>
      </c>
      <c r="W160" s="1139">
        <f>IFERROR(AlphaSTD*MAX(AlphaTTI*(1+INDEX(ReliabilityModelGroup,O148,17)*U160)^BetaTTI-1,0)^BetaSTD*INDEX(ReliabilityModelGroup,O148,16)/INDEX(ReliabilityModelGroup,O148,17)*INDEX(RelAdjFactors,O148,15),0)</f>
        <v>6.203545385370904E-3</v>
      </c>
      <c r="X160" s="1140">
        <f>IFERROR(AlphaSTD*MAX(AlphaTTI*(1+INDEX(ReliabilityModelGroup,O148,24)*V160)^BetaTTI-1,0)^BetaSTD*INDEX(ReliabilityModelGroup,O148,23)/INDEX(ReliabilityModelGroup,O148,24)*INDEX(RelAdjFactors,O148,15),0)</f>
        <v>5.7263495864962191E-3</v>
      </c>
      <c r="Y160" s="1156">
        <f>MIN(Q160,R160)*(W160-X160)*(INDEX(ReliabilityModelGroup,A148,12)*AnnualFactor)</f>
        <v>515.47299256562349</v>
      </c>
      <c r="Z160" s="1157">
        <f>IF(AND(R160&gt;Q160, Induced="Y"), (R160-Q160)*(W160-X160)*0.5*(INDEX(ReliabilityModelGroup,A148,12)*AnnualFactor), 0)</f>
        <v>0</v>
      </c>
      <c r="AA160" s="1143">
        <f t="shared" si="40"/>
        <v>20356.028476416475</v>
      </c>
      <c r="AB160" s="370">
        <f t="shared" si="41"/>
        <v>15468.908645277335</v>
      </c>
    </row>
    <row r="161" spans="2:28" x14ac:dyDescent="0.2">
      <c r="B161" s="375">
        <f t="shared" si="42"/>
        <v>2030</v>
      </c>
      <c r="C161" s="401">
        <f>MAX(TREND(C154:C155,$B154:$B155,$B161),0)</f>
        <v>5147.9073791348492</v>
      </c>
      <c r="D161" s="402">
        <f>MAX(TREND(D154:D155,$B154:$B155,$B161),0)</f>
        <v>4732.6727735368768</v>
      </c>
      <c r="E161" s="725">
        <f>MAX(TREND(E154:E155,$B154:$B155,$B161),0)</f>
        <v>69.335190886699507</v>
      </c>
      <c r="F161" s="726">
        <f>MAX(TREND(F154:F155,$B154:$B155,$B161),0)</f>
        <v>69.493321855875934</v>
      </c>
      <c r="G161" s="1139">
        <f>IFERROR(MAX(1/E161-1/INDEX(ReliabilityModelGroup,A148,17), 0),0)</f>
        <v>0</v>
      </c>
      <c r="H161" s="1140">
        <f>IFERROR(MAX(1/F161-1/INDEX(ReliabilityModelGroup,A148,24), 0),0)</f>
        <v>0</v>
      </c>
      <c r="I161" s="1139">
        <f>IFERROR(AlphaSTD*MAX(AlphaTTI*(1+INDEX(ReliabilityModelGroup,A148,17)*G161)^BetaTTI-1,0)^BetaSTD*INDEX(ReliabilityModelGroup,A148,16)/INDEX(ReliabilityModelGroup,A148,17)*INDEX(RelAdjFactors,A148,5),0)</f>
        <v>6.203545385370904E-3</v>
      </c>
      <c r="J161" s="1140">
        <f>IFERROR(AlphaSTD*MAX(AlphaTTI*(1+INDEX(ReliabilityModelGroup,A148,24)*H161)^BetaTTI-1,0)^BetaSTD*INDEX(ReliabilityModelGroup,A148,23)/INDEX(ReliabilityModelGroup,A148,24)*INDEX(RelAdjFactors,A148,5),0)</f>
        <v>5.7263495864962191E-3</v>
      </c>
      <c r="K161" s="1156">
        <f>MIN(C161*INDEX(ReliabilityModelGroup,A148,18),D161*INDEX(ReliabilityModelGroup,A148,25))*(I161-J161)*(INDEX(ReliabilityModelGroup,A148,12)*AnnualFactor)</f>
        <v>2390.5286415317537</v>
      </c>
      <c r="L161" s="1157">
        <f>IF(AND(D161*INDEX(ReliabilityModelGroup,A148,25)&gt;C161*INDEX(ReliabilityModelGroup,A148,18), Induced="Y"), (D161*INDEX(ReliabilityModelGroup,A148,25)-C161*INDEX(ReliabilityModelGroup,A148,18))*(I161-J161)*0.5*(INDEX(ReliabilityModelGroup,A148,12)*AnnualFactor), 0)</f>
        <v>0</v>
      </c>
      <c r="M161" s="1143">
        <f t="shared" si="38"/>
        <v>30981.251194251534</v>
      </c>
      <c r="N161" s="370">
        <f t="shared" si="39"/>
        <v>22637.696786345608</v>
      </c>
      <c r="P161" s="375">
        <f t="shared" si="43"/>
        <v>2030</v>
      </c>
      <c r="Q161" s="401">
        <f>MAX(TREND(Q154:Q155,$P154:$P155,$P161),0)</f>
        <v>1625.6549618320641</v>
      </c>
      <c r="R161" s="402">
        <f>MAX(TREND(R154:R155,$P154:$P155,$P161),0)</f>
        <v>1494.5282442748103</v>
      </c>
      <c r="S161" s="725">
        <f>MAX(TREND(S154:S155,$P154:$P155,$P161),0)</f>
        <v>69.335190886699507</v>
      </c>
      <c r="T161" s="726">
        <f>MAX(TREND(T154:T155,$P154:$P155,$P161),0)</f>
        <v>69.493321855875934</v>
      </c>
      <c r="U161" s="1139">
        <f>IFERROR(MAX(1/S161-1/INDEX(ReliabilityModelGroup,O148,17), 0),0)</f>
        <v>0</v>
      </c>
      <c r="V161" s="1140">
        <f>IFERROR(MAX(1/T161-1/INDEX(ReliabilityModelGroup,O148,24), 0),0)</f>
        <v>0</v>
      </c>
      <c r="W161" s="1139">
        <f>IFERROR(AlphaSTD*MAX(AlphaTTI*(1+INDEX(ReliabilityModelGroup,O148,17)*U161)^BetaTTI-1,0)^BetaSTD*INDEX(ReliabilityModelGroup,O148,16)/INDEX(ReliabilityModelGroup,O148,17)*INDEX(RelAdjFactors,O148,15),0)</f>
        <v>6.203545385370904E-3</v>
      </c>
      <c r="X161" s="1140">
        <f>IFERROR(AlphaSTD*MAX(AlphaTTI*(1+INDEX(ReliabilityModelGroup,O148,24)*V161)^BetaTTI-1,0)^BetaSTD*INDEX(ReliabilityModelGroup,O148,23)/INDEX(ReliabilityModelGroup,O148,24)*INDEX(RelAdjFactors,O148,15),0)</f>
        <v>5.7263495864962191E-3</v>
      </c>
      <c r="Y161" s="1156">
        <f>MIN(Q161,R161)*(W161-X161)*(INDEX(ReliabilityModelGroup,A148,12)*AnnualFactor)</f>
        <v>520.62329761127376</v>
      </c>
      <c r="Z161" s="1157">
        <f>IF(AND(R161&gt;Q161, Induced="Y"), (R161-Q161)*(W161-X161)*0.5*(INDEX(ReliabilityModelGroup,A148,12)*AnnualFactor), 0)</f>
        <v>0</v>
      </c>
      <c r="AA161" s="1143">
        <f t="shared" si="40"/>
        <v>20559.4140226692</v>
      </c>
      <c r="AB161" s="370">
        <f t="shared" si="41"/>
        <v>15022.562446944818</v>
      </c>
    </row>
    <row r="162" spans="2:28" x14ac:dyDescent="0.2">
      <c r="B162" s="375">
        <f t="shared" si="42"/>
        <v>2031</v>
      </c>
      <c r="C162" s="401">
        <f>MAX(TREND(C154:C155,$B154:$B155,$B162),0)</f>
        <v>5213.7111959287431</v>
      </c>
      <c r="D162" s="402">
        <f>MAX(TREND(D154:D155,$B154:$B155,$B162),0)</f>
        <v>4779.4910941475682</v>
      </c>
      <c r="E162" s="725">
        <f>MAX(TREND(E154:E155,$B154:$B155,$B162),0)</f>
        <v>69.3207743226601</v>
      </c>
      <c r="F162" s="726">
        <f>MAX(TREND(F154:F155,$B154:$B155,$B162),0)</f>
        <v>69.481667112744319</v>
      </c>
      <c r="G162" s="1139">
        <f>IFERROR(MAX(1/E162-1/INDEX(ReliabilityModelGroup,A148,17), 0),0)</f>
        <v>0</v>
      </c>
      <c r="H162" s="1140">
        <f>IFERROR(MAX(1/F162-1/INDEX(ReliabilityModelGroup,A148,24), 0),0)</f>
        <v>0</v>
      </c>
      <c r="I162" s="1139">
        <f>IFERROR(AlphaSTD*MAX(AlphaTTI*(1+INDEX(ReliabilityModelGroup,A148,17)*G162)^BetaTTI-1,0)^BetaSTD*INDEX(ReliabilityModelGroup,A148,16)/INDEX(ReliabilityModelGroup,A148,17)*INDEX(RelAdjFactors,A148,5),0)</f>
        <v>6.203545385370904E-3</v>
      </c>
      <c r="J162" s="1140">
        <f>IFERROR(AlphaSTD*MAX(AlphaTTI*(1+INDEX(ReliabilityModelGroup,A148,24)*H162)^BetaTTI-1,0)^BetaSTD*INDEX(ReliabilityModelGroup,A148,23)/INDEX(ReliabilityModelGroup,A148,24)*INDEX(RelAdjFactors,A148,5),0)</f>
        <v>5.7263495864962191E-3</v>
      </c>
      <c r="K162" s="1156">
        <f>MIN(C162*INDEX(ReliabilityModelGroup,A148,18),D162*INDEX(ReliabilityModelGroup,A148,25))*(I162-J162)*(INDEX(ReliabilityModelGroup,A148,12)*AnnualFactor)</f>
        <v>2414.1771255330327</v>
      </c>
      <c r="L162" s="1157">
        <f>IF(AND(D162*INDEX(ReliabilityModelGroup,A148,25)&gt;C162*INDEX(ReliabilityModelGroup,A148,18), Induced="Y"), (D162*INDEX(ReliabilityModelGroup,A148,25)-C162*INDEX(ReliabilityModelGroup,A148,18))*(I162-J162)*0.5*(INDEX(ReliabilityModelGroup,A148,12)*AnnualFactor), 0)</f>
        <v>0</v>
      </c>
      <c r="M162" s="1143">
        <f t="shared" si="38"/>
        <v>31287.735546908109</v>
      </c>
      <c r="N162" s="370">
        <f t="shared" si="39"/>
        <v>21982.347981555904</v>
      </c>
      <c r="P162" s="375">
        <f t="shared" si="43"/>
        <v>2031</v>
      </c>
      <c r="Q162" s="401">
        <f>MAX(TREND(Q154:Q155,$P154:$P155,$P162),0)</f>
        <v>1646.4351145038236</v>
      </c>
      <c r="R162" s="402">
        <f>MAX(TREND(R154:R155,$P154:$P155,$P162),0)</f>
        <v>1509.3129770992382</v>
      </c>
      <c r="S162" s="725">
        <f>MAX(TREND(S154:S155,$P154:$P155,$P162),0)</f>
        <v>69.3207743226601</v>
      </c>
      <c r="T162" s="726">
        <f>MAX(TREND(T154:T155,$P154:$P155,$P162),0)</f>
        <v>69.481667112744319</v>
      </c>
      <c r="U162" s="1139">
        <f>IFERROR(MAX(1/S162-1/INDEX(ReliabilityModelGroup,O148,17), 0),0)</f>
        <v>0</v>
      </c>
      <c r="V162" s="1140">
        <f>IFERROR(MAX(1/T162-1/INDEX(ReliabilityModelGroup,O148,24), 0),0)</f>
        <v>0</v>
      </c>
      <c r="W162" s="1139">
        <f>IFERROR(AlphaSTD*MAX(AlphaTTI*(1+INDEX(ReliabilityModelGroup,O148,17)*U162)^BetaTTI-1,0)^BetaSTD*INDEX(ReliabilityModelGroup,O148,16)/INDEX(ReliabilityModelGroup,O148,17)*INDEX(RelAdjFactors,O148,15),0)</f>
        <v>6.203545385370904E-3</v>
      </c>
      <c r="X162" s="1140">
        <f>IFERROR(AlphaSTD*MAX(AlphaTTI*(1+INDEX(ReliabilityModelGroup,O148,24)*V162)^BetaTTI-1,0)^BetaSTD*INDEX(ReliabilityModelGroup,O148,23)/INDEX(ReliabilityModelGroup,O148,24)*INDEX(RelAdjFactors,O148,15),0)</f>
        <v>5.7263495864962191E-3</v>
      </c>
      <c r="Y162" s="1156">
        <f>MIN(Q162,R162)*(W162-X162)*(INDEX(ReliabilityModelGroup,A148,12)*AnnualFactor)</f>
        <v>525.77360265692391</v>
      </c>
      <c r="Z162" s="1157">
        <f>IF(AND(R162&gt;Q162, Induced="Y"), (R162-Q162)*(W162-X162)*0.5*(INDEX(ReliabilityModelGroup,A148,12)*AnnualFactor), 0)</f>
        <v>0</v>
      </c>
      <c r="AA162" s="1143">
        <f t="shared" si="40"/>
        <v>20762.799568921928</v>
      </c>
      <c r="AB162" s="370">
        <f t="shared" si="41"/>
        <v>14587.667570606407</v>
      </c>
    </row>
    <row r="163" spans="2:28" x14ac:dyDescent="0.2">
      <c r="B163" s="375">
        <f t="shared" si="42"/>
        <v>2032</v>
      </c>
      <c r="C163" s="401">
        <f>MAX(TREND(C154:C155,$B154:$B155,$B163),0)</f>
        <v>5279.515012722637</v>
      </c>
      <c r="D163" s="402">
        <f>MAX(TREND(D154:D155,$B154:$B155,$B163),0)</f>
        <v>4826.3094147582597</v>
      </c>
      <c r="E163" s="725">
        <f>MAX(TREND(E154:E155,$B154:$B155,$B163),0)</f>
        <v>69.306357758620692</v>
      </c>
      <c r="F163" s="726">
        <f>MAX(TREND(F154:F155,$B154:$B155,$B163),0)</f>
        <v>69.470012369612704</v>
      </c>
      <c r="G163" s="1139">
        <f>IFERROR(MAX(1/E163-1/INDEX(ReliabilityModelGroup,A148,17), 0),0)</f>
        <v>0</v>
      </c>
      <c r="H163" s="1140">
        <f>IFERROR(MAX(1/F163-1/INDEX(ReliabilityModelGroup,A148,24), 0),0)</f>
        <v>0</v>
      </c>
      <c r="I163" s="1139">
        <f>IFERROR(AlphaSTD*MAX(AlphaTTI*(1+INDEX(ReliabilityModelGroup,A148,17)*G163)^BetaTTI-1,0)^BetaSTD*INDEX(ReliabilityModelGroup,A148,16)/INDEX(ReliabilityModelGroup,A148,17)*INDEX(RelAdjFactors,A148,5),0)</f>
        <v>6.203545385370904E-3</v>
      </c>
      <c r="J163" s="1140">
        <f>IFERROR(AlphaSTD*MAX(AlphaTTI*(1+INDEX(ReliabilityModelGroup,A148,24)*H163)^BetaTTI-1,0)^BetaSTD*INDEX(ReliabilityModelGroup,A148,23)/INDEX(ReliabilityModelGroup,A148,24)*INDEX(RelAdjFactors,A148,5),0)</f>
        <v>5.7263495864962191E-3</v>
      </c>
      <c r="K163" s="1156">
        <f>MIN(C163*INDEX(ReliabilityModelGroup,A148,18),D163*INDEX(ReliabilityModelGroup,A148,25))*(I163-J163)*(INDEX(ReliabilityModelGroup,A148,12)*AnnualFactor)</f>
        <v>2437.8256095343113</v>
      </c>
      <c r="L163" s="1157">
        <f>IF(AND(D163*INDEX(ReliabilityModelGroup,A148,25)&gt;C163*INDEX(ReliabilityModelGroup,A148,18), Induced="Y"), (D163*INDEX(ReliabilityModelGroup,A148,25)-C163*INDEX(ReliabilityModelGroup,A148,18))*(I163-J163)*0.5*(INDEX(ReliabilityModelGroup,A148,12)*AnnualFactor), 0)</f>
        <v>0</v>
      </c>
      <c r="M163" s="1143">
        <f t="shared" si="38"/>
        <v>31594.21989956468</v>
      </c>
      <c r="N163" s="370">
        <f t="shared" si="39"/>
        <v>21343.922906148917</v>
      </c>
      <c r="P163" s="375">
        <f t="shared" si="43"/>
        <v>2032</v>
      </c>
      <c r="Q163" s="401">
        <f>MAX(TREND(Q154:Q155,$P154:$P155,$P163),0)</f>
        <v>1667.2152671755757</v>
      </c>
      <c r="R163" s="402">
        <f>MAX(TREND(R154:R155,$P154:$P155,$P163),0)</f>
        <v>1524.0977099236661</v>
      </c>
      <c r="S163" s="725">
        <f>MAX(TREND(S154:S155,$P154:$P155,$P163),0)</f>
        <v>69.306357758620692</v>
      </c>
      <c r="T163" s="726">
        <f>MAX(TREND(T154:T155,$P154:$P155,$P163),0)</f>
        <v>69.470012369612704</v>
      </c>
      <c r="U163" s="1139">
        <f>IFERROR(MAX(1/S163-1/INDEX(ReliabilityModelGroup,O148,17), 0),0)</f>
        <v>0</v>
      </c>
      <c r="V163" s="1140">
        <f>IFERROR(MAX(1/T163-1/INDEX(ReliabilityModelGroup,O148,24), 0),0)</f>
        <v>0</v>
      </c>
      <c r="W163" s="1139">
        <f>IFERROR(AlphaSTD*MAX(AlphaTTI*(1+INDEX(ReliabilityModelGroup,O148,17)*U163)^BetaTTI-1,0)^BetaSTD*INDEX(ReliabilityModelGroup,O148,16)/INDEX(ReliabilityModelGroup,O148,17)*INDEX(RelAdjFactors,O148,15),0)</f>
        <v>6.203545385370904E-3</v>
      </c>
      <c r="X163" s="1140">
        <f>IFERROR(AlphaSTD*MAX(AlphaTTI*(1+INDEX(ReliabilityModelGroup,O148,24)*V163)^BetaTTI-1,0)^BetaSTD*INDEX(ReliabilityModelGroup,O148,23)/INDEX(ReliabilityModelGroup,O148,24)*INDEX(RelAdjFactors,O148,15),0)</f>
        <v>5.7263495864962191E-3</v>
      </c>
      <c r="Y163" s="1156">
        <f>MIN(Q163,R163)*(W163-X163)*(INDEX(ReliabilityModelGroup,A148,12)*AnnualFactor)</f>
        <v>530.92390770257418</v>
      </c>
      <c r="Z163" s="1157">
        <f>IF(AND(R163&gt;Q163, Induced="Y"), (R163-Q163)*(W163-X163)*0.5*(INDEX(ReliabilityModelGroup,A148,12)*AnnualFactor), 0)</f>
        <v>0</v>
      </c>
      <c r="AA163" s="1143">
        <f t="shared" si="40"/>
        <v>20966.185115174656</v>
      </c>
      <c r="AB163" s="370">
        <f t="shared" si="41"/>
        <v>14164.003420780797</v>
      </c>
    </row>
    <row r="164" spans="2:28" x14ac:dyDescent="0.2">
      <c r="B164" s="375">
        <f t="shared" si="42"/>
        <v>2033</v>
      </c>
      <c r="C164" s="401">
        <f>MAX(TREND(C154:C155,$B154:$B155,$B164),0)</f>
        <v>5345.318829516531</v>
      </c>
      <c r="D164" s="402">
        <f>MAX(TREND(D154:D155,$B154:$B155,$B164),0)</f>
        <v>4873.1277353689511</v>
      </c>
      <c r="E164" s="725">
        <f>MAX(TREND(E154:E155,$B154:$B155,$B164),0)</f>
        <v>69.291941194581284</v>
      </c>
      <c r="F164" s="726">
        <f>MAX(TREND(F154:F155,$B154:$B155,$B164),0)</f>
        <v>69.458357626481103</v>
      </c>
      <c r="G164" s="1139">
        <f>IFERROR(MAX(1/E164-1/INDEX(ReliabilityModelGroup,A148,17), 0),0)</f>
        <v>0</v>
      </c>
      <c r="H164" s="1140">
        <f>IFERROR(MAX(1/F164-1/INDEX(ReliabilityModelGroup,A148,24), 0),0)</f>
        <v>0</v>
      </c>
      <c r="I164" s="1139">
        <f>IFERROR(AlphaSTD*MAX(AlphaTTI*(1+INDEX(ReliabilityModelGroup,A148,17)*G164)^BetaTTI-1,0)^BetaSTD*INDEX(ReliabilityModelGroup,A148,16)/INDEX(ReliabilityModelGroup,A148,17)*INDEX(RelAdjFactors,A148,5),0)</f>
        <v>6.203545385370904E-3</v>
      </c>
      <c r="J164" s="1140">
        <f>IFERROR(AlphaSTD*MAX(AlphaTTI*(1+INDEX(ReliabilityModelGroup,A148,24)*H164)^BetaTTI-1,0)^BetaSTD*INDEX(ReliabilityModelGroup,A148,23)/INDEX(ReliabilityModelGroup,A148,24)*INDEX(RelAdjFactors,A148,5),0)</f>
        <v>5.7263495864962191E-3</v>
      </c>
      <c r="K164" s="1156">
        <f>MIN(C164*INDEX(ReliabilityModelGroup,A148,18),D164*INDEX(ReliabilityModelGroup,A148,25))*(I164-J164)*(INDEX(ReliabilityModelGroup,A148,12)*AnnualFactor)</f>
        <v>2461.4740935355899</v>
      </c>
      <c r="L164" s="1157">
        <f>IF(AND(D164*INDEX(ReliabilityModelGroup,A148,25)&gt;C164*INDEX(ReliabilityModelGroup,A148,18), Induced="Y"), (D164*INDEX(ReliabilityModelGroup,A148,25)-C164*INDEX(ReliabilityModelGroup,A148,18))*(I164-J164)*0.5*(INDEX(ReliabilityModelGroup,A148,12)*AnnualFactor), 0)</f>
        <v>0</v>
      </c>
      <c r="M164" s="1143">
        <f t="shared" si="38"/>
        <v>31900.70425222125</v>
      </c>
      <c r="N164" s="370">
        <f t="shared" si="39"/>
        <v>20722.08918568218</v>
      </c>
      <c r="P164" s="375">
        <f t="shared" si="43"/>
        <v>2033</v>
      </c>
      <c r="Q164" s="401">
        <f>MAX(TREND(Q154:Q155,$P154:$P155,$P164),0)</f>
        <v>1687.9954198473351</v>
      </c>
      <c r="R164" s="402">
        <f>MAX(TREND(R154:R155,$P154:$P155,$P164),0)</f>
        <v>1538.882442748094</v>
      </c>
      <c r="S164" s="725">
        <f>MAX(TREND(S154:S155,$P154:$P155,$P164),0)</f>
        <v>69.291941194581284</v>
      </c>
      <c r="T164" s="726">
        <f>MAX(TREND(T154:T155,$P154:$P155,$P164),0)</f>
        <v>69.458357626481103</v>
      </c>
      <c r="U164" s="1139">
        <f>IFERROR(MAX(1/S164-1/INDEX(ReliabilityModelGroup,O148,17), 0),0)</f>
        <v>0</v>
      </c>
      <c r="V164" s="1140">
        <f>IFERROR(MAX(1/T164-1/INDEX(ReliabilityModelGroup,O148,24), 0),0)</f>
        <v>0</v>
      </c>
      <c r="W164" s="1139">
        <f>IFERROR(AlphaSTD*MAX(AlphaTTI*(1+INDEX(ReliabilityModelGroup,O148,17)*U164)^BetaTTI-1,0)^BetaSTD*INDEX(ReliabilityModelGroup,O148,16)/INDEX(ReliabilityModelGroup,O148,17)*INDEX(RelAdjFactors,O148,15),0)</f>
        <v>6.203545385370904E-3</v>
      </c>
      <c r="X164" s="1140">
        <f>IFERROR(AlphaSTD*MAX(AlphaTTI*(1+INDEX(ReliabilityModelGroup,O148,24)*V164)^BetaTTI-1,0)^BetaSTD*INDEX(ReliabilityModelGroup,O148,23)/INDEX(ReliabilityModelGroup,O148,24)*INDEX(RelAdjFactors,O148,15),0)</f>
        <v>5.7263495864962191E-3</v>
      </c>
      <c r="Y164" s="1156">
        <f>MIN(Q164,R164)*(W164-X164)*(INDEX(ReliabilityModelGroup,A148,12)*AnnualFactor)</f>
        <v>536.07421274822434</v>
      </c>
      <c r="Z164" s="1157">
        <f>IF(AND(R164&gt;Q164, Induced="Y"), (R164-Q164)*(W164-X164)*0.5*(INDEX(ReliabilityModelGroup,A148,12)*AnnualFactor), 0)</f>
        <v>0</v>
      </c>
      <c r="AA164" s="1143">
        <f t="shared" si="40"/>
        <v>21169.57066142738</v>
      </c>
      <c r="AB164" s="370">
        <f t="shared" si="41"/>
        <v>13751.349431044422</v>
      </c>
    </row>
    <row r="165" spans="2:28" x14ac:dyDescent="0.2">
      <c r="B165" s="375">
        <f t="shared" si="42"/>
        <v>2034</v>
      </c>
      <c r="C165" s="401">
        <f>MAX(TREND(C154:C155,$B154:$B155,$B165),0)</f>
        <v>5411.1226463104249</v>
      </c>
      <c r="D165" s="402">
        <f>MAX(TREND(D154:D155,$B154:$B155,$B165),0)</f>
        <v>4919.946055979628</v>
      </c>
      <c r="E165" s="725">
        <f>MAX(TREND(E154:E155,$B154:$B155,$B165),0)</f>
        <v>69.277524630541876</v>
      </c>
      <c r="F165" s="726">
        <f>MAX(TREND(F154:F155,$B154:$B155,$B165),0)</f>
        <v>69.446702883349488</v>
      </c>
      <c r="G165" s="1139">
        <f>IFERROR(MAX(1/E165-1/INDEX(ReliabilityModelGroup,A148,17), 0),0)</f>
        <v>0</v>
      </c>
      <c r="H165" s="1140">
        <f>IFERROR(MAX(1/F165-1/INDEX(ReliabilityModelGroup,A148,24), 0),0)</f>
        <v>0</v>
      </c>
      <c r="I165" s="1139">
        <f>IFERROR(AlphaSTD*MAX(AlphaTTI*(1+INDEX(ReliabilityModelGroup,A148,17)*G165)^BetaTTI-1,0)^BetaSTD*INDEX(ReliabilityModelGroup,A148,16)/INDEX(ReliabilityModelGroup,A148,17)*INDEX(RelAdjFactors,A148,5),0)</f>
        <v>6.203545385370904E-3</v>
      </c>
      <c r="J165" s="1140">
        <f>IFERROR(AlphaSTD*MAX(AlphaTTI*(1+INDEX(ReliabilityModelGroup,A148,24)*H165)^BetaTTI-1,0)^BetaSTD*INDEX(ReliabilityModelGroup,A148,23)/INDEX(ReliabilityModelGroup,A148,24)*INDEX(RelAdjFactors,A148,5),0)</f>
        <v>5.7263495864962191E-3</v>
      </c>
      <c r="K165" s="1156">
        <f>MIN(C165*INDEX(ReliabilityModelGroup,A148,18),D165*INDEX(ReliabilityModelGroup,A148,25))*(I165-J165)*(INDEX(ReliabilityModelGroup,A148,12)*AnnualFactor)</f>
        <v>2485.1225775368616</v>
      </c>
      <c r="L165" s="1157">
        <f>IF(AND(D165*INDEX(ReliabilityModelGroup,A148,25)&gt;C165*INDEX(ReliabilityModelGroup,A148,18), Induced="Y"), (D165*INDEX(ReliabilityModelGroup,A148,25)-C165*INDEX(ReliabilityModelGroup,A148,18))*(I165-J165)*0.5*(INDEX(ReliabilityModelGroup,A148,12)*AnnualFactor), 0)</f>
        <v>0</v>
      </c>
      <c r="M165" s="1143">
        <f t="shared" si="38"/>
        <v>32207.188604877734</v>
      </c>
      <c r="N165" s="370">
        <f t="shared" si="39"/>
        <v>20116.514977875326</v>
      </c>
      <c r="P165" s="375">
        <f t="shared" si="43"/>
        <v>2034</v>
      </c>
      <c r="Q165" s="401">
        <f>MAX(TREND(Q154:Q155,$P154:$P155,$P165),0)</f>
        <v>1708.7755725190873</v>
      </c>
      <c r="R165" s="402">
        <f>MAX(TREND(R154:R155,$P154:$P155,$P165),0)</f>
        <v>1553.667175572522</v>
      </c>
      <c r="S165" s="725">
        <f>MAX(TREND(S154:S155,$P154:$P155,$P165),0)</f>
        <v>69.277524630541876</v>
      </c>
      <c r="T165" s="726">
        <f>MAX(TREND(T154:T155,$P154:$P155,$P165),0)</f>
        <v>69.446702883349488</v>
      </c>
      <c r="U165" s="1139">
        <f>IFERROR(MAX(1/S165-1/INDEX(ReliabilityModelGroup,O148,17), 0),0)</f>
        <v>0</v>
      </c>
      <c r="V165" s="1140">
        <f>IFERROR(MAX(1/T165-1/INDEX(ReliabilityModelGroup,O148,24), 0),0)</f>
        <v>0</v>
      </c>
      <c r="W165" s="1139">
        <f>IFERROR(AlphaSTD*MAX(AlphaTTI*(1+INDEX(ReliabilityModelGroup,O148,17)*U165)^BetaTTI-1,0)^BetaSTD*INDEX(ReliabilityModelGroup,O148,16)/INDEX(ReliabilityModelGroup,O148,17)*INDEX(RelAdjFactors,O148,15),0)</f>
        <v>6.203545385370904E-3</v>
      </c>
      <c r="X165" s="1140">
        <f>IFERROR(AlphaSTD*MAX(AlphaTTI*(1+INDEX(ReliabilityModelGroup,O148,24)*V165)^BetaTTI-1,0)^BetaSTD*INDEX(ReliabilityModelGroup,O148,23)/INDEX(ReliabilityModelGroup,O148,24)*INDEX(RelAdjFactors,O148,15),0)</f>
        <v>5.7263495864962191E-3</v>
      </c>
      <c r="Y165" s="1156">
        <f>MIN(Q165,R165)*(W165-X165)*(INDEX(ReliabilityModelGroup,A148,12)*AnnualFactor)</f>
        <v>541.2245177938745</v>
      </c>
      <c r="Z165" s="1157">
        <f>IF(AND(R165&gt;Q165, Induced="Y"), (R165-Q165)*(W165-X165)*0.5*(INDEX(ReliabilityModelGroup,A148,12)*AnnualFactor), 0)</f>
        <v>0</v>
      </c>
      <c r="AA165" s="1143">
        <f t="shared" si="40"/>
        <v>21372.956207680105</v>
      </c>
      <c r="AB165" s="370">
        <f t="shared" si="41"/>
        <v>13349.485388120931</v>
      </c>
    </row>
    <row r="166" spans="2:28" x14ac:dyDescent="0.2">
      <c r="B166" s="375">
        <f t="shared" si="42"/>
        <v>2035</v>
      </c>
      <c r="C166" s="401">
        <f>MAX(TREND(C154:C155,$B154:$B155,$B166),0)</f>
        <v>5476.9264631043188</v>
      </c>
      <c r="D166" s="402">
        <f>MAX(TREND(D154:D155,$B154:$B155,$B166),0)</f>
        <v>4966.7643765903194</v>
      </c>
      <c r="E166" s="725">
        <f>MAX(TREND(E154:E155,$B154:$B155,$B166),0)</f>
        <v>69.263108066502468</v>
      </c>
      <c r="F166" s="726">
        <f>MAX(TREND(F154:F155,$B154:$B155,$B166),0)</f>
        <v>69.435048140217873</v>
      </c>
      <c r="G166" s="1139">
        <f>IFERROR(MAX(1/E166-1/INDEX(ReliabilityModelGroup,A148,17), 0),0)</f>
        <v>0</v>
      </c>
      <c r="H166" s="1140">
        <f>IFERROR(MAX(1/F166-1/INDEX(ReliabilityModelGroup,A148,24), 0),0)</f>
        <v>0</v>
      </c>
      <c r="I166" s="1139">
        <f>IFERROR(AlphaSTD*MAX(AlphaTTI*(1+INDEX(ReliabilityModelGroup,A148,17)*G166)^BetaTTI-1,0)^BetaSTD*INDEX(ReliabilityModelGroup,A148,16)/INDEX(ReliabilityModelGroup,A148,17)*INDEX(RelAdjFactors,A148,5),0)</f>
        <v>6.203545385370904E-3</v>
      </c>
      <c r="J166" s="1140">
        <f>IFERROR(AlphaSTD*MAX(AlphaTTI*(1+INDEX(ReliabilityModelGroup,A148,24)*H166)^BetaTTI-1,0)^BetaSTD*INDEX(ReliabilityModelGroup,A148,23)/INDEX(ReliabilityModelGroup,A148,24)*INDEX(RelAdjFactors,A148,5),0)</f>
        <v>5.7263495864962191E-3</v>
      </c>
      <c r="K166" s="1156">
        <f>MIN(C166*INDEX(ReliabilityModelGroup,A148,18),D166*INDEX(ReliabilityModelGroup,A148,25))*(I166-J166)*(INDEX(ReliabilityModelGroup,A148,12)*AnnualFactor)</f>
        <v>2508.7710615381402</v>
      </c>
      <c r="L166" s="1157">
        <f>IF(AND(D166*INDEX(ReliabilityModelGroup,A148,25)&gt;C166*INDEX(ReliabilityModelGroup,A148,18), Induced="Y"), (D166*INDEX(ReliabilityModelGroup,A148,25)-C166*INDEX(ReliabilityModelGroup,A148,18))*(I166-J166)*0.5*(INDEX(ReliabilityModelGroup,A148,12)*AnnualFactor), 0)</f>
        <v>0</v>
      </c>
      <c r="M166" s="1143">
        <f t="shared" si="38"/>
        <v>32513.672957534305</v>
      </c>
      <c r="N166" s="370">
        <f t="shared" si="39"/>
        <v>19526.86942335296</v>
      </c>
      <c r="P166" s="375">
        <f t="shared" si="43"/>
        <v>2035</v>
      </c>
      <c r="Q166" s="401">
        <f>MAX(TREND(Q154:Q155,$P154:$P155,$P166),0)</f>
        <v>1729.5557251908467</v>
      </c>
      <c r="R166" s="402">
        <f>MAX(TREND(R154:R155,$P154:$P155,$P166),0)</f>
        <v>1568.4519083969499</v>
      </c>
      <c r="S166" s="725">
        <f>MAX(TREND(S154:S155,$P154:$P155,$P166),0)</f>
        <v>69.263108066502468</v>
      </c>
      <c r="T166" s="726">
        <f>MAX(TREND(T154:T155,$P154:$P155,$P166),0)</f>
        <v>69.435048140217873</v>
      </c>
      <c r="U166" s="1139">
        <f>IFERROR(MAX(1/S166-1/INDEX(ReliabilityModelGroup,O148,17), 0),0)</f>
        <v>0</v>
      </c>
      <c r="V166" s="1140">
        <f>IFERROR(MAX(1/T166-1/INDEX(ReliabilityModelGroup,O148,24), 0),0)</f>
        <v>0</v>
      </c>
      <c r="W166" s="1139">
        <f>IFERROR(AlphaSTD*MAX(AlphaTTI*(1+INDEX(ReliabilityModelGroup,O148,17)*U166)^BetaTTI-1,0)^BetaSTD*INDEX(ReliabilityModelGroup,O148,16)/INDEX(ReliabilityModelGroup,O148,17)*INDEX(RelAdjFactors,O148,15),0)</f>
        <v>6.203545385370904E-3</v>
      </c>
      <c r="X166" s="1140">
        <f>IFERROR(AlphaSTD*MAX(AlphaTTI*(1+INDEX(ReliabilityModelGroup,O148,24)*V166)^BetaTTI-1,0)^BetaSTD*INDEX(ReliabilityModelGroup,O148,23)/INDEX(ReliabilityModelGroup,O148,24)*INDEX(RelAdjFactors,O148,15),0)</f>
        <v>5.7263495864962191E-3</v>
      </c>
      <c r="Y166" s="1156">
        <f>MIN(Q166,R166)*(W166-X166)*(INDEX(ReliabilityModelGroup,A148,12)*AnnualFactor)</f>
        <v>546.37482283952477</v>
      </c>
      <c r="Z166" s="1157">
        <f>IF(AND(R166&gt;Q166, Induced="Y"), (R166-Q166)*(W166-X166)*0.5*(INDEX(ReliabilityModelGroup,A148,12)*AnnualFactor), 0)</f>
        <v>0</v>
      </c>
      <c r="AA166" s="1143">
        <f t="shared" si="40"/>
        <v>21576.341753932837</v>
      </c>
      <c r="AB166" s="370">
        <f t="shared" si="41"/>
        <v>12958.191730997709</v>
      </c>
    </row>
    <row r="167" spans="2:28" x14ac:dyDescent="0.2">
      <c r="B167" s="375">
        <f t="shared" si="42"/>
        <v>2036</v>
      </c>
      <c r="C167" s="401">
        <f>MAX(TREND(C154:C155,$B154:$B155,$B167),0)</f>
        <v>5542.7302798982128</v>
      </c>
      <c r="D167" s="402">
        <f>MAX(TREND(D154:D155,$B154:$B155,$B167),0)</f>
        <v>5013.5826972010109</v>
      </c>
      <c r="E167" s="725">
        <f>MAX(TREND(E154:E155,$B154:$B155,$B167),0)</f>
        <v>69.24869150246306</v>
      </c>
      <c r="F167" s="726">
        <f>MAX(TREND(F154:F155,$B154:$B155,$B167),0)</f>
        <v>69.423393397086272</v>
      </c>
      <c r="G167" s="1139">
        <f>IFERROR(MAX(1/E167-1/INDEX(ReliabilityModelGroup,A148,17), 0),0)</f>
        <v>0</v>
      </c>
      <c r="H167" s="1140">
        <f>IFERROR(MAX(1/F167-1/INDEX(ReliabilityModelGroup,A148,24), 0),0)</f>
        <v>0</v>
      </c>
      <c r="I167" s="1139">
        <f>IFERROR(AlphaSTD*MAX(AlphaTTI*(1+INDEX(ReliabilityModelGroup,A148,17)*G167)^BetaTTI-1,0)^BetaSTD*INDEX(ReliabilityModelGroup,A148,16)/INDEX(ReliabilityModelGroup,A148,17)*INDEX(RelAdjFactors,A148,5),0)</f>
        <v>6.203545385370904E-3</v>
      </c>
      <c r="J167" s="1140">
        <f>IFERROR(AlphaSTD*MAX(AlphaTTI*(1+INDEX(ReliabilityModelGroup,A148,24)*H167)^BetaTTI-1,0)^BetaSTD*INDEX(ReliabilityModelGroup,A148,23)/INDEX(ReliabilityModelGroup,A148,24)*INDEX(RelAdjFactors,A148,5),0)</f>
        <v>5.7263495864962191E-3</v>
      </c>
      <c r="K167" s="1156">
        <f>MIN(C167*INDEX(ReliabilityModelGroup,A148,18),D167*INDEX(ReliabilityModelGroup,A148,25))*(I167-J167)*(INDEX(ReliabilityModelGroup,A148,12)*AnnualFactor)</f>
        <v>2532.4195455394188</v>
      </c>
      <c r="L167" s="1157">
        <f>IF(AND(D167*INDEX(ReliabilityModelGroup,A148,25)&gt;C167*INDEX(ReliabilityModelGroup,A148,18), Induced="Y"), (D167*INDEX(ReliabilityModelGroup,A148,25)-C167*INDEX(ReliabilityModelGroup,A148,18))*(I167-J167)*0.5*(INDEX(ReliabilityModelGroup,A148,12)*AnnualFactor), 0)</f>
        <v>0</v>
      </c>
      <c r="M167" s="1143">
        <f t="shared" si="38"/>
        <v>32820.157310190873</v>
      </c>
      <c r="N167" s="370">
        <f t="shared" si="39"/>
        <v>18952.823060927167</v>
      </c>
      <c r="P167" s="375">
        <f t="shared" si="43"/>
        <v>2036</v>
      </c>
      <c r="Q167" s="401">
        <f>MAX(TREND(Q154:Q155,$P154:$P155,$P167),0)</f>
        <v>1750.3358778625989</v>
      </c>
      <c r="R167" s="402">
        <f>MAX(TREND(R154:R155,$P154:$P155,$P167),0)</f>
        <v>1583.2366412213742</v>
      </c>
      <c r="S167" s="725">
        <f>MAX(TREND(S154:S155,$P154:$P155,$P167),0)</f>
        <v>69.24869150246306</v>
      </c>
      <c r="T167" s="726">
        <f>MAX(TREND(T154:T155,$P154:$P155,$P167),0)</f>
        <v>69.423393397086272</v>
      </c>
      <c r="U167" s="1139">
        <f>IFERROR(MAX(1/S167-1/INDEX(ReliabilityModelGroup,O148,17), 0),0)</f>
        <v>0</v>
      </c>
      <c r="V167" s="1140">
        <f>IFERROR(MAX(1/T167-1/INDEX(ReliabilityModelGroup,O148,24), 0),0)</f>
        <v>0</v>
      </c>
      <c r="W167" s="1139">
        <f>IFERROR(AlphaSTD*MAX(AlphaTTI*(1+INDEX(ReliabilityModelGroup,O148,17)*U167)^BetaTTI-1,0)^BetaSTD*INDEX(ReliabilityModelGroup,O148,16)/INDEX(ReliabilityModelGroup,O148,17)*INDEX(RelAdjFactors,O148,15),0)</f>
        <v>6.203545385370904E-3</v>
      </c>
      <c r="X167" s="1140">
        <f>IFERROR(AlphaSTD*MAX(AlphaTTI*(1+INDEX(ReliabilityModelGroup,O148,24)*V167)^BetaTTI-1,0)^BetaSTD*INDEX(ReliabilityModelGroup,O148,23)/INDEX(ReliabilityModelGroup,O148,24)*INDEX(RelAdjFactors,O148,15),0)</f>
        <v>5.7263495864962191E-3</v>
      </c>
      <c r="Y167" s="1156">
        <f>MIN(Q167,R167)*(W167-X167)*(INDEX(ReliabilityModelGroup,A148,12)*AnnualFactor)</f>
        <v>551.52512788517367</v>
      </c>
      <c r="Z167" s="1157">
        <f>IF(AND(R167&gt;Q167, Induced="Y"), (R167-Q167)*(W167-X167)*0.5*(INDEX(ReliabilityModelGroup,A148,12)*AnnualFactor), 0)</f>
        <v>0</v>
      </c>
      <c r="AA167" s="1143">
        <f t="shared" si="40"/>
        <v>21779.72730018551</v>
      </c>
      <c r="AB167" s="370">
        <f t="shared" si="41"/>
        <v>12577.249826510972</v>
      </c>
    </row>
    <row r="168" spans="2:28" x14ac:dyDescent="0.2">
      <c r="B168" s="375">
        <f t="shared" si="42"/>
        <v>2037</v>
      </c>
      <c r="C168" s="401">
        <f>MAX(TREND(C154:C155,$B154:$B155,$B168),0)</f>
        <v>5608.5340966921067</v>
      </c>
      <c r="D168" s="402">
        <f>MAX(TREND(D154:D155,$B154:$B155,$B168),0)</f>
        <v>5060.4010178116878</v>
      </c>
      <c r="E168" s="725">
        <f>MAX(TREND(E154:E155,$B154:$B155,$B168),0)</f>
        <v>69.234274938423653</v>
      </c>
      <c r="F168" s="726">
        <f>MAX(TREND(F154:F155,$B154:$B155,$B168),0)</f>
        <v>69.411738653954657</v>
      </c>
      <c r="G168" s="1139">
        <f>IFERROR(MAX(1/E168-1/INDEX(ReliabilityModelGroup,A148,17), 0),0)</f>
        <v>0</v>
      </c>
      <c r="H168" s="1140">
        <f>IFERROR(MAX(1/F168-1/INDEX(ReliabilityModelGroup,A148,24), 0),0)</f>
        <v>0</v>
      </c>
      <c r="I168" s="1139">
        <f>IFERROR(AlphaSTD*MAX(AlphaTTI*(1+INDEX(ReliabilityModelGroup,A148,17)*G168)^BetaTTI-1,0)^BetaSTD*INDEX(ReliabilityModelGroup,A148,16)/INDEX(ReliabilityModelGroup,A148,17)*INDEX(RelAdjFactors,A148,5),0)</f>
        <v>6.203545385370904E-3</v>
      </c>
      <c r="J168" s="1140">
        <f>IFERROR(AlphaSTD*MAX(AlphaTTI*(1+INDEX(ReliabilityModelGroup,A148,24)*H168)^BetaTTI-1,0)^BetaSTD*INDEX(ReliabilityModelGroup,A148,23)/INDEX(ReliabilityModelGroup,A148,24)*INDEX(RelAdjFactors,A148,5),0)</f>
        <v>5.7263495864962191E-3</v>
      </c>
      <c r="K168" s="1156">
        <f>MIN(C168*INDEX(ReliabilityModelGroup,A148,18),D168*INDEX(ReliabilityModelGroup,A148,25))*(I168-J168)*(INDEX(ReliabilityModelGroup,A148,12)*AnnualFactor)</f>
        <v>2556.0680295406905</v>
      </c>
      <c r="L168" s="1157">
        <f>IF(AND(D168*INDEX(ReliabilityModelGroup,A148,25)&gt;C168*INDEX(ReliabilityModelGroup,A148,18), Induced="Y"), (D168*INDEX(ReliabilityModelGroup,A148,25)-C168*INDEX(ReliabilityModelGroup,A148,18))*(I168-J168)*0.5*(INDEX(ReliabilityModelGroup,A148,12)*AnnualFactor), 0)</f>
        <v>0</v>
      </c>
      <c r="M168" s="1143">
        <f t="shared" si="38"/>
        <v>33126.64166284736</v>
      </c>
      <c r="N168" s="370">
        <f t="shared" si="39"/>
        <v>18394.048209481789</v>
      </c>
      <c r="P168" s="375">
        <f t="shared" si="43"/>
        <v>2037</v>
      </c>
      <c r="Q168" s="401">
        <f>MAX(TREND(Q154:Q155,$P154:$P155,$P168),0)</f>
        <v>1771.1160305343583</v>
      </c>
      <c r="R168" s="402">
        <f>MAX(TREND(R154:R155,$P154:$P155,$P168),0)</f>
        <v>1598.0213740458021</v>
      </c>
      <c r="S168" s="725">
        <f>MAX(TREND(S154:S155,$P154:$P155,$P168),0)</f>
        <v>69.234274938423653</v>
      </c>
      <c r="T168" s="726">
        <f>MAX(TREND(T154:T155,$P154:$P155,$P168),0)</f>
        <v>69.411738653954657</v>
      </c>
      <c r="U168" s="1139">
        <f>IFERROR(MAX(1/S168-1/INDEX(ReliabilityModelGroup,O148,17), 0),0)</f>
        <v>0</v>
      </c>
      <c r="V168" s="1140">
        <f>IFERROR(MAX(1/T168-1/INDEX(ReliabilityModelGroup,O148,24), 0),0)</f>
        <v>0</v>
      </c>
      <c r="W168" s="1139">
        <f>IFERROR(AlphaSTD*MAX(AlphaTTI*(1+INDEX(ReliabilityModelGroup,O148,17)*U168)^BetaTTI-1,0)^BetaSTD*INDEX(ReliabilityModelGroup,O148,16)/INDEX(ReliabilityModelGroup,O148,17)*INDEX(RelAdjFactors,O148,15),0)</f>
        <v>6.203545385370904E-3</v>
      </c>
      <c r="X168" s="1140">
        <f>IFERROR(AlphaSTD*MAX(AlphaTTI*(1+INDEX(ReliabilityModelGroup,O148,24)*V168)^BetaTTI-1,0)^BetaSTD*INDEX(ReliabilityModelGroup,O148,23)/INDEX(ReliabilityModelGroup,O148,24)*INDEX(RelAdjFactors,O148,15),0)</f>
        <v>5.7263495864962191E-3</v>
      </c>
      <c r="Y168" s="1156">
        <f>MIN(Q168,R168)*(W168-X168)*(INDEX(ReliabilityModelGroup,A148,12)*AnnualFactor)</f>
        <v>556.67543293082394</v>
      </c>
      <c r="Z168" s="1157">
        <f>IF(AND(R168&gt;Q168, Induced="Y"), (R168-Q168)*(W168-X168)*0.5*(INDEX(ReliabilityModelGroup,A148,12)*AnnualFactor), 0)</f>
        <v>0</v>
      </c>
      <c r="AA168" s="1143">
        <f t="shared" si="40"/>
        <v>21983.112846438242</v>
      </c>
      <c r="AB168" s="370">
        <f t="shared" si="41"/>
        <v>12206.442222767333</v>
      </c>
    </row>
    <row r="169" spans="2:28" x14ac:dyDescent="0.2">
      <c r="B169" s="375">
        <f t="shared" si="42"/>
        <v>2038</v>
      </c>
      <c r="C169" s="401">
        <f>MAX(TREND(C154:C155,$B154:$B155,$B169),0)</f>
        <v>5674.3379134860006</v>
      </c>
      <c r="D169" s="402">
        <f>MAX(TREND(D154:D155,$B154:$B155,$B169),0)</f>
        <v>5107.2193384223792</v>
      </c>
      <c r="E169" s="725">
        <f>MAX(TREND(E154:E155,$B154:$B155,$B169),0)</f>
        <v>69.219858374384245</v>
      </c>
      <c r="F169" s="726">
        <f>MAX(TREND(F154:F155,$B154:$B155,$B169),0)</f>
        <v>69.400083910823042</v>
      </c>
      <c r="G169" s="1139">
        <f>IFERROR(MAX(1/E169-1/INDEX(ReliabilityModelGroup,A148,17), 0),0)</f>
        <v>0</v>
      </c>
      <c r="H169" s="1140">
        <f>IFERROR(MAX(1/F169-1/INDEX(ReliabilityModelGroup,A148,24), 0),0)</f>
        <v>0</v>
      </c>
      <c r="I169" s="1139">
        <f>IFERROR(AlphaSTD*MAX(AlphaTTI*(1+INDEX(ReliabilityModelGroup,A148,17)*G169)^BetaTTI-1,0)^BetaSTD*INDEX(ReliabilityModelGroup,A148,16)/INDEX(ReliabilityModelGroup,A148,17)*INDEX(RelAdjFactors,A148,5),0)</f>
        <v>6.203545385370904E-3</v>
      </c>
      <c r="J169" s="1140">
        <f>IFERROR(AlphaSTD*MAX(AlphaTTI*(1+INDEX(ReliabilityModelGroup,A148,24)*H169)^BetaTTI-1,0)^BetaSTD*INDEX(ReliabilityModelGroup,A148,23)/INDEX(ReliabilityModelGroup,A148,24)*INDEX(RelAdjFactors,A148,5),0)</f>
        <v>5.7263495864962191E-3</v>
      </c>
      <c r="K169" s="1156">
        <f>MIN(C169*INDEX(ReliabilityModelGroup,A148,18),D169*INDEX(ReliabilityModelGroup,A148,25))*(I169-J169)*(INDEX(ReliabilityModelGroup,A148,12)*AnnualFactor)</f>
        <v>2579.7165135419691</v>
      </c>
      <c r="L169" s="1157">
        <f>IF(AND(D169*INDEX(ReliabilityModelGroup,A148,25)&gt;C169*INDEX(ReliabilityModelGroup,A148,18), Induced="Y"), (D169*INDEX(ReliabilityModelGroup,A148,25)-C169*INDEX(ReliabilityModelGroup,A148,18))*(I169-J169)*0.5*(INDEX(ReliabilityModelGroup,A148,12)*AnnualFactor), 0)</f>
        <v>0</v>
      </c>
      <c r="M169" s="1143">
        <f t="shared" si="38"/>
        <v>33433.126015503927</v>
      </c>
      <c r="N169" s="370">
        <f t="shared" si="39"/>
        <v>17850.219318412535</v>
      </c>
      <c r="P169" s="375">
        <f t="shared" si="43"/>
        <v>2038</v>
      </c>
      <c r="Q169" s="401">
        <f>MAX(TREND(Q154:Q155,$P154:$P155,$P169),0)</f>
        <v>1791.8961832061104</v>
      </c>
      <c r="R169" s="402">
        <f>MAX(TREND(R154:R155,$P154:$P155,$P169),0)</f>
        <v>1612.80610687023</v>
      </c>
      <c r="S169" s="725">
        <f>MAX(TREND(S154:S155,$P154:$P155,$P169),0)</f>
        <v>69.219858374384245</v>
      </c>
      <c r="T169" s="726">
        <f>MAX(TREND(T154:T155,$P154:$P155,$P169),0)</f>
        <v>69.400083910823042</v>
      </c>
      <c r="U169" s="1139">
        <f>IFERROR(MAX(1/S169-1/INDEX(ReliabilityModelGroup,O148,17), 0),0)</f>
        <v>0</v>
      </c>
      <c r="V169" s="1140">
        <f>IFERROR(MAX(1/T169-1/INDEX(ReliabilityModelGroup,O148,24), 0),0)</f>
        <v>0</v>
      </c>
      <c r="W169" s="1139">
        <f>IFERROR(AlphaSTD*MAX(AlphaTTI*(1+INDEX(ReliabilityModelGroup,O148,17)*U169)^BetaTTI-1,0)^BetaSTD*INDEX(ReliabilityModelGroup,O148,16)/INDEX(ReliabilityModelGroup,O148,17)*INDEX(RelAdjFactors,O148,15),0)</f>
        <v>6.203545385370904E-3</v>
      </c>
      <c r="X169" s="1140">
        <f>IFERROR(AlphaSTD*MAX(AlphaTTI*(1+INDEX(ReliabilityModelGroup,O148,24)*V169)^BetaTTI-1,0)^BetaSTD*INDEX(ReliabilityModelGroup,O148,23)/INDEX(ReliabilityModelGroup,O148,24)*INDEX(RelAdjFactors,O148,15),0)</f>
        <v>5.7263495864962191E-3</v>
      </c>
      <c r="Y169" s="1156">
        <f>MIN(Q169,R169)*(W169-X169)*(INDEX(ReliabilityModelGroup,A148,12)*AnnualFactor)</f>
        <v>561.82573797647422</v>
      </c>
      <c r="Z169" s="1157">
        <f>IF(AND(R169&gt;Q169, Induced="Y"), (R169-Q169)*(W169-X169)*0.5*(INDEX(ReliabilityModelGroup,A148,12)*AnnualFactor), 0)</f>
        <v>0</v>
      </c>
      <c r="AA169" s="1143">
        <f t="shared" si="40"/>
        <v>22186.498392690966</v>
      </c>
      <c r="AB169" s="370">
        <f t="shared" si="41"/>
        <v>11845.552881698479</v>
      </c>
    </row>
    <row r="170" spans="2:28" x14ac:dyDescent="0.2">
      <c r="B170" s="375">
        <f t="shared" si="42"/>
        <v>2039</v>
      </c>
      <c r="C170" s="401">
        <f>MAX(TREND(C154:C155,$B154:$B155,$B170),0)</f>
        <v>5740.1417302798945</v>
      </c>
      <c r="D170" s="402">
        <f>MAX(TREND(D154:D155,$B154:$B155,$B170),0)</f>
        <v>5154.0376590330707</v>
      </c>
      <c r="E170" s="725">
        <f>MAX(TREND(E154:E155,$B154:$B155,$B170),0)</f>
        <v>69.205441810344837</v>
      </c>
      <c r="F170" s="726">
        <f>MAX(TREND(F154:F155,$B154:$B155,$B170),0)</f>
        <v>69.388429167691442</v>
      </c>
      <c r="G170" s="1139">
        <f>IFERROR(MAX(1/E170-1/INDEX(ReliabilityModelGroup,A148,17), 0),0)</f>
        <v>0</v>
      </c>
      <c r="H170" s="1140">
        <f>IFERROR(MAX(1/F170-1/INDEX(ReliabilityModelGroup,A148,24), 0),0)</f>
        <v>0</v>
      </c>
      <c r="I170" s="1139">
        <f>IFERROR(AlphaSTD*MAX(AlphaTTI*(1+INDEX(ReliabilityModelGroup,A148,17)*G170)^BetaTTI-1,0)^BetaSTD*INDEX(ReliabilityModelGroup,A148,16)/INDEX(ReliabilityModelGroup,A148,17)*INDEX(RelAdjFactors,A148,5),0)</f>
        <v>6.203545385370904E-3</v>
      </c>
      <c r="J170" s="1140">
        <f>IFERROR(AlphaSTD*MAX(AlphaTTI*(1+INDEX(ReliabilityModelGroup,A148,24)*H170)^BetaTTI-1,0)^BetaSTD*INDEX(ReliabilityModelGroup,A148,23)/INDEX(ReliabilityModelGroup,A148,24)*INDEX(RelAdjFactors,A148,5),0)</f>
        <v>5.7263495864962191E-3</v>
      </c>
      <c r="K170" s="1156">
        <f>MIN(C170*INDEX(ReliabilityModelGroup,A148,18),D170*INDEX(ReliabilityModelGroup,A148,25))*(I170-J170)*(INDEX(ReliabilityModelGroup,A148,12)*AnnualFactor)</f>
        <v>2603.3649975432477</v>
      </c>
      <c r="L170" s="1157">
        <f>IF(AND(D170*INDEX(ReliabilityModelGroup,A148,25)&gt;C170*INDEX(ReliabilityModelGroup,A148,18), Induced="Y"), (D170*INDEX(ReliabilityModelGroup,A148,25)-C170*INDEX(ReliabilityModelGroup,A148,18))*(I170-J170)*0.5*(INDEX(ReliabilityModelGroup,A148,12)*AnnualFactor), 0)</f>
        <v>0</v>
      </c>
      <c r="M170" s="1143">
        <f t="shared" si="38"/>
        <v>33739.610368160495</v>
      </c>
      <c r="N170" s="370">
        <f t="shared" si="39"/>
        <v>17321.013288476595</v>
      </c>
      <c r="P170" s="375">
        <f t="shared" si="43"/>
        <v>2039</v>
      </c>
      <c r="Q170" s="401">
        <f>MAX(TREND(Q154:Q155,$P154:$P155,$P170),0)</f>
        <v>1812.6763358778699</v>
      </c>
      <c r="R170" s="402">
        <f>MAX(TREND(R154:R155,$P154:$P155,$P170),0)</f>
        <v>1627.5908396946579</v>
      </c>
      <c r="S170" s="725">
        <f>MAX(TREND(S154:S155,$P154:$P155,$P170),0)</f>
        <v>69.205441810344837</v>
      </c>
      <c r="T170" s="726">
        <f>MAX(TREND(T154:T155,$P154:$P155,$P170),0)</f>
        <v>69.388429167691442</v>
      </c>
      <c r="U170" s="1139">
        <f>IFERROR(MAX(1/S170-1/INDEX(ReliabilityModelGroup,O148,17), 0),0)</f>
        <v>0</v>
      </c>
      <c r="V170" s="1140">
        <f>IFERROR(MAX(1/T170-1/INDEX(ReliabilityModelGroup,O148,24), 0),0)</f>
        <v>0</v>
      </c>
      <c r="W170" s="1139">
        <f>IFERROR(AlphaSTD*MAX(AlphaTTI*(1+INDEX(ReliabilityModelGroup,O148,17)*U170)^BetaTTI-1,0)^BetaSTD*INDEX(ReliabilityModelGroup,O148,16)/INDEX(ReliabilityModelGroup,O148,17)*INDEX(RelAdjFactors,O148,15),0)</f>
        <v>6.203545385370904E-3</v>
      </c>
      <c r="X170" s="1140">
        <f>IFERROR(AlphaSTD*MAX(AlphaTTI*(1+INDEX(ReliabilityModelGroup,O148,24)*V170)^BetaTTI-1,0)^BetaSTD*INDEX(ReliabilityModelGroup,O148,23)/INDEX(ReliabilityModelGroup,O148,24)*INDEX(RelAdjFactors,O148,15),0)</f>
        <v>5.7263495864962191E-3</v>
      </c>
      <c r="Y170" s="1156">
        <f>MIN(Q170,R170)*(W170-X170)*(INDEX(ReliabilityModelGroup,A148,12)*AnnualFactor)</f>
        <v>566.97604302212437</v>
      </c>
      <c r="Z170" s="1157">
        <f>IF(AND(R170&gt;Q170, Induced="Y"), (R170-Q170)*(W170-X170)*0.5*(INDEX(ReliabilityModelGroup,A148,12)*AnnualFactor), 0)</f>
        <v>0</v>
      </c>
      <c r="AA170" s="1143">
        <f t="shared" si="40"/>
        <v>22389.883938943694</v>
      </c>
      <c r="AB170" s="370">
        <f t="shared" si="41"/>
        <v>11494.367391979944</v>
      </c>
    </row>
    <row r="171" spans="2:28" x14ac:dyDescent="0.2">
      <c r="B171" s="375">
        <f t="shared" si="42"/>
        <v>2040</v>
      </c>
      <c r="C171" s="401">
        <f>MAX(TREND(C154:C155,$B154:$B155,$B171),0)</f>
        <v>5805.9455470737885</v>
      </c>
      <c r="D171" s="402">
        <f>MAX(TREND(D154:D155,$B154:$B155,$B171),0)</f>
        <v>5200.8559796437476</v>
      </c>
      <c r="E171" s="725">
        <f>MAX(TREND(E154:E155,$B154:$B155,$B171),0)</f>
        <v>69.191025246305429</v>
      </c>
      <c r="F171" s="726">
        <f>MAX(TREND(F154:F155,$B154:$B155,$B171),0)</f>
        <v>69.376774424559827</v>
      </c>
      <c r="G171" s="1139">
        <f>IFERROR(MAX(1/E171-1/INDEX(ReliabilityModelGroup,A148,17), 0),0)</f>
        <v>0</v>
      </c>
      <c r="H171" s="1140">
        <f>IFERROR(MAX(1/F171-1/INDEX(ReliabilityModelGroup,A148,24), 0),0)</f>
        <v>0</v>
      </c>
      <c r="I171" s="1139">
        <f>IFERROR(AlphaSTD*MAX(AlphaTTI*(1+INDEX(ReliabilityModelGroup,A148,17)*G171)^BetaTTI-1,0)^BetaSTD*INDEX(ReliabilityModelGroup,A148,16)/INDEX(ReliabilityModelGroup,A148,17)*INDEX(RelAdjFactors,A148,5),0)</f>
        <v>6.203545385370904E-3</v>
      </c>
      <c r="J171" s="1140">
        <f>IFERROR(AlphaSTD*MAX(AlphaTTI*(1+INDEX(ReliabilityModelGroup,A148,24)*H171)^BetaTTI-1,0)^BetaSTD*INDEX(ReliabilityModelGroup,A148,23)/INDEX(ReliabilityModelGroup,A148,24)*INDEX(RelAdjFactors,A148,5),0)</f>
        <v>5.7263495864962191E-3</v>
      </c>
      <c r="K171" s="1156">
        <f>MIN(C171*INDEX(ReliabilityModelGroup,A148,18),D171*INDEX(ReliabilityModelGroup,A148,25))*(I171-J171)*(INDEX(ReliabilityModelGroup,A148,12)*AnnualFactor)</f>
        <v>2627.0134815445194</v>
      </c>
      <c r="L171" s="1157">
        <f>IF(AND(D171*INDEX(ReliabilityModelGroup,A148,25)&gt;C171*INDEX(ReliabilityModelGroup,A148,18), Induced="Y"), (D171*INDEX(ReliabilityModelGroup,A148,25)-C171*INDEX(ReliabilityModelGroup,A148,18))*(I171-J171)*0.5*(INDEX(ReliabilityModelGroup,A148,12)*AnnualFactor), 0)</f>
        <v>0</v>
      </c>
      <c r="M171" s="1143">
        <f t="shared" si="38"/>
        <v>34046.094720816982</v>
      </c>
      <c r="N171" s="370">
        <f t="shared" si="39"/>
        <v>16806.109764810222</v>
      </c>
      <c r="P171" s="375">
        <f t="shared" si="43"/>
        <v>2040</v>
      </c>
      <c r="Q171" s="401">
        <f>MAX(TREND(Q154:Q155,$P154:$P155,$P171),0)</f>
        <v>1833.456488549622</v>
      </c>
      <c r="R171" s="402">
        <f>MAX(TREND(R154:R155,$P154:$P155,$P171),0)</f>
        <v>1642.3755725190858</v>
      </c>
      <c r="S171" s="725">
        <f>MAX(TREND(S154:S155,$P154:$P155,$P171),0)</f>
        <v>69.191025246305429</v>
      </c>
      <c r="T171" s="726">
        <f>MAX(TREND(T154:T155,$P154:$P155,$P171),0)</f>
        <v>69.376774424559827</v>
      </c>
      <c r="U171" s="1139">
        <f>IFERROR(MAX(1/S171-1/INDEX(ReliabilityModelGroup,O148,17), 0),0)</f>
        <v>0</v>
      </c>
      <c r="V171" s="1140">
        <f>IFERROR(MAX(1/T171-1/INDEX(ReliabilityModelGroup,O148,24), 0),0)</f>
        <v>0</v>
      </c>
      <c r="W171" s="1139">
        <f>IFERROR(AlphaSTD*MAX(AlphaTTI*(1+INDEX(ReliabilityModelGroup,O148,17)*U171)^BetaTTI-1,0)^BetaSTD*INDEX(ReliabilityModelGroup,O148,16)/INDEX(ReliabilityModelGroup,O148,17)*INDEX(RelAdjFactors,O148,15),0)</f>
        <v>6.203545385370904E-3</v>
      </c>
      <c r="X171" s="1140">
        <f>IFERROR(AlphaSTD*MAX(AlphaTTI*(1+INDEX(ReliabilityModelGroup,O148,24)*V171)^BetaTTI-1,0)^BetaSTD*INDEX(ReliabilityModelGroup,O148,23)/INDEX(ReliabilityModelGroup,O148,24)*INDEX(RelAdjFactors,O148,15),0)</f>
        <v>5.7263495864962191E-3</v>
      </c>
      <c r="Y171" s="1156">
        <f>MIN(Q171,R171)*(W171-X171)*(INDEX(ReliabilityModelGroup,A148,12)*AnnualFactor)</f>
        <v>572.12634806777453</v>
      </c>
      <c r="Z171" s="1157">
        <f>IF(AND(R171&gt;Q171, Induced="Y"), (R171-Q171)*(W171-X171)*0.5*(INDEX(ReliabilityModelGroup,A148,12)*AnnualFactor), 0)</f>
        <v>0</v>
      </c>
      <c r="AA171" s="1143">
        <f t="shared" si="40"/>
        <v>22593.269485196415</v>
      </c>
      <c r="AB171" s="370">
        <f t="shared" si="41"/>
        <v>11152.673163479843</v>
      </c>
    </row>
    <row r="172" spans="2:28" x14ac:dyDescent="0.2">
      <c r="B172" s="375">
        <f t="shared" si="42"/>
        <v>2041</v>
      </c>
      <c r="C172" s="401">
        <f>MAX(TREND(C154:C155,$B154:$B155,$B172),0)</f>
        <v>5871.7493638676824</v>
      </c>
      <c r="D172" s="402">
        <f>MAX(TREND(D154:D155,$B154:$B155,$B172),0)</f>
        <v>5247.674300254439</v>
      </c>
      <c r="E172" s="725">
        <f>MAX(TREND(E154:E155,$B154:$B155,$B172),0)</f>
        <v>69.176608682266021</v>
      </c>
      <c r="F172" s="726">
        <f>MAX(TREND(F154:F155,$B154:$B155,$B172),0)</f>
        <v>69.365119681428212</v>
      </c>
      <c r="G172" s="1139">
        <f>IFERROR(MAX(1/E172-1/INDEX(ReliabilityModelGroup,A148,17), 0),0)</f>
        <v>0</v>
      </c>
      <c r="H172" s="1140">
        <f>IFERROR(MAX(1/F172-1/INDEX(ReliabilityModelGroup,A148,24), 0),0)</f>
        <v>0</v>
      </c>
      <c r="I172" s="1139">
        <f>IFERROR(AlphaSTD*MAX(AlphaTTI*(1+INDEX(ReliabilityModelGroup,A148,17)*G172)^BetaTTI-1,0)^BetaSTD*INDEX(ReliabilityModelGroup,A148,16)/INDEX(ReliabilityModelGroup,A148,17)*INDEX(RelAdjFactors,A148,5),0)</f>
        <v>6.203545385370904E-3</v>
      </c>
      <c r="J172" s="1140">
        <f>IFERROR(AlphaSTD*MAX(AlphaTTI*(1+INDEX(ReliabilityModelGroup,A148,24)*H172)^BetaTTI-1,0)^BetaSTD*INDEX(ReliabilityModelGroup,A148,23)/INDEX(ReliabilityModelGroup,A148,24)*INDEX(RelAdjFactors,A148,5),0)</f>
        <v>5.7263495864962191E-3</v>
      </c>
      <c r="K172" s="1156">
        <f>MIN(C172*INDEX(ReliabilityModelGroup,A148,18),D172*INDEX(ReliabilityModelGroup,A148,25))*(I172-J172)*(INDEX(ReliabilityModelGroup,A148,12)*AnnualFactor)</f>
        <v>2650.661965545798</v>
      </c>
      <c r="L172" s="1157">
        <f>IF(AND(D172*INDEX(ReliabilityModelGroup,A148,25)&gt;C172*INDEX(ReliabilityModelGroup,A148,18), Induced="Y"), (D172*INDEX(ReliabilityModelGroup,A148,25)-C172*INDEX(ReliabilityModelGroup,A148,18))*(I172-J172)*0.5*(INDEX(ReliabilityModelGroup,A148,12)*AnnualFactor), 0)</f>
        <v>0</v>
      </c>
      <c r="M172" s="1143">
        <f t="shared" si="38"/>
        <v>34352.579073473549</v>
      </c>
      <c r="N172" s="370">
        <f t="shared" si="39"/>
        <v>16305.191403780245</v>
      </c>
      <c r="P172" s="375">
        <f t="shared" si="43"/>
        <v>2041</v>
      </c>
      <c r="Q172" s="401">
        <f>MAX(TREND(Q154:Q155,$P154:$P155,$P172),0)</f>
        <v>1854.2366412213814</v>
      </c>
      <c r="R172" s="402">
        <f>MAX(TREND(R154:R155,$P154:$P155,$P172),0)</f>
        <v>1657.1603053435138</v>
      </c>
      <c r="S172" s="725">
        <f>MAX(TREND(S154:S155,$P154:$P155,$P172),0)</f>
        <v>69.176608682266021</v>
      </c>
      <c r="T172" s="726">
        <f>MAX(TREND(T154:T155,$P154:$P155,$P172),0)</f>
        <v>69.365119681428212</v>
      </c>
      <c r="U172" s="1139">
        <f>IFERROR(MAX(1/S172-1/INDEX(ReliabilityModelGroup,O148,17), 0),0)</f>
        <v>0</v>
      </c>
      <c r="V172" s="1140">
        <f>IFERROR(MAX(1/T172-1/INDEX(ReliabilityModelGroup,O148,24), 0),0)</f>
        <v>0</v>
      </c>
      <c r="W172" s="1139">
        <f>IFERROR(AlphaSTD*MAX(AlphaTTI*(1+INDEX(ReliabilityModelGroup,O148,17)*U172)^BetaTTI-1,0)^BetaSTD*INDEX(ReliabilityModelGroup,O148,16)/INDEX(ReliabilityModelGroup,O148,17)*INDEX(RelAdjFactors,O148,15),0)</f>
        <v>6.203545385370904E-3</v>
      </c>
      <c r="X172" s="1140">
        <f>IFERROR(AlphaSTD*MAX(AlphaTTI*(1+INDEX(ReliabilityModelGroup,O148,24)*V172)^BetaTTI-1,0)^BetaSTD*INDEX(ReliabilityModelGroup,O148,23)/INDEX(ReliabilityModelGroup,O148,24)*INDEX(RelAdjFactors,O148,15),0)</f>
        <v>5.7263495864962191E-3</v>
      </c>
      <c r="Y172" s="1156">
        <f>MIN(Q172,R172)*(W172-X172)*(INDEX(ReliabilityModelGroup,A148,12)*AnnualFactor)</f>
        <v>577.2766531134248</v>
      </c>
      <c r="Z172" s="1157">
        <f>IF(AND(R172&gt;Q172, Induced="Y"), (R172-Q172)*(W172-X172)*0.5*(INDEX(ReliabilityModelGroup,A148,12)*AnnualFactor), 0)</f>
        <v>0</v>
      </c>
      <c r="AA172" s="1143">
        <f t="shared" si="40"/>
        <v>22796.655031449147</v>
      </c>
      <c r="AB172" s="370">
        <f t="shared" si="41"/>
        <v>10820.259604343692</v>
      </c>
    </row>
    <row r="173" spans="2:28" x14ac:dyDescent="0.2">
      <c r="B173" s="375">
        <f t="shared" si="42"/>
        <v>2042</v>
      </c>
      <c r="C173" s="401">
        <f>MAX(TREND(C154:C155,$B154:$B155,$B173),0)</f>
        <v>5937.5531806615763</v>
      </c>
      <c r="D173" s="402">
        <f>MAX(TREND(D154:D155,$B154:$B155,$B173),0)</f>
        <v>5294.4926208651304</v>
      </c>
      <c r="E173" s="725">
        <f>MAX(TREND(E154:E155,$B154:$B155,$B173),0)</f>
        <v>69.162192118226614</v>
      </c>
      <c r="F173" s="726">
        <f>MAX(TREND(F154:F155,$B154:$B155,$B173),0)</f>
        <v>69.353464938296611</v>
      </c>
      <c r="G173" s="1139">
        <f>IFERROR(MAX(1/E173-1/INDEX(ReliabilityModelGroup,A148,17), 0),0)</f>
        <v>0</v>
      </c>
      <c r="H173" s="1140">
        <f>IFERROR(MAX(1/F173-1/INDEX(ReliabilityModelGroup,A148,24), 0),0)</f>
        <v>0</v>
      </c>
      <c r="I173" s="1139">
        <f>IFERROR(AlphaSTD*MAX(AlphaTTI*(1+INDEX(ReliabilityModelGroup,A148,17)*G173)^BetaTTI-1,0)^BetaSTD*INDEX(ReliabilityModelGroup,A148,16)/INDEX(ReliabilityModelGroup,A148,17)*INDEX(RelAdjFactors,A148,5),0)</f>
        <v>6.203545385370904E-3</v>
      </c>
      <c r="J173" s="1140">
        <f>IFERROR(AlphaSTD*MAX(AlphaTTI*(1+INDEX(ReliabilityModelGroup,A148,24)*H173)^BetaTTI-1,0)^BetaSTD*INDEX(ReliabilityModelGroup,A148,23)/INDEX(ReliabilityModelGroup,A148,24)*INDEX(RelAdjFactors,A148,5),0)</f>
        <v>5.7263495864962191E-3</v>
      </c>
      <c r="K173" s="1156">
        <f>MIN(C173*INDEX(ReliabilityModelGroup,A148,18),D173*INDEX(ReliabilityModelGroup,A148,25))*(I173-J173)*(INDEX(ReliabilityModelGroup,A148,12)*AnnualFactor)</f>
        <v>2674.310449547077</v>
      </c>
      <c r="L173" s="1157">
        <f>IF(AND(D173*INDEX(ReliabilityModelGroup,A148,25)&gt;C173*INDEX(ReliabilityModelGroup,A148,18), Induced="Y"), (D173*INDEX(ReliabilityModelGroup,A148,25)-C173*INDEX(ReliabilityModelGroup,A148,18))*(I173-J173)*0.5*(INDEX(ReliabilityModelGroup,A148,12)*AnnualFactor), 0)</f>
        <v>0</v>
      </c>
      <c r="M173" s="1143">
        <f t="shared" si="38"/>
        <v>34659.063426130124</v>
      </c>
      <c r="N173" s="370">
        <f t="shared" si="39"/>
        <v>15817.944115248418</v>
      </c>
      <c r="P173" s="375">
        <f t="shared" si="43"/>
        <v>2042</v>
      </c>
      <c r="Q173" s="401">
        <f>MAX(TREND(Q154:Q155,$P154:$P155,$P173),0)</f>
        <v>1875.0167938931336</v>
      </c>
      <c r="R173" s="402">
        <f>MAX(TREND(R154:R155,$P154:$P155,$P173),0)</f>
        <v>1671.9450381679417</v>
      </c>
      <c r="S173" s="725">
        <f>MAX(TREND(S154:S155,$P154:$P155,$P173),0)</f>
        <v>69.162192118226614</v>
      </c>
      <c r="T173" s="726">
        <f>MAX(TREND(T154:T155,$P154:$P155,$P173),0)</f>
        <v>69.353464938296611</v>
      </c>
      <c r="U173" s="1139">
        <f>IFERROR(MAX(1/S173-1/INDEX(ReliabilityModelGroup,O148,17), 0),0)</f>
        <v>0</v>
      </c>
      <c r="V173" s="1140">
        <f>IFERROR(MAX(1/T173-1/INDEX(ReliabilityModelGroup,O148,24), 0),0)</f>
        <v>0</v>
      </c>
      <c r="W173" s="1139">
        <f>IFERROR(AlphaSTD*MAX(AlphaTTI*(1+INDEX(ReliabilityModelGroup,O148,17)*U173)^BetaTTI-1,0)^BetaSTD*INDEX(ReliabilityModelGroup,O148,16)/INDEX(ReliabilityModelGroup,O148,17)*INDEX(RelAdjFactors,O148,15),0)</f>
        <v>6.203545385370904E-3</v>
      </c>
      <c r="X173" s="1140">
        <f>IFERROR(AlphaSTD*MAX(AlphaTTI*(1+INDEX(ReliabilityModelGroup,O148,24)*V173)^BetaTTI-1,0)^BetaSTD*INDEX(ReliabilityModelGroup,O148,23)/INDEX(ReliabilityModelGroup,O148,24)*INDEX(RelAdjFactors,O148,15),0)</f>
        <v>5.7263495864962191E-3</v>
      </c>
      <c r="Y173" s="1156">
        <f>MIN(Q173,R173)*(W173-X173)*(INDEX(ReliabilityModelGroup,A148,12)*AnnualFactor)</f>
        <v>582.42695815907496</v>
      </c>
      <c r="Z173" s="1157">
        <f>IF(AND(R173&gt;Q173, Induced="Y"), (R173-Q173)*(W173-X173)*0.5*(INDEX(ReliabilityModelGroup,A148,12)*AnnualFactor), 0)</f>
        <v>0</v>
      </c>
      <c r="AA173" s="1143">
        <f t="shared" si="40"/>
        <v>23000.040577701871</v>
      </c>
      <c r="AB173" s="370">
        <f t="shared" si="41"/>
        <v>10496.918281763159</v>
      </c>
    </row>
    <row r="174" spans="2:28" x14ac:dyDescent="0.2">
      <c r="B174" s="375">
        <f t="shared" si="42"/>
        <v>2043</v>
      </c>
      <c r="C174" s="401">
        <f>MAX(TREND(C154:C155,$B154:$B155,$B174),0)</f>
        <v>6003.3569974554703</v>
      </c>
      <c r="D174" s="402">
        <f>MAX(TREND(D154:D155,$B154:$B155,$B174),0)</f>
        <v>5341.3109414758219</v>
      </c>
      <c r="E174" s="725">
        <f>MAX(TREND(E154:E155,$B154:$B155,$B174),0)</f>
        <v>69.147775554187206</v>
      </c>
      <c r="F174" s="726">
        <f>MAX(TREND(F154:F155,$B154:$B155,$B174),0)</f>
        <v>69.341810195164996</v>
      </c>
      <c r="G174" s="1139">
        <f>IFERROR(MAX(1/E174-1/INDEX(ReliabilityModelGroup,A148,17), 0),0)</f>
        <v>0</v>
      </c>
      <c r="H174" s="1140">
        <f>IFERROR(MAX(1/F174-1/INDEX(ReliabilityModelGroup,A148,24), 0),0)</f>
        <v>0</v>
      </c>
      <c r="I174" s="1139">
        <f>IFERROR(AlphaSTD*MAX(AlphaTTI*(1+INDEX(ReliabilityModelGroup,A148,17)*G174)^BetaTTI-1,0)^BetaSTD*INDEX(ReliabilityModelGroup,A148,16)/INDEX(ReliabilityModelGroup,A148,17)*INDEX(RelAdjFactors,A148,5),0)</f>
        <v>6.203545385370904E-3</v>
      </c>
      <c r="J174" s="1140">
        <f>IFERROR(AlphaSTD*MAX(AlphaTTI*(1+INDEX(ReliabilityModelGroup,A148,24)*H174)^BetaTTI-1,0)^BetaSTD*INDEX(ReliabilityModelGroup,A148,23)/INDEX(ReliabilityModelGroup,A148,24)*INDEX(RelAdjFactors,A148,5),0)</f>
        <v>5.7263495864962191E-3</v>
      </c>
      <c r="K174" s="1156">
        <f>MIN(C174*INDEX(ReliabilityModelGroup,A148,18),D174*INDEX(ReliabilityModelGroup,A148,25))*(I174-J174)*(INDEX(ReliabilityModelGroup,A148,12)*AnnualFactor)</f>
        <v>2697.9589335483556</v>
      </c>
      <c r="L174" s="1157">
        <f>IF(AND(D174*INDEX(ReliabilityModelGroup,A148,25)&gt;C174*INDEX(ReliabilityModelGroup,A148,18), Induced="Y"), (D174*INDEX(ReliabilityModelGroup,A148,25)-C174*INDEX(ReliabilityModelGroup,A148,18))*(I174-J174)*0.5*(INDEX(ReliabilityModelGroup,A148,12)*AnnualFactor), 0)</f>
        <v>0</v>
      </c>
      <c r="M174" s="1143">
        <f t="shared" si="38"/>
        <v>34965.547778786698</v>
      </c>
      <c r="N174" s="370">
        <f t="shared" si="39"/>
        <v>15344.057281745989</v>
      </c>
      <c r="P174" s="375">
        <f t="shared" si="43"/>
        <v>2043</v>
      </c>
      <c r="Q174" s="401">
        <f>MAX(TREND(Q154:Q155,$P154:$P155,$P174),0)</f>
        <v>1895.796946564893</v>
      </c>
      <c r="R174" s="402">
        <f>MAX(TREND(R154:R155,$P154:$P155,$P174),0)</f>
        <v>1686.7297709923696</v>
      </c>
      <c r="S174" s="725">
        <f>MAX(TREND(S154:S155,$P154:$P155,$P174),0)</f>
        <v>69.147775554187206</v>
      </c>
      <c r="T174" s="726">
        <f>MAX(TREND(T154:T155,$P154:$P155,$P174),0)</f>
        <v>69.341810195164996</v>
      </c>
      <c r="U174" s="1139">
        <f>IFERROR(MAX(1/S174-1/INDEX(ReliabilityModelGroup,O148,17), 0),0)</f>
        <v>0</v>
      </c>
      <c r="V174" s="1140">
        <f>IFERROR(MAX(1/T174-1/INDEX(ReliabilityModelGroup,O148,24), 0),0)</f>
        <v>0</v>
      </c>
      <c r="W174" s="1139">
        <f>IFERROR(AlphaSTD*MAX(AlphaTTI*(1+INDEX(ReliabilityModelGroup,O148,17)*U174)^BetaTTI-1,0)^BetaSTD*INDEX(ReliabilityModelGroup,O148,16)/INDEX(ReliabilityModelGroup,O148,17)*INDEX(RelAdjFactors,O148,15),0)</f>
        <v>6.203545385370904E-3</v>
      </c>
      <c r="X174" s="1140">
        <f>IFERROR(AlphaSTD*MAX(AlphaTTI*(1+INDEX(ReliabilityModelGroup,O148,24)*V174)^BetaTTI-1,0)^BetaSTD*INDEX(ReliabilityModelGroup,O148,23)/INDEX(ReliabilityModelGroup,O148,24)*INDEX(RelAdjFactors,O148,15),0)</f>
        <v>5.7263495864962191E-3</v>
      </c>
      <c r="Y174" s="1156">
        <f>MIN(Q174,R174)*(W174-X174)*(INDEX(ReliabilityModelGroup,A148,12)*AnnualFactor)</f>
        <v>587.57726320472523</v>
      </c>
      <c r="Z174" s="1157">
        <f>IF(AND(R174&gt;Q174, Induced="Y"), (R174-Q174)*(W174-X174)*0.5*(INDEX(ReliabilityModelGroup,A148,12)*AnnualFactor), 0)</f>
        <v>0</v>
      </c>
      <c r="AA174" s="1143">
        <f t="shared" si="40"/>
        <v>23203.426123954603</v>
      </c>
      <c r="AB174" s="370">
        <f t="shared" si="41"/>
        <v>10182.44306742204</v>
      </c>
    </row>
    <row r="175" spans="2:28" x14ac:dyDescent="0.2">
      <c r="B175" s="375">
        <f t="shared" si="42"/>
        <v>2044</v>
      </c>
      <c r="C175" s="401">
        <f>MAX(TREND(C154:C155,$B154:$B155,$B175),0)</f>
        <v>6069.1608142493642</v>
      </c>
      <c r="D175" s="402">
        <f>MAX(TREND(D154:D155,$B154:$B155,$B175),0)</f>
        <v>5388.1292620864988</v>
      </c>
      <c r="E175" s="725">
        <f>MAX(TREND(E154:E155,$B154:$B155,$B175),0)</f>
        <v>69.133358990147798</v>
      </c>
      <c r="F175" s="726">
        <f>MAX(TREND(F154:F155,$B154:$B155,$B175),0)</f>
        <v>69.330155452033381</v>
      </c>
      <c r="G175" s="1139">
        <f>IFERROR(MAX(1/E175-1/INDEX(ReliabilityModelGroup,A148,17), 0),0)</f>
        <v>0</v>
      </c>
      <c r="H175" s="1140">
        <f>IFERROR(MAX(1/F175-1/INDEX(ReliabilityModelGroup,A148,24), 0),0)</f>
        <v>0</v>
      </c>
      <c r="I175" s="1139">
        <f>IFERROR(AlphaSTD*MAX(AlphaTTI*(1+INDEX(ReliabilityModelGroup,A148,17)*G175)^BetaTTI-1,0)^BetaSTD*INDEX(ReliabilityModelGroup,A148,16)/INDEX(ReliabilityModelGroup,A148,17)*INDEX(RelAdjFactors,A148,5),0)</f>
        <v>6.203545385370904E-3</v>
      </c>
      <c r="J175" s="1140">
        <f>IFERROR(AlphaSTD*MAX(AlphaTTI*(1+INDEX(ReliabilityModelGroup,A148,24)*H175)^BetaTTI-1,0)^BetaSTD*INDEX(ReliabilityModelGroup,A148,23)/INDEX(ReliabilityModelGroup,A148,24)*INDEX(RelAdjFactors,A148,5),0)</f>
        <v>5.7263495864962191E-3</v>
      </c>
      <c r="K175" s="1156">
        <f>MIN(C175*INDEX(ReliabilityModelGroup,A148,18),D175*INDEX(ReliabilityModelGroup,A148,25))*(I175-J175)*(INDEX(ReliabilityModelGroup,A148,12)*AnnualFactor)</f>
        <v>2721.6074175496269</v>
      </c>
      <c r="L175" s="1157">
        <f>IF(AND(D175*INDEX(ReliabilityModelGroup,A148,25)&gt;C175*INDEX(ReliabilityModelGroup,A148,18), Induced="Y"), (D175*INDEX(ReliabilityModelGroup,A148,25)-C175*INDEX(ReliabilityModelGroup,A148,18))*(I175-J175)*0.5*(INDEX(ReliabilityModelGroup,A148,12)*AnnualFactor), 0)</f>
        <v>0</v>
      </c>
      <c r="M175" s="1143">
        <f t="shared" si="38"/>
        <v>35272.032131443171</v>
      </c>
      <c r="N175" s="370">
        <f t="shared" si="39"/>
        <v>14883.223955975589</v>
      </c>
      <c r="P175" s="375">
        <f t="shared" si="43"/>
        <v>2044</v>
      </c>
      <c r="Q175" s="401">
        <f>MAX(TREND(Q154:Q155,$P154:$P155,$P175),0)</f>
        <v>1916.5770992366452</v>
      </c>
      <c r="R175" s="402">
        <f>MAX(TREND(R154:R155,$P154:$P155,$P175),0)</f>
        <v>1701.5145038167939</v>
      </c>
      <c r="S175" s="725">
        <f>MAX(TREND(S154:S155,$P154:$P155,$P175),0)</f>
        <v>69.133358990147798</v>
      </c>
      <c r="T175" s="726">
        <f>MAX(TREND(T154:T155,$P154:$P155,$P175),0)</f>
        <v>69.330155452033381</v>
      </c>
      <c r="U175" s="1139">
        <f>IFERROR(MAX(1/S175-1/INDEX(ReliabilityModelGroup,O148,17), 0),0)</f>
        <v>0</v>
      </c>
      <c r="V175" s="1140">
        <f>IFERROR(MAX(1/T175-1/INDEX(ReliabilityModelGroup,O148,24), 0),0)</f>
        <v>0</v>
      </c>
      <c r="W175" s="1139">
        <f>IFERROR(AlphaSTD*MAX(AlphaTTI*(1+INDEX(ReliabilityModelGroup,O148,17)*U175)^BetaTTI-1,0)^BetaSTD*INDEX(ReliabilityModelGroup,O148,16)/INDEX(ReliabilityModelGroup,O148,17)*INDEX(RelAdjFactors,O148,15),0)</f>
        <v>6.203545385370904E-3</v>
      </c>
      <c r="X175" s="1140">
        <f>IFERROR(AlphaSTD*MAX(AlphaTTI*(1+INDEX(ReliabilityModelGroup,O148,24)*V175)^BetaTTI-1,0)^BetaSTD*INDEX(ReliabilityModelGroup,O148,23)/INDEX(ReliabilityModelGroup,O148,24)*INDEX(RelAdjFactors,O148,15),0)</f>
        <v>5.7263495864962191E-3</v>
      </c>
      <c r="Y175" s="1156">
        <f>MIN(Q175,R175)*(W175-X175)*(INDEX(ReliabilityModelGroup,A148,12)*AnnualFactor)</f>
        <v>592.72756825037413</v>
      </c>
      <c r="Z175" s="1157">
        <f>IF(AND(R175&gt;Q175, Induced="Y"), (R175-Q175)*(W175-X175)*0.5*(INDEX(ReliabilityModelGroup,A148,12)*AnnualFactor), 0)</f>
        <v>0</v>
      </c>
      <c r="AA175" s="1143">
        <f t="shared" si="40"/>
        <v>23406.811670207277</v>
      </c>
      <c r="AB175" s="370">
        <f t="shared" si="41"/>
        <v>9876.6302685601531</v>
      </c>
    </row>
    <row r="176" spans="2:28" x14ac:dyDescent="0.2">
      <c r="B176" s="375">
        <f t="shared" si="42"/>
        <v>2045</v>
      </c>
      <c r="C176" s="401">
        <f>MAX(TREND(C154:C155,$B154:$B155,$B176),0)</f>
        <v>6134.9646310432581</v>
      </c>
      <c r="D176" s="402">
        <f>MAX(TREND(D154:D155,$B154:$B155,$B176),0)</f>
        <v>5434.9475826971902</v>
      </c>
      <c r="E176" s="725">
        <f>MAX(TREND(E154:E155,$B154:$B155,$B176),0)</f>
        <v>69.11894242610839</v>
      </c>
      <c r="F176" s="726">
        <f>MAX(TREND(F154:F155,$B154:$B155,$B176),0)</f>
        <v>69.31850070890178</v>
      </c>
      <c r="G176" s="1139">
        <f>IFERROR(MAX(1/E176-1/INDEX(ReliabilityModelGroup,A148,17), 0),0)</f>
        <v>0</v>
      </c>
      <c r="H176" s="1140">
        <f>IFERROR(MAX(1/F176-1/INDEX(ReliabilityModelGroup,A148,24), 0),0)</f>
        <v>0</v>
      </c>
      <c r="I176" s="1139">
        <f>IFERROR(AlphaSTD*MAX(AlphaTTI*(1+INDEX(ReliabilityModelGroup,A148,17)*G176)^BetaTTI-1,0)^BetaSTD*INDEX(ReliabilityModelGroup,A148,16)/INDEX(ReliabilityModelGroup,A148,17)*INDEX(RelAdjFactors,A148,5),0)</f>
        <v>6.203545385370904E-3</v>
      </c>
      <c r="J176" s="1140">
        <f>IFERROR(AlphaSTD*MAX(AlphaTTI*(1+INDEX(ReliabilityModelGroup,A148,24)*H176)^BetaTTI-1,0)^BetaSTD*INDEX(ReliabilityModelGroup,A148,23)/INDEX(ReliabilityModelGroup,A148,24)*INDEX(RelAdjFactors,A148,5),0)</f>
        <v>5.7263495864962191E-3</v>
      </c>
      <c r="K176" s="1156">
        <f>MIN(C176*INDEX(ReliabilityModelGroup,A148,18),D176*INDEX(ReliabilityModelGroup,A148,25))*(I176-J176)*(INDEX(ReliabilityModelGroup,A148,12)*AnnualFactor)</f>
        <v>2745.2559015509055</v>
      </c>
      <c r="L176" s="1157">
        <f>IF(AND(D176*INDEX(ReliabilityModelGroup,A148,25)&gt;C176*INDEX(ReliabilityModelGroup,A148,18), Induced="Y"), (D176*INDEX(ReliabilityModelGroup,A148,25)-C176*INDEX(ReliabilityModelGroup,A148,18))*(I176-J176)*0.5*(INDEX(ReliabilityModelGroup,A148,12)*AnnualFactor), 0)</f>
        <v>0</v>
      </c>
      <c r="M176" s="1143">
        <f t="shared" si="38"/>
        <v>35578.516484099746</v>
      </c>
      <c r="N176" s="370">
        <f t="shared" si="39"/>
        <v>14435.141037983802</v>
      </c>
      <c r="P176" s="375">
        <f t="shared" si="43"/>
        <v>2045</v>
      </c>
      <c r="Q176" s="401">
        <f>MAX(TREND(Q154:Q155,$P154:$P155,$P176),0)</f>
        <v>1937.3572519084046</v>
      </c>
      <c r="R176" s="402">
        <f>MAX(TREND(R154:R155,$P154:$P155,$P176),0)</f>
        <v>1716.2992366412218</v>
      </c>
      <c r="S176" s="725">
        <f>MAX(TREND(S154:S155,$P154:$P155,$P176),0)</f>
        <v>69.11894242610839</v>
      </c>
      <c r="T176" s="726">
        <f>MAX(TREND(T154:T155,$P154:$P155,$P176),0)</f>
        <v>69.31850070890178</v>
      </c>
      <c r="U176" s="1139">
        <f>IFERROR(MAX(1/S176-1/INDEX(ReliabilityModelGroup,O148,17), 0),0)</f>
        <v>0</v>
      </c>
      <c r="V176" s="1140">
        <f>IFERROR(MAX(1/T176-1/INDEX(ReliabilityModelGroup,O148,24), 0),0)</f>
        <v>0</v>
      </c>
      <c r="W176" s="1139">
        <f>IFERROR(AlphaSTD*MAX(AlphaTTI*(1+INDEX(ReliabilityModelGroup,O148,17)*U176)^BetaTTI-1,0)^BetaSTD*INDEX(ReliabilityModelGroup,O148,16)/INDEX(ReliabilityModelGroup,O148,17)*INDEX(RelAdjFactors,O148,15),0)</f>
        <v>6.203545385370904E-3</v>
      </c>
      <c r="X176" s="1140">
        <f>IFERROR(AlphaSTD*MAX(AlphaTTI*(1+INDEX(ReliabilityModelGroup,O148,24)*V176)^BetaTTI-1,0)^BetaSTD*INDEX(ReliabilityModelGroup,O148,23)/INDEX(ReliabilityModelGroup,O148,24)*INDEX(RelAdjFactors,O148,15),0)</f>
        <v>5.7263495864962191E-3</v>
      </c>
      <c r="Y176" s="1156">
        <f>MIN(Q176,R176)*(W176-X176)*(INDEX(ReliabilityModelGroup,A148,12)*AnnualFactor)</f>
        <v>597.87787329602429</v>
      </c>
      <c r="Z176" s="1157">
        <f>IF(AND(R176&gt;Q176, Induced="Y"), (R176-Q176)*(W176-X176)*0.5*(INDEX(ReliabilityModelGroup,A148,12)*AnnualFactor), 0)</f>
        <v>0</v>
      </c>
      <c r="AA176" s="1143">
        <f t="shared" si="40"/>
        <v>23610.197216459997</v>
      </c>
      <c r="AB176" s="370">
        <f t="shared" si="41"/>
        <v>9579.2787455465041</v>
      </c>
    </row>
    <row r="177" spans="1:28" x14ac:dyDescent="0.2">
      <c r="B177" s="1148"/>
      <c r="C177" s="386"/>
      <c r="D177" s="386"/>
      <c r="E177" s="386"/>
      <c r="F177" s="386"/>
      <c r="G177" s="386"/>
      <c r="H177" s="386"/>
      <c r="I177" s="1150"/>
      <c r="J177" s="1150"/>
      <c r="K177" s="1150"/>
      <c r="L177" s="1150"/>
      <c r="M177" s="1150"/>
      <c r="N177" s="389"/>
      <c r="P177" s="1148"/>
      <c r="Q177" s="386"/>
      <c r="R177" s="386"/>
      <c r="S177" s="386"/>
      <c r="T177" s="386"/>
      <c r="U177" s="386"/>
      <c r="V177" s="386"/>
      <c r="W177" s="1150"/>
      <c r="X177" s="1150"/>
      <c r="Y177" s="1150"/>
      <c r="Z177" s="1150"/>
      <c r="AA177" s="1150"/>
      <c r="AB177" s="389"/>
    </row>
    <row r="178" spans="1:28" x14ac:dyDescent="0.2">
      <c r="B178" s="1158" t="s">
        <v>56</v>
      </c>
      <c r="C178" s="1159"/>
      <c r="D178" s="1159"/>
      <c r="E178" s="1159"/>
      <c r="F178" s="1159"/>
      <c r="G178" s="1159"/>
      <c r="H178" s="1159"/>
      <c r="I178" s="1159"/>
      <c r="J178" s="1159"/>
      <c r="K178" s="1159"/>
      <c r="L178" s="1159"/>
      <c r="M178" s="1160">
        <f>SUM(M157:M176)</f>
        <v>653338.30267725151</v>
      </c>
      <c r="N178" s="1160">
        <f>SUM(N157:N176)</f>
        <v>389893.58290282136</v>
      </c>
      <c r="P178" s="1158" t="s">
        <v>56</v>
      </c>
      <c r="Q178" s="1159"/>
      <c r="R178" s="1159"/>
      <c r="S178" s="1159"/>
      <c r="T178" s="1159"/>
      <c r="U178" s="1159"/>
      <c r="V178" s="1159"/>
      <c r="W178" s="1159"/>
      <c r="X178" s="1159"/>
      <c r="Y178" s="1159"/>
      <c r="Z178" s="1159"/>
      <c r="AA178" s="1160">
        <f>SUM(AA157:AA176)</f>
        <v>433560.69054118346</v>
      </c>
      <c r="AB178" s="1160">
        <f>SUM(AB157:AB176)</f>
        <v>258736.59993332764</v>
      </c>
    </row>
    <row r="179" spans="1:28" x14ac:dyDescent="0.2">
      <c r="G179" s="1046"/>
      <c r="H179" s="1046"/>
      <c r="I179" s="1047"/>
      <c r="K179" s="678"/>
      <c r="O179" s="1047"/>
      <c r="P179" s="1047"/>
      <c r="Q179" s="678"/>
      <c r="R179" s="1045"/>
      <c r="S179" s="1045"/>
      <c r="W179" s="1046"/>
      <c r="X179" s="1046"/>
      <c r="Y179" s="1046"/>
    </row>
    <row r="180" spans="1:28" x14ac:dyDescent="0.2">
      <c r="A180" s="678">
        <f>MAX($A$1:A179)+1</f>
        <v>6</v>
      </c>
      <c r="B180" s="1106" t="str">
        <f>IF(ISBLANK(INDEX(ReliabilityGroup,A180,2)),"Not Used",INDEX(ReliabilityGroup,A180,2))</f>
        <v>SB Mainline</v>
      </c>
      <c r="C180" s="1049"/>
      <c r="D180" s="1049"/>
      <c r="E180" s="1049"/>
      <c r="F180" s="1049"/>
      <c r="G180" s="1049"/>
      <c r="H180" s="1049"/>
      <c r="I180" s="1102"/>
      <c r="K180" s="1107"/>
      <c r="L180" s="1102"/>
      <c r="M180" s="1102"/>
      <c r="N180" s="1049"/>
      <c r="O180" s="1045">
        <f>MAX($O$1:O179)+1</f>
        <v>6</v>
      </c>
      <c r="P180" s="1106" t="str">
        <f>IF(ISBLANK(INDEX(ReliabilityGroup,O180,2)),"Not Used",INDEX(ReliabilityGroup,O180,2))</f>
        <v>SB Mainline</v>
      </c>
      <c r="Q180" s="1049"/>
      <c r="R180" s="1049"/>
      <c r="S180" s="1049"/>
      <c r="T180" s="1049"/>
      <c r="U180" s="1049"/>
      <c r="V180" s="1049"/>
      <c r="W180" s="1102"/>
      <c r="X180" s="1102"/>
      <c r="Y180" s="1102"/>
      <c r="Z180" s="1049"/>
      <c r="AA180" s="1049"/>
      <c r="AB180" s="1049"/>
    </row>
    <row r="181" spans="1:28" x14ac:dyDescent="0.2">
      <c r="B181" s="1049"/>
      <c r="C181" s="1049"/>
      <c r="D181" s="1108"/>
      <c r="E181" s="1108"/>
      <c r="F181" s="1108"/>
      <c r="G181" s="1108"/>
      <c r="H181" s="1108"/>
      <c r="I181" s="1109"/>
      <c r="J181" s="1049"/>
      <c r="K181" s="1109"/>
      <c r="L181" s="1049"/>
      <c r="M181" s="1049"/>
      <c r="N181" s="1105"/>
      <c r="P181" s="1049"/>
      <c r="Q181" s="1049"/>
      <c r="R181" s="1108"/>
      <c r="S181" s="1108"/>
      <c r="T181" s="1108"/>
      <c r="U181" s="1108"/>
      <c r="V181" s="1108"/>
      <c r="W181" s="1049"/>
      <c r="X181" s="1049"/>
      <c r="Y181" s="1049"/>
      <c r="Z181" s="1049"/>
      <c r="AA181" s="1049"/>
      <c r="AB181" s="1105"/>
    </row>
    <row r="182" spans="1:28" ht="15.75" x14ac:dyDescent="0.2">
      <c r="B182" s="1111"/>
      <c r="C182" s="681" t="s">
        <v>332</v>
      </c>
      <c r="D182" s="1112"/>
      <c r="E182" s="681" t="s">
        <v>272</v>
      </c>
      <c r="F182" s="1112"/>
      <c r="G182" s="681" t="s">
        <v>825</v>
      </c>
      <c r="H182" s="1113"/>
      <c r="I182" s="852" t="s">
        <v>826</v>
      </c>
      <c r="J182" s="1112"/>
      <c r="K182" s="852" t="s">
        <v>827</v>
      </c>
      <c r="L182" s="1114"/>
      <c r="M182" s="1115"/>
      <c r="N182" s="1116"/>
      <c r="P182" s="1111"/>
      <c r="Q182" s="681" t="s">
        <v>332</v>
      </c>
      <c r="R182" s="1112"/>
      <c r="S182" s="681" t="s">
        <v>272</v>
      </c>
      <c r="T182" s="1112"/>
      <c r="U182" s="681" t="s">
        <v>825</v>
      </c>
      <c r="V182" s="1113"/>
      <c r="W182" s="852" t="s">
        <v>826</v>
      </c>
      <c r="X182" s="1112"/>
      <c r="Y182" s="852" t="s">
        <v>827</v>
      </c>
      <c r="Z182" s="1114"/>
      <c r="AA182" s="1186"/>
      <c r="AB182" s="1116"/>
    </row>
    <row r="183" spans="1:28" ht="15.75" x14ac:dyDescent="0.2">
      <c r="B183" s="1121"/>
      <c r="C183" s="1188" t="s">
        <v>828</v>
      </c>
      <c r="D183" s="1189"/>
      <c r="E183" s="688" t="s">
        <v>276</v>
      </c>
      <c r="F183" s="1122"/>
      <c r="G183" s="688" t="s">
        <v>829</v>
      </c>
      <c r="H183" s="1123"/>
      <c r="I183" s="1124" t="s">
        <v>830</v>
      </c>
      <c r="J183" s="1122"/>
      <c r="K183" s="1125" t="s">
        <v>831</v>
      </c>
      <c r="L183" s="687"/>
      <c r="M183" s="1126"/>
      <c r="N183" s="1127"/>
      <c r="P183" s="1121"/>
      <c r="Q183" s="1188" t="s">
        <v>828</v>
      </c>
      <c r="R183" s="1189"/>
      <c r="S183" s="688" t="s">
        <v>276</v>
      </c>
      <c r="T183" s="1122"/>
      <c r="U183" s="688" t="s">
        <v>829</v>
      </c>
      <c r="V183" s="1123"/>
      <c r="W183" s="1124" t="s">
        <v>830</v>
      </c>
      <c r="X183" s="1122"/>
      <c r="Y183" s="1125" t="s">
        <v>831</v>
      </c>
      <c r="Z183" s="687"/>
      <c r="AA183" s="1126"/>
      <c r="AB183" s="1127"/>
    </row>
    <row r="184" spans="1:28" ht="15" x14ac:dyDescent="0.2">
      <c r="B184" s="1129" t="s">
        <v>34</v>
      </c>
      <c r="C184" s="1130"/>
      <c r="D184" s="692"/>
      <c r="E184" s="1130"/>
      <c r="F184" s="692"/>
      <c r="G184" s="1130"/>
      <c r="H184" s="692"/>
      <c r="I184" s="688" t="s">
        <v>832</v>
      </c>
      <c r="J184" s="1122"/>
      <c r="K184" s="1130" t="s">
        <v>207</v>
      </c>
      <c r="L184" s="692" t="s">
        <v>231</v>
      </c>
      <c r="M184" s="1131" t="s">
        <v>208</v>
      </c>
      <c r="N184" s="1128" t="s">
        <v>39</v>
      </c>
      <c r="P184" s="1129" t="s">
        <v>34</v>
      </c>
      <c r="Q184" s="1190"/>
      <c r="R184" s="1191"/>
      <c r="S184" s="1130"/>
      <c r="T184" s="692"/>
      <c r="U184" s="1130"/>
      <c r="V184" s="692"/>
      <c r="W184" s="688" t="s">
        <v>832</v>
      </c>
      <c r="X184" s="1122"/>
      <c r="Y184" s="1130" t="s">
        <v>207</v>
      </c>
      <c r="Z184" s="692" t="s">
        <v>231</v>
      </c>
      <c r="AA184" s="1131" t="s">
        <v>208</v>
      </c>
      <c r="AB184" s="1128" t="s">
        <v>39</v>
      </c>
    </row>
    <row r="185" spans="1:28" ht="15" x14ac:dyDescent="0.2">
      <c r="B185" s="1133"/>
      <c r="C185" s="1134" t="s">
        <v>74</v>
      </c>
      <c r="D185" s="696" t="s">
        <v>125</v>
      </c>
      <c r="E185" s="1134" t="s">
        <v>74</v>
      </c>
      <c r="F185" s="696" t="s">
        <v>125</v>
      </c>
      <c r="G185" s="1134" t="s">
        <v>74</v>
      </c>
      <c r="H185" s="696" t="s">
        <v>125</v>
      </c>
      <c r="I185" s="1134" t="s">
        <v>74</v>
      </c>
      <c r="J185" s="696" t="s">
        <v>125</v>
      </c>
      <c r="K185" s="1134" t="s">
        <v>211</v>
      </c>
      <c r="L185" s="696" t="s">
        <v>233</v>
      </c>
      <c r="M185" s="1135" t="s">
        <v>48</v>
      </c>
      <c r="N185" s="1136" t="s">
        <v>49</v>
      </c>
      <c r="P185" s="1133"/>
      <c r="Q185" s="1134" t="s">
        <v>74</v>
      </c>
      <c r="R185" s="696" t="s">
        <v>125</v>
      </c>
      <c r="S185" s="1134" t="s">
        <v>74</v>
      </c>
      <c r="T185" s="696" t="s">
        <v>125</v>
      </c>
      <c r="U185" s="1134" t="s">
        <v>74</v>
      </c>
      <c r="V185" s="696" t="s">
        <v>125</v>
      </c>
      <c r="W185" s="1134" t="s">
        <v>74</v>
      </c>
      <c r="X185" s="696" t="s">
        <v>125</v>
      </c>
      <c r="Y185" s="1134" t="s">
        <v>211</v>
      </c>
      <c r="Z185" s="696" t="s">
        <v>233</v>
      </c>
      <c r="AA185" s="1135" t="s">
        <v>48</v>
      </c>
      <c r="AB185" s="1136" t="s">
        <v>49</v>
      </c>
    </row>
    <row r="186" spans="1:28" x14ac:dyDescent="0.2">
      <c r="B186" s="363">
        <f>YearFirst</f>
        <v>2026</v>
      </c>
      <c r="C186" s="364">
        <f>_xlfn.SINGLE(IF(_xlfn.SINGLE(INDEX(ReliabilityGroup,$A180,1))=Hwy,IFERROR(_xlfn.SINGLE(INDEX(ReliabilityData1NB,$A180,5))*(1-_xlfn.SINGLE(INDEX(ReliabilityData1NB,$A180,3))),0),0))</f>
        <v>4700.8804071246814</v>
      </c>
      <c r="D186" s="365">
        <f>_xlfn.SINGLE(IF(_xlfn.SINGLE(INDEX(ReliabilityGroup,$A180,1))=Hwy,IFERROR(_xlfn.SINGLE(INDEX(ReliabilityData1B,A180,5))*(1-_xlfn.SINGLE(INDEX(ReliabilityData1B,A180,3))),0),0))</f>
        <v>4196.5343511450383</v>
      </c>
      <c r="E186" s="1137">
        <f>_xlfn.SINGLE(IF(_xlfn.SINGLE(INDEX(ReliabilityGroup,A180,1))=Hwy,IFERROR(_xlfn.SINGLE(INDEX(ReliabilityData1NB,A180,4)),0),0))</f>
        <v>69.452857142857141</v>
      </c>
      <c r="F186" s="1138">
        <f>_xlfn.SINGLE(IF(_xlfn.SINGLE(INDEX(ReliabilityGroup,A180,1))=Hwy,IFERROR(_xlfn.SINGLE(INDEX(ReliabilityData1B,A180,4)),0),0))</f>
        <v>69.552884615384613</v>
      </c>
      <c r="G186" s="1198">
        <f>IFERROR(MAX(1/E186-1/INDEX(ReliabilityModelGroup,A180,17), 0),0)</f>
        <v>0</v>
      </c>
      <c r="H186" s="1199">
        <f>IFERROR(MAX(1/F186-1/INDEX(ReliabilityModelGroup,A180,24), 0),0)</f>
        <v>0</v>
      </c>
      <c r="I186" s="1139">
        <f>IFERROR(AlphaSTD*MAX(AlphaTTI*(1+INDEX(ReliabilityModelGroup,A180,17)*G186)^BetaTTI-1,0)^BetaSTD*INDEX(ReliabilityModelGroup,A180,16)/INDEX(ReliabilityModelGroup,A180,17)*INDEX(RelAdjFactors,A180,5),0)</f>
        <v>5.7263495864962191E-3</v>
      </c>
      <c r="J186" s="1140">
        <f>IFERROR(AlphaSTD*MAX(AlphaTTI*(1+INDEX(ReliabilityModelGroup,A180,24)*H186)^BetaTTI-1,0)^BetaSTD*INDEX(ReliabilityModelGroup,A180,23)/INDEX(ReliabilityModelGroup,A180,24)*INDEX(RelAdjFactors,A180,5),0)</f>
        <v>5.7263495864962191E-3</v>
      </c>
      <c r="K186" s="1141">
        <f>MIN(C186*INDEX(ReliabilityModelGroup,A180,18),D186*INDEX(ReliabilityModelGroup,A180,25))*(I186-J186)*(INDEX(ReliabilityModelGroup,A180,12)*AnnualFactor)</f>
        <v>0</v>
      </c>
      <c r="L186" s="1142">
        <f>IF(AND(D186*INDEX(ReliabilityModelGroup,A180,25)&gt;C186*INDEX(ReliabilityModelGroup,A180,18), Induced="Y"), (D186*INDEX(ReliabilityModelGroup,A180,25)-C186*INDEX(ReliabilityModelGroup,A180,18))*(I186-J186)*0.5*(INDEX(ReliabilityModelGroup,A180,12)*AnnualFactor), 0)</f>
        <v>0</v>
      </c>
      <c r="M186" s="1143">
        <f>(K186+L186)*ValTimeAuto*ValRelAuto*IF(IM,ValTimeIMFactor,1)*(1+TTUprater)^($B186-YearCurrent)</f>
        <v>0</v>
      </c>
      <c r="N186" s="370">
        <f>M186/(1+DiscRate)^(B186-YearCurrent)</f>
        <v>0</v>
      </c>
      <c r="P186" s="363">
        <f>YearFirst</f>
        <v>2026</v>
      </c>
      <c r="Q186" s="364">
        <f>_xlfn.SINGLE(IF(_xlfn.SINGLE(INDEX(ReliabilityGroup,$O180,1))=Hwy,IFERROR(_xlfn.SINGLE(INDEX(ReliabilityData1NB,$O180,5))*_xlfn.SINGLE(INDEX(ReliabilityData1NB,$O180,3)),0),0))</f>
        <v>1484.4885496183203</v>
      </c>
      <c r="R186" s="365">
        <f>_xlfn.SINGLE(IF(_xlfn.SINGLE(INDEX(ReliabilityGroup,$O180,1))=Hwy,IFERROR(_xlfn.SINGLE(INDEX(ReliabilityData1B,$O180,5))*_xlfn.SINGLE(INDEX(ReliabilityData1B,$O180,3)),0),0))</f>
        <v>1325.2213740458014</v>
      </c>
      <c r="S186" s="1137">
        <f>_xlfn.SINGLE(IF(_xlfn.SINGLE(INDEX(ReliabilityGroup,O180,1))=Hwy,IFERROR(_xlfn.SINGLE(INDEX(ReliabilityData1NB,O180,4)),0),0))</f>
        <v>69.452857142857141</v>
      </c>
      <c r="T186" s="1138">
        <f>_xlfn.SINGLE(IF(_xlfn.SINGLE(INDEX(ReliabilityGroup,O180,1))=Hwy,IFERROR(_xlfn.SINGLE(INDEX(ReliabilityData1B,O180,4)),0),0))</f>
        <v>69.552884615384613</v>
      </c>
      <c r="U186" s="1198">
        <f>IFERROR(MAX(1/S186-1/INDEX(ReliabilityModelGroup,O180,17), 0),0)</f>
        <v>0</v>
      </c>
      <c r="V186" s="1199">
        <f>IFERROR(MAX(1/T186-1/INDEX(ReliabilityModelGroup,O180,24), 0),0)</f>
        <v>0</v>
      </c>
      <c r="W186" s="1139">
        <f>IFERROR(AlphaSTD*MAX(AlphaTTI*(1+INDEX(ReliabilityModelGroup,O180,17)*U186)^BetaTTI-1,0)^BetaSTD*INDEX(ReliabilityModelGroup,O180,16)/INDEX(ReliabilityModelGroup,O180,17)*INDEX(RelAdjFactors,O180,15),0)</f>
        <v>5.7263495864962191E-3</v>
      </c>
      <c r="X186" s="1140">
        <f>IFERROR(AlphaSTD*MAX(AlphaTTI*(1+INDEX(ReliabilityModelGroup,O180,24)*V186)^BetaTTI-1,0)^BetaSTD*INDEX(ReliabilityModelGroup,O180,23)/INDEX(ReliabilityModelGroup,O180,24)*INDEX(RelAdjFactors,O180,15),0)</f>
        <v>5.7263495864962191E-3</v>
      </c>
      <c r="Y186" s="1141">
        <f>MIN(Q186,R186)*(W186-X186)*(INDEX(ReliabilityModelGroup,A180,12)*AnnualFactor)</f>
        <v>0</v>
      </c>
      <c r="Z186" s="1142">
        <f>IF(AND(R186&gt;Q186, Induced="Y"), (R186-Q186)*(W186-X186)*0.5*(INDEX(ReliabilityModelGroup,A180,12)*AnnualFactor), 0)</f>
        <v>0</v>
      </c>
      <c r="AA186" s="1143">
        <f>(Y186+Z186)*ValTimeTruck*ValRelTruck*IF(IM,ValTimeIMFactor,1)*(1+TTUprater)^($B186-YearCurrent)</f>
        <v>0</v>
      </c>
      <c r="AB186" s="370">
        <f>AA186/(1+DiscRate)^(P186-YearCurrent)</f>
        <v>0</v>
      </c>
    </row>
    <row r="187" spans="1:28" x14ac:dyDescent="0.2">
      <c r="B187" s="379">
        <f>YearLast</f>
        <v>2046</v>
      </c>
      <c r="C187" s="380">
        <f>_xlfn.SINGLE(IF(_xlfn.SINGLE(INDEX(ReliabilityGroup,$A180,1))=Hwy,IFERROR(_xlfn.SINGLE(INDEX(ReliabilityData20NB,$A180,5))*(1-_xlfn.SINGLE(INDEX(ReliabilityData20NB,$A180,3))),0),0))</f>
        <v>5967.2569974554708</v>
      </c>
      <c r="D187" s="1145">
        <f>_xlfn.SINGLE(IF(_xlfn.SINGLE(INDEX(ReliabilityGroup,$A180,1))=Hwy,IFERROR(_xlfn.SINGLE(INDEX(ReliabilityData20B,$A180,5))*(1-_xlfn.SINGLE(INDEX(ReliabilityData20B,$A180,3))),0),0))</f>
        <v>5153.7862595419847</v>
      </c>
      <c r="E187" s="1137">
        <f>_xlfn.SINGLE(IF(_xlfn.SINGLE(INDEX(ReliabilityGroup,A180,1))=Hwy,IFERROR(_xlfn.SINGLE(INDEX(ReliabilityData20NB,A180,4)),0),0))</f>
        <v>69.108622620380743</v>
      </c>
      <c r="F187" s="1022">
        <f>_xlfn.SINGLE(IF(_xlfn.SINGLE(INDEX(ReliabilityGroup,A180,1))=Hwy,IFERROR(_xlfn.SINGLE(INDEX(ReliabilityData20B,A180,4)),0),0))</f>
        <v>69.312093628088419</v>
      </c>
      <c r="G187" s="1139">
        <f>IFERROR(MAX(1/E187-1/INDEX(ReliabilityModelGroup,A180,17), 0),0)</f>
        <v>0</v>
      </c>
      <c r="H187" s="1140">
        <f>IFERROR(MAX(1/F187-1/INDEX(ReliabilityModelGroup,A180,24), 0),0)</f>
        <v>0</v>
      </c>
      <c r="I187" s="1139">
        <f>IFERROR(AlphaSTD*MAX(AlphaTTI*(1+INDEX(ReliabilityModelGroup,A180,17)*G187)^BetaTTI-1,0)^BetaSTD*INDEX(ReliabilityModelGroup,A180,16)/INDEX(ReliabilityModelGroup,A180,17)*INDEX(RelAdjFactors,A180,5),0)</f>
        <v>5.7263495864962191E-3</v>
      </c>
      <c r="J187" s="1140">
        <f>IFERROR(AlphaSTD*MAX(AlphaTTI*(1+INDEX(ReliabilityModelGroup,A180,24)*H187)^BetaTTI-1,0)^BetaSTD*INDEX(ReliabilityModelGroup,A180,23)/INDEX(ReliabilityModelGroup,A180,24)*INDEX(RelAdjFactors,A180,5),0)</f>
        <v>5.7263495864962191E-3</v>
      </c>
      <c r="K187" s="1146">
        <f>MIN(C187*INDEX(ReliabilityModelGroup,A180,18),D187*INDEX(ReliabilityModelGroup,A180,25))*(I187-J187)*(INDEX(ReliabilityModelGroup,A180,12)*AnnualFactor)</f>
        <v>0</v>
      </c>
      <c r="L187" s="1147">
        <f>IF(AND(D187*INDEX(ReliabilityModelGroup,A180,25)&gt;C187*INDEX(ReliabilityModelGroup,A180,18), Induced="Y"), (D187*INDEX(ReliabilityModelGroup,A180,25)-C187*INDEX(ReliabilityModelGroup,A180,18))*(I187-J187)*0.5*(INDEX(ReliabilityModelGroup,A180,12)*AnnualFactor), 0)</f>
        <v>0</v>
      </c>
      <c r="M187" s="1143">
        <f>(K187+L187)*ValTimeAuto*ValRelAuto*IF(IM,ValTimeIMFactor,1)*(1+TTUprater)^($B187-YearCurrent)</f>
        <v>0</v>
      </c>
      <c r="N187" s="370">
        <f>M187/(1+DiscRate)^(B187-YearCurrent)</f>
        <v>0</v>
      </c>
      <c r="P187" s="379">
        <f>YearLast</f>
        <v>2046</v>
      </c>
      <c r="Q187" s="380">
        <f>_xlfn.SINGLE(IF(_xlfn.SINGLE(INDEX(ReliabilityGroup,$O180,1))=Hwy,IFERROR(_xlfn.SINGLE(INDEX(ReliabilityData20NB,$O180,5))*_xlfn.SINGLE(INDEX(ReliabilityData20NB,$O180,3)),0),0))</f>
        <v>1884.3969465648854</v>
      </c>
      <c r="R187" s="1145">
        <f>_xlfn.SINGLE(IF(_xlfn.SINGLE(INDEX(ReliabilityGroup,$O180,1))=Hwy,IFERROR(_xlfn.SINGLE(INDEX(ReliabilityData20B,$O180,5))*_xlfn.SINGLE(INDEX(ReliabilityData20B,$O180,3)),0),0))</f>
        <v>1627.5114503816794</v>
      </c>
      <c r="S187" s="1137">
        <f>_xlfn.SINGLE(IF(_xlfn.SINGLE(INDEX(ReliabilityGroup,O180,1))=Hwy,IFERROR(_xlfn.SINGLE(INDEX(ReliabilityData20NB,O180,4)),0),0))</f>
        <v>69.108622620380743</v>
      </c>
      <c r="T187" s="1022">
        <f>_xlfn.SINGLE(IF(_xlfn.SINGLE(INDEX(ReliabilityGroup,O180,1))=Hwy,IFERROR(_xlfn.SINGLE(INDEX(ReliabilityData20B,O180,4)),0),0))</f>
        <v>69.312093628088419</v>
      </c>
      <c r="U187" s="1139">
        <f>IFERROR(MAX(1/S187-1/INDEX(ReliabilityModelGroup,O180,17), 0),0)</f>
        <v>0</v>
      </c>
      <c r="V187" s="1140">
        <f>IFERROR(MAX(1/T187-1/INDEX(ReliabilityModelGroup,O180,24), 0),0)</f>
        <v>0</v>
      </c>
      <c r="W187" s="1139">
        <f>IFERROR(AlphaSTD*MAX(AlphaTTI*(1+INDEX(ReliabilityModelGroup,O180,17)*U187)^BetaTTI-1,0)^BetaSTD*INDEX(ReliabilityModelGroup,O180,16)/INDEX(ReliabilityModelGroup,O180,17)*INDEX(RelAdjFactors,O180,15),0)</f>
        <v>5.7263495864962191E-3</v>
      </c>
      <c r="X187" s="1140">
        <f>IFERROR(AlphaSTD*MAX(AlphaTTI*(1+INDEX(ReliabilityModelGroup,O180,24)*V187)^BetaTTI-1,0)^BetaSTD*INDEX(ReliabilityModelGroup,O180,23)/INDEX(ReliabilityModelGroup,O180,24)*INDEX(RelAdjFactors,O180,15),0)</f>
        <v>5.7263495864962191E-3</v>
      </c>
      <c r="Y187" s="1146">
        <f>MIN(Q187,R187)*(W187-X187)*(INDEX(ReliabilityModelGroup,A180,12)*AnnualFactor)</f>
        <v>0</v>
      </c>
      <c r="Z187" s="1147">
        <f>IF(AND(R187&gt;Q187, Induced="Y"), (R187-Q187)*(W187-X187)*0.5*(INDEX(ReliabilityModelGroup,A180,12)*AnnualFactor), 0)</f>
        <v>0</v>
      </c>
      <c r="AA187" s="1143">
        <f>(Y187+Z187)*ValTimeTruck*ValRelTruck*IF(IM,ValTimeIMFactor,1)*(1+TTUprater)^($B187-YearCurrent)</f>
        <v>0</v>
      </c>
      <c r="AB187" s="370">
        <f>AA187/(1+DiscRate)^(P187-YearCurrent)</f>
        <v>0</v>
      </c>
    </row>
    <row r="188" spans="1:28" x14ac:dyDescent="0.2">
      <c r="B188" s="1148"/>
      <c r="C188" s="386"/>
      <c r="D188" s="386"/>
      <c r="E188" s="386"/>
      <c r="F188" s="386"/>
      <c r="G188" s="434"/>
      <c r="H188" s="434"/>
      <c r="I188" s="434"/>
      <c r="J188" s="434"/>
      <c r="K188" s="1149"/>
      <c r="L188" s="1149"/>
      <c r="M188" s="1150"/>
      <c r="N188" s="389"/>
      <c r="P188" s="1148"/>
      <c r="Q188" s="386"/>
      <c r="R188" s="386"/>
      <c r="S188" s="386"/>
      <c r="T188" s="386"/>
      <c r="U188" s="434"/>
      <c r="V188" s="434"/>
      <c r="W188" s="1151"/>
      <c r="X188" s="1152"/>
      <c r="Y188" s="1149"/>
      <c r="Z188" s="1149"/>
      <c r="AA188" s="1150"/>
      <c r="AB188" s="389"/>
    </row>
    <row r="189" spans="1:28" x14ac:dyDescent="0.2">
      <c r="B189" s="375">
        <f>YearOpen</f>
        <v>2026</v>
      </c>
      <c r="C189" s="393">
        <f>MAX(TREND(C186:C187,$B186:$B187,$B189),0)</f>
        <v>4700.880407124685</v>
      </c>
      <c r="D189" s="394">
        <f>MAX(TREND(D186:D187,$B186:$B187,$B189),0)</f>
        <v>4196.5343511450337</v>
      </c>
      <c r="E189" s="1153">
        <f>MAX(TREND(E186:E187,$B186:$B187,$B189),0)</f>
        <v>69.452857142857141</v>
      </c>
      <c r="F189" s="1154">
        <f>MAX(TREND(F186:F187,$B186:$B187,$B189),0)</f>
        <v>69.552884615384613</v>
      </c>
      <c r="G189" s="1139">
        <f>IFERROR(MAX(1/E189-1/INDEX(ReliabilityModelGroup,A180,17), 0),0)</f>
        <v>0</v>
      </c>
      <c r="H189" s="1140">
        <f>IFERROR(MAX(1/F189-1/INDEX(ReliabilityModelGroup,A180,24), 0),0)</f>
        <v>0</v>
      </c>
      <c r="I189" s="1139">
        <f>IFERROR(AlphaSTD*MAX(AlphaTTI*(1+INDEX(ReliabilityModelGroup,A180,17)*G189)^BetaTTI-1,0)^BetaSTD*INDEX(ReliabilityModelGroup,A180,16)/INDEX(ReliabilityModelGroup,A180,17)*INDEX(RelAdjFactors,A180,5),0)</f>
        <v>5.7263495864962191E-3</v>
      </c>
      <c r="J189" s="1140">
        <f>IFERROR(AlphaSTD*MAX(AlphaTTI*(1+INDEX(ReliabilityModelGroup,A180,24)*H189)^BetaTTI-1,0)^BetaSTD*INDEX(ReliabilityModelGroup,A180,23)/INDEX(ReliabilityModelGroup,A180,24)*INDEX(RelAdjFactors,A180,5),0)</f>
        <v>5.7263495864962191E-3</v>
      </c>
      <c r="K189" s="1155">
        <f>MIN(C189*INDEX(ReliabilityModelGroup,A180,18),D189*INDEX(ReliabilityModelGroup,A180,25))*(I189-J189)*(INDEX(ReliabilityModelGroup,A180,12)*AnnualFactor)</f>
        <v>0</v>
      </c>
      <c r="L189" s="1142">
        <f>IF(AND(D189*INDEX(ReliabilityModelGroup,A180,25)&gt;C189*INDEX(ReliabilityModelGroup,A180,18), Induced="Y"), (D189*INDEX(ReliabilityModelGroup,A180,25)-C189*INDEX(ReliabilityModelGroup,A180,18))*(I189-J189)*0.5*(INDEX(ReliabilityModelGroup,A180,12)*AnnualFactor), 0)</f>
        <v>0</v>
      </c>
      <c r="M189" s="1143">
        <f t="shared" ref="M189:M208" si="44">(K189+L189)*ValTimeAuto*ValRelAuto*IF(IM,ValTimeIMFactor,1)*(1+TTUprater)^($B189-YearCurrent)</f>
        <v>0</v>
      </c>
      <c r="N189" s="370">
        <f t="shared" ref="N189:N208" si="45">M189/(1+DiscRate)^(B189-YearCurrent)</f>
        <v>0</v>
      </c>
      <c r="P189" s="375">
        <f>YearOpen</f>
        <v>2026</v>
      </c>
      <c r="Q189" s="393">
        <f>MAX(TREND(Q186:Q187,$P186:$P187,$P189),0)</f>
        <v>1484.4885496183269</v>
      </c>
      <c r="R189" s="394">
        <f>MAX(TREND(R186:R187,$P186:$P187,$P189),0)</f>
        <v>1325.2213740458028</v>
      </c>
      <c r="S189" s="1153">
        <f>MAX(TREND(S186:S187,$P186:$P187,$P189),0)</f>
        <v>69.452857142857141</v>
      </c>
      <c r="T189" s="1154">
        <f>MAX(TREND(T186:T187,$P186:$P187,$P189),0)</f>
        <v>69.552884615384613</v>
      </c>
      <c r="U189" s="1139">
        <f>IFERROR(MAX(1/S189-1/INDEX(ReliabilityModelGroup,O180,17), 0),0)</f>
        <v>0</v>
      </c>
      <c r="V189" s="1140">
        <f>IFERROR(MAX(1/T189-1/INDEX(ReliabilityModelGroup,O180,24), 0),0)</f>
        <v>0</v>
      </c>
      <c r="W189" s="1139">
        <f>IFERROR(AlphaSTD*MAX(AlphaTTI*(1+INDEX(ReliabilityModelGroup,O180,17)*U189)^BetaTTI-1,0)^BetaSTD*INDEX(ReliabilityModelGroup,O180,16)/INDEX(ReliabilityModelGroup,O180,17)*INDEX(RelAdjFactors,O180,15),0)</f>
        <v>5.7263495864962191E-3</v>
      </c>
      <c r="X189" s="1140">
        <f>IFERROR(AlphaSTD*MAX(AlphaTTI*(1+INDEX(ReliabilityModelGroup,O180,24)*V189)^BetaTTI-1,0)^BetaSTD*INDEX(ReliabilityModelGroup,O180,23)/INDEX(ReliabilityModelGroup,O180,24)*INDEX(RelAdjFactors,O180,15),0)</f>
        <v>5.7263495864962191E-3</v>
      </c>
      <c r="Y189" s="1155">
        <f>MIN(Q189,R189)*(W189-X189)*(INDEX(ReliabilityModelGroup,A180,12)*AnnualFactor)</f>
        <v>0</v>
      </c>
      <c r="Z189" s="1142">
        <f>IF(AND(R189&gt;Q189, Induced="Y"), (R189-Q189)*(W189-X189)*0.5*(INDEX(ReliabilityModelGroup,A180,12)*AnnualFactor), 0)</f>
        <v>0</v>
      </c>
      <c r="AA189" s="1143">
        <f t="shared" ref="AA189:AA208" si="46">(Y189+Z189)*ValTimeTruck*ValRelTruck*IF(IM,ValTimeIMFactor,1)*(1+TTUprater)^($B189-YearCurrent)</f>
        <v>0</v>
      </c>
      <c r="AB189" s="370">
        <f t="shared" ref="AB189:AB208" si="47">AA189/(1+DiscRate)^(P189-YearCurrent)</f>
        <v>0</v>
      </c>
    </row>
    <row r="190" spans="1:28" x14ac:dyDescent="0.2">
      <c r="B190" s="375">
        <f>B189+1</f>
        <v>2027</v>
      </c>
      <c r="C190" s="401">
        <f>MAX(TREND(C186:C187,$B186:$B187,$B190),0)</f>
        <v>4764.1992366412305</v>
      </c>
      <c r="D190" s="402">
        <f>MAX(TREND(D186:D187,$B186:$B187,$B190),0)</f>
        <v>4244.3969465648843</v>
      </c>
      <c r="E190" s="725">
        <f>MAX(TREND(E186:E187,$B186:$B187,$B190),0)</f>
        <v>69.435645416733308</v>
      </c>
      <c r="F190" s="726">
        <f>MAX(TREND(F186:F187,$B186:$B187,$B190),0)</f>
        <v>69.540845066019813</v>
      </c>
      <c r="G190" s="1139">
        <f>IFERROR(MAX(1/E190-1/INDEX(ReliabilityModelGroup,A180,17), 0),0)</f>
        <v>0</v>
      </c>
      <c r="H190" s="1140">
        <f>IFERROR(MAX(1/F190-1/INDEX(ReliabilityModelGroup,A180,24), 0),0)</f>
        <v>0</v>
      </c>
      <c r="I190" s="1139">
        <f>IFERROR(AlphaSTD*MAX(AlphaTTI*(1+INDEX(ReliabilityModelGroup,A180,17)*G190)^BetaTTI-1,0)^BetaSTD*INDEX(ReliabilityModelGroup,A180,16)/INDEX(ReliabilityModelGroup,A180,17)*INDEX(RelAdjFactors,A180,5),0)</f>
        <v>5.7263495864962191E-3</v>
      </c>
      <c r="J190" s="1140">
        <f>IFERROR(AlphaSTD*MAX(AlphaTTI*(1+INDEX(ReliabilityModelGroup,A180,24)*H190)^BetaTTI-1,0)^BetaSTD*INDEX(ReliabilityModelGroup,A180,23)/INDEX(ReliabilityModelGroup,A180,24)*INDEX(RelAdjFactors,A180,5),0)</f>
        <v>5.7263495864962191E-3</v>
      </c>
      <c r="K190" s="1156">
        <f>MIN(C190*INDEX(ReliabilityModelGroup,A180,18),D190*INDEX(ReliabilityModelGroup,A180,25))*(I190-J190)*(INDEX(ReliabilityModelGroup,A180,12)*AnnualFactor)</f>
        <v>0</v>
      </c>
      <c r="L190" s="1157">
        <f>IF(AND(D190*INDEX(ReliabilityModelGroup,A180,25)&gt;C190*INDEX(ReliabilityModelGroup,A180,18), Induced="Y"), (D190*INDEX(ReliabilityModelGroup,A180,25)-C190*INDEX(ReliabilityModelGroup,A180,18))*(I190-J190)*0.5*(INDEX(ReliabilityModelGroup,A180,12)*AnnualFactor), 0)</f>
        <v>0</v>
      </c>
      <c r="M190" s="1143">
        <f t="shared" si="44"/>
        <v>0</v>
      </c>
      <c r="N190" s="370">
        <f t="shared" si="45"/>
        <v>0</v>
      </c>
      <c r="P190" s="375">
        <f>P189+1</f>
        <v>2027</v>
      </c>
      <c r="Q190" s="401">
        <f>MAX(TREND(Q186:Q187,$P186:$P187,$P190),0)</f>
        <v>1504.4839694656548</v>
      </c>
      <c r="R190" s="402">
        <f>MAX(TREND(R186:R187,$P186:$P187,$P190),0)</f>
        <v>1340.3358778625952</v>
      </c>
      <c r="S190" s="725">
        <f>MAX(TREND(S186:S187,$P186:$P187,$P190),0)</f>
        <v>69.435645416733308</v>
      </c>
      <c r="T190" s="726">
        <f>MAX(TREND(T186:T187,$P186:$P187,$P190),0)</f>
        <v>69.540845066019813</v>
      </c>
      <c r="U190" s="1139">
        <f>IFERROR(MAX(1/S190-1/INDEX(ReliabilityModelGroup,O180,17), 0),0)</f>
        <v>0</v>
      </c>
      <c r="V190" s="1140">
        <f>IFERROR(MAX(1/T190-1/INDEX(ReliabilityModelGroup,O180,24), 0),0)</f>
        <v>0</v>
      </c>
      <c r="W190" s="1139">
        <f>IFERROR(AlphaSTD*MAX(AlphaTTI*(1+INDEX(ReliabilityModelGroup,O180,17)*U190)^BetaTTI-1,0)^BetaSTD*INDEX(ReliabilityModelGroup,O180,16)/INDEX(ReliabilityModelGroup,O180,17)*INDEX(RelAdjFactors,O180,15),0)</f>
        <v>5.7263495864962191E-3</v>
      </c>
      <c r="X190" s="1140">
        <f>IFERROR(AlphaSTD*MAX(AlphaTTI*(1+INDEX(ReliabilityModelGroup,O180,24)*V190)^BetaTTI-1,0)^BetaSTD*INDEX(ReliabilityModelGroup,O180,23)/INDEX(ReliabilityModelGroup,O180,24)*INDEX(RelAdjFactors,O180,15),0)</f>
        <v>5.7263495864962191E-3</v>
      </c>
      <c r="Y190" s="1156">
        <f>MIN(Q190,R190)*(W190-X190)*(INDEX(ReliabilityModelGroup,A180,12)*AnnualFactor)</f>
        <v>0</v>
      </c>
      <c r="Z190" s="1157">
        <f>IF(AND(R190&gt;Q190, Induced="Y"), (R190-Q190)*(W190-X190)*0.5*(INDEX(ReliabilityModelGroup,A180,12)*AnnualFactor), 0)</f>
        <v>0</v>
      </c>
      <c r="AA190" s="1143">
        <f t="shared" si="46"/>
        <v>0</v>
      </c>
      <c r="AB190" s="370">
        <f t="shared" si="47"/>
        <v>0</v>
      </c>
    </row>
    <row r="191" spans="1:28" x14ac:dyDescent="0.2">
      <c r="B191" s="375">
        <f t="shared" ref="B191:B208" si="48">B190+1</f>
        <v>2028</v>
      </c>
      <c r="C191" s="401">
        <f>MAX(TREND(C186:C187,$B186:$B187,$B191),0)</f>
        <v>4827.5180661577615</v>
      </c>
      <c r="D191" s="402">
        <f>MAX(TREND(D186:D187,$B186:$B187,$B191),0)</f>
        <v>4292.2595419847203</v>
      </c>
      <c r="E191" s="725">
        <f>MAX(TREND(E186:E187,$B186:$B187,$B191),0)</f>
        <v>69.418433690609504</v>
      </c>
      <c r="F191" s="726">
        <f>MAX(TREND(F186:F187,$B186:$B187,$B191),0)</f>
        <v>69.528805516654998</v>
      </c>
      <c r="G191" s="1139">
        <f>IFERROR(MAX(1/E191-1/INDEX(ReliabilityModelGroup,A180,17), 0),0)</f>
        <v>0</v>
      </c>
      <c r="H191" s="1140">
        <f>IFERROR(MAX(1/F191-1/INDEX(ReliabilityModelGroup,A180,24), 0),0)</f>
        <v>0</v>
      </c>
      <c r="I191" s="1139">
        <f>IFERROR(AlphaSTD*MAX(AlphaTTI*(1+INDEX(ReliabilityModelGroup,A180,17)*G191)^BetaTTI-1,0)^BetaSTD*INDEX(ReliabilityModelGroup,A180,16)/INDEX(ReliabilityModelGroup,A180,17)*INDEX(RelAdjFactors,A180,5),0)</f>
        <v>5.7263495864962191E-3</v>
      </c>
      <c r="J191" s="1140">
        <f>IFERROR(AlphaSTD*MAX(AlphaTTI*(1+INDEX(ReliabilityModelGroup,A180,24)*H191)^BetaTTI-1,0)^BetaSTD*INDEX(ReliabilityModelGroup,A180,23)/INDEX(ReliabilityModelGroup,A180,24)*INDEX(RelAdjFactors,A180,5),0)</f>
        <v>5.7263495864962191E-3</v>
      </c>
      <c r="K191" s="1156">
        <f>MIN(C191*INDEX(ReliabilityModelGroup,A180,18),D191*INDEX(ReliabilityModelGroup,A180,25))*(I191-J191)*(INDEX(ReliabilityModelGroup,A180,12)*AnnualFactor)</f>
        <v>0</v>
      </c>
      <c r="L191" s="1157">
        <f>IF(AND(D191*INDEX(ReliabilityModelGroup,A180,25)&gt;C191*INDEX(ReliabilityModelGroup,A180,18), Induced="Y"), (D191*INDEX(ReliabilityModelGroup,A180,25)-C191*INDEX(ReliabilityModelGroup,A180,18))*(I191-J191)*0.5*(INDEX(ReliabilityModelGroup,A180,12)*AnnualFactor), 0)</f>
        <v>0</v>
      </c>
      <c r="M191" s="1143">
        <f t="shared" si="44"/>
        <v>0</v>
      </c>
      <c r="N191" s="370">
        <f t="shared" si="45"/>
        <v>0</v>
      </c>
      <c r="P191" s="375">
        <f t="shared" ref="P191:P208" si="49">P190+1</f>
        <v>2028</v>
      </c>
      <c r="Q191" s="401">
        <f>MAX(TREND(Q186:Q187,$P186:$P187,$P191),0)</f>
        <v>1524.4793893129827</v>
      </c>
      <c r="R191" s="402">
        <f>MAX(TREND(R186:R187,$P186:$P187,$P191),0)</f>
        <v>1355.4503816793913</v>
      </c>
      <c r="S191" s="725">
        <f>MAX(TREND(S186:S187,$P186:$P187,$P191),0)</f>
        <v>69.418433690609504</v>
      </c>
      <c r="T191" s="726">
        <f>MAX(TREND(T186:T187,$P186:$P187,$P191),0)</f>
        <v>69.528805516654998</v>
      </c>
      <c r="U191" s="1139">
        <f>IFERROR(MAX(1/S191-1/INDEX(ReliabilityModelGroup,O180,17), 0),0)</f>
        <v>0</v>
      </c>
      <c r="V191" s="1140">
        <f>IFERROR(MAX(1/T191-1/INDEX(ReliabilityModelGroup,O180,24), 0),0)</f>
        <v>0</v>
      </c>
      <c r="W191" s="1139">
        <f>IFERROR(AlphaSTD*MAX(AlphaTTI*(1+INDEX(ReliabilityModelGroup,O180,17)*U191)^BetaTTI-1,0)^BetaSTD*INDEX(ReliabilityModelGroup,O180,16)/INDEX(ReliabilityModelGroup,O180,17)*INDEX(RelAdjFactors,O180,15),0)</f>
        <v>5.7263495864962191E-3</v>
      </c>
      <c r="X191" s="1140">
        <f>IFERROR(AlphaSTD*MAX(AlphaTTI*(1+INDEX(ReliabilityModelGroup,O180,24)*V191)^BetaTTI-1,0)^BetaSTD*INDEX(ReliabilityModelGroup,O180,23)/INDEX(ReliabilityModelGroup,O180,24)*INDEX(RelAdjFactors,O180,15),0)</f>
        <v>5.7263495864962191E-3</v>
      </c>
      <c r="Y191" s="1156">
        <f>MIN(Q191,R191)*(W191-X191)*(INDEX(ReliabilityModelGroup,A180,12)*AnnualFactor)</f>
        <v>0</v>
      </c>
      <c r="Z191" s="1157">
        <f>IF(AND(R191&gt;Q191, Induced="Y"), (R191-Q191)*(W191-X191)*0.5*(INDEX(ReliabilityModelGroup,A180,12)*AnnualFactor), 0)</f>
        <v>0</v>
      </c>
      <c r="AA191" s="1143">
        <f t="shared" si="46"/>
        <v>0</v>
      </c>
      <c r="AB191" s="370">
        <f t="shared" si="47"/>
        <v>0</v>
      </c>
    </row>
    <row r="192" spans="1:28" x14ac:dyDescent="0.2">
      <c r="B192" s="375">
        <f t="shared" si="48"/>
        <v>2029</v>
      </c>
      <c r="C192" s="401">
        <f>MAX(TREND(C186:C187,$B186:$B187,$B192),0)</f>
        <v>4890.836895674307</v>
      </c>
      <c r="D192" s="402">
        <f>MAX(TREND(D186:D187,$B186:$B187,$B192),0)</f>
        <v>4340.1221374045708</v>
      </c>
      <c r="E192" s="725">
        <f>MAX(TREND(E186:E187,$B186:$B187,$B192),0)</f>
        <v>69.401221964485671</v>
      </c>
      <c r="F192" s="726">
        <f>MAX(TREND(F186:F187,$B186:$B187,$B192),0)</f>
        <v>69.516765967290183</v>
      </c>
      <c r="G192" s="1139">
        <f>IFERROR(MAX(1/E192-1/INDEX(ReliabilityModelGroup,A180,17), 0),0)</f>
        <v>0</v>
      </c>
      <c r="H192" s="1140">
        <f>IFERROR(MAX(1/F192-1/INDEX(ReliabilityModelGroup,A180,24), 0),0)</f>
        <v>0</v>
      </c>
      <c r="I192" s="1139">
        <f>IFERROR(AlphaSTD*MAX(AlphaTTI*(1+INDEX(ReliabilityModelGroup,A180,17)*G192)^BetaTTI-1,0)^BetaSTD*INDEX(ReliabilityModelGroup,A180,16)/INDEX(ReliabilityModelGroup,A180,17)*INDEX(RelAdjFactors,A180,5),0)</f>
        <v>5.7263495864962191E-3</v>
      </c>
      <c r="J192" s="1140">
        <f>IFERROR(AlphaSTD*MAX(AlphaTTI*(1+INDEX(ReliabilityModelGroup,A180,24)*H192)^BetaTTI-1,0)^BetaSTD*INDEX(ReliabilityModelGroup,A180,23)/INDEX(ReliabilityModelGroup,A180,24)*INDEX(RelAdjFactors,A180,5),0)</f>
        <v>5.7263495864962191E-3</v>
      </c>
      <c r="K192" s="1156">
        <f>MIN(C192*INDEX(ReliabilityModelGroup,A180,18),D192*INDEX(ReliabilityModelGroup,A180,25))*(I192-J192)*(INDEX(ReliabilityModelGroup,A180,12)*AnnualFactor)</f>
        <v>0</v>
      </c>
      <c r="L192" s="1157">
        <f>IF(AND(D192*INDEX(ReliabilityModelGroup,A180,25)&gt;C192*INDEX(ReliabilityModelGroup,A180,18), Induced="Y"), (D192*INDEX(ReliabilityModelGroup,A180,25)-C192*INDEX(ReliabilityModelGroup,A180,18))*(I192-J192)*0.5*(INDEX(ReliabilityModelGroup,A180,12)*AnnualFactor), 0)</f>
        <v>0</v>
      </c>
      <c r="M192" s="1143">
        <f t="shared" si="44"/>
        <v>0</v>
      </c>
      <c r="N192" s="370">
        <f t="shared" si="45"/>
        <v>0</v>
      </c>
      <c r="P192" s="375">
        <f t="shared" si="49"/>
        <v>2029</v>
      </c>
      <c r="Q192" s="401">
        <f>MAX(TREND(Q186:Q187,$P186:$P187,$P192),0)</f>
        <v>1544.4748091603105</v>
      </c>
      <c r="R192" s="402">
        <f>MAX(TREND(R186:R187,$P186:$P187,$P192),0)</f>
        <v>1370.5648854961837</v>
      </c>
      <c r="S192" s="725">
        <f>MAX(TREND(S186:S187,$P186:$P187,$P192),0)</f>
        <v>69.401221964485671</v>
      </c>
      <c r="T192" s="726">
        <f>MAX(TREND(T186:T187,$P186:$P187,$P192),0)</f>
        <v>69.516765967290183</v>
      </c>
      <c r="U192" s="1139">
        <f>IFERROR(MAX(1/S192-1/INDEX(ReliabilityModelGroup,O180,17), 0),0)</f>
        <v>0</v>
      </c>
      <c r="V192" s="1140">
        <f>IFERROR(MAX(1/T192-1/INDEX(ReliabilityModelGroup,O180,24), 0),0)</f>
        <v>0</v>
      </c>
      <c r="W192" s="1139">
        <f>IFERROR(AlphaSTD*MAX(AlphaTTI*(1+INDEX(ReliabilityModelGroup,O180,17)*U192)^BetaTTI-1,0)^BetaSTD*INDEX(ReliabilityModelGroup,O180,16)/INDEX(ReliabilityModelGroup,O180,17)*INDEX(RelAdjFactors,O180,15),0)</f>
        <v>5.7263495864962191E-3</v>
      </c>
      <c r="X192" s="1140">
        <f>IFERROR(AlphaSTD*MAX(AlphaTTI*(1+INDEX(ReliabilityModelGroup,O180,24)*V192)^BetaTTI-1,0)^BetaSTD*INDEX(ReliabilityModelGroup,O180,23)/INDEX(ReliabilityModelGroup,O180,24)*INDEX(RelAdjFactors,O180,15),0)</f>
        <v>5.7263495864962191E-3</v>
      </c>
      <c r="Y192" s="1156">
        <f>MIN(Q192,R192)*(W192-X192)*(INDEX(ReliabilityModelGroup,A180,12)*AnnualFactor)</f>
        <v>0</v>
      </c>
      <c r="Z192" s="1157">
        <f>IF(AND(R192&gt;Q192, Induced="Y"), (R192-Q192)*(W192-X192)*0.5*(INDEX(ReliabilityModelGroup,A180,12)*AnnualFactor), 0)</f>
        <v>0</v>
      </c>
      <c r="AA192" s="1143">
        <f t="shared" si="46"/>
        <v>0</v>
      </c>
      <c r="AB192" s="370">
        <f t="shared" si="47"/>
        <v>0</v>
      </c>
    </row>
    <row r="193" spans="2:28" x14ac:dyDescent="0.2">
      <c r="B193" s="375">
        <f t="shared" si="48"/>
        <v>2030</v>
      </c>
      <c r="C193" s="401">
        <f>MAX(TREND(C186:C187,$B186:$B187,$B193),0)</f>
        <v>4954.155725190838</v>
      </c>
      <c r="D193" s="402">
        <f>MAX(TREND(D186:D187,$B186:$B187,$B193),0)</f>
        <v>4387.9847328244214</v>
      </c>
      <c r="E193" s="725">
        <f>MAX(TREND(E186:E187,$B186:$B187,$B193),0)</f>
        <v>69.384010238361867</v>
      </c>
      <c r="F193" s="726">
        <f>MAX(TREND(F186:F187,$B186:$B187,$B193),0)</f>
        <v>69.504726417925383</v>
      </c>
      <c r="G193" s="1139">
        <f>IFERROR(MAX(1/E193-1/INDEX(ReliabilityModelGroup,A180,17), 0),0)</f>
        <v>0</v>
      </c>
      <c r="H193" s="1140">
        <f>IFERROR(MAX(1/F193-1/INDEX(ReliabilityModelGroup,A180,24), 0),0)</f>
        <v>0</v>
      </c>
      <c r="I193" s="1139">
        <f>IFERROR(AlphaSTD*MAX(AlphaTTI*(1+INDEX(ReliabilityModelGroup,A180,17)*G193)^BetaTTI-1,0)^BetaSTD*INDEX(ReliabilityModelGroup,A180,16)/INDEX(ReliabilityModelGroup,A180,17)*INDEX(RelAdjFactors,A180,5),0)</f>
        <v>5.7263495864962191E-3</v>
      </c>
      <c r="J193" s="1140">
        <f>IFERROR(AlphaSTD*MAX(AlphaTTI*(1+INDEX(ReliabilityModelGroup,A180,24)*H193)^BetaTTI-1,0)^BetaSTD*INDEX(ReliabilityModelGroup,A180,23)/INDEX(ReliabilityModelGroup,A180,24)*INDEX(RelAdjFactors,A180,5),0)</f>
        <v>5.7263495864962191E-3</v>
      </c>
      <c r="K193" s="1156">
        <f>MIN(C193*INDEX(ReliabilityModelGroup,A180,18),D193*INDEX(ReliabilityModelGroup,A180,25))*(I193-J193)*(INDEX(ReliabilityModelGroup,A180,12)*AnnualFactor)</f>
        <v>0</v>
      </c>
      <c r="L193" s="1157">
        <f>IF(AND(D193*INDEX(ReliabilityModelGroup,A180,25)&gt;C193*INDEX(ReliabilityModelGroup,A180,18), Induced="Y"), (D193*INDEX(ReliabilityModelGroup,A180,25)-C193*INDEX(ReliabilityModelGroup,A180,18))*(I193-J193)*0.5*(INDEX(ReliabilityModelGroup,A180,12)*AnnualFactor), 0)</f>
        <v>0</v>
      </c>
      <c r="M193" s="1143">
        <f t="shared" si="44"/>
        <v>0</v>
      </c>
      <c r="N193" s="370">
        <f t="shared" si="45"/>
        <v>0</v>
      </c>
      <c r="P193" s="375">
        <f t="shared" si="49"/>
        <v>2030</v>
      </c>
      <c r="Q193" s="401">
        <f>MAX(TREND(Q186:Q187,$P186:$P187,$P193),0)</f>
        <v>1564.4702290076384</v>
      </c>
      <c r="R193" s="402">
        <f>MAX(TREND(R186:R187,$P186:$P187,$P193),0)</f>
        <v>1385.6793893129798</v>
      </c>
      <c r="S193" s="725">
        <f>MAX(TREND(S186:S187,$P186:$P187,$P193),0)</f>
        <v>69.384010238361867</v>
      </c>
      <c r="T193" s="726">
        <f>MAX(TREND(T186:T187,$P186:$P187,$P193),0)</f>
        <v>69.504726417925383</v>
      </c>
      <c r="U193" s="1139">
        <f>IFERROR(MAX(1/S193-1/INDEX(ReliabilityModelGroup,O180,17), 0),0)</f>
        <v>0</v>
      </c>
      <c r="V193" s="1140">
        <f>IFERROR(MAX(1/T193-1/INDEX(ReliabilityModelGroup,O180,24), 0),0)</f>
        <v>0</v>
      </c>
      <c r="W193" s="1139">
        <f>IFERROR(AlphaSTD*MAX(AlphaTTI*(1+INDEX(ReliabilityModelGroup,O180,17)*U193)^BetaTTI-1,0)^BetaSTD*INDEX(ReliabilityModelGroup,O180,16)/INDEX(ReliabilityModelGroup,O180,17)*INDEX(RelAdjFactors,O180,15),0)</f>
        <v>5.7263495864962191E-3</v>
      </c>
      <c r="X193" s="1140">
        <f>IFERROR(AlphaSTD*MAX(AlphaTTI*(1+INDEX(ReliabilityModelGroup,O180,24)*V193)^BetaTTI-1,0)^BetaSTD*INDEX(ReliabilityModelGroup,O180,23)/INDEX(ReliabilityModelGroup,O180,24)*INDEX(RelAdjFactors,O180,15),0)</f>
        <v>5.7263495864962191E-3</v>
      </c>
      <c r="Y193" s="1156">
        <f>MIN(Q193,R193)*(W193-X193)*(INDEX(ReliabilityModelGroup,A180,12)*AnnualFactor)</f>
        <v>0</v>
      </c>
      <c r="Z193" s="1157">
        <f>IF(AND(R193&gt;Q193, Induced="Y"), (R193-Q193)*(W193-X193)*0.5*(INDEX(ReliabilityModelGroup,A180,12)*AnnualFactor), 0)</f>
        <v>0</v>
      </c>
      <c r="AA193" s="1143">
        <f t="shared" si="46"/>
        <v>0</v>
      </c>
      <c r="AB193" s="370">
        <f t="shared" si="47"/>
        <v>0</v>
      </c>
    </row>
    <row r="194" spans="2:28" x14ac:dyDescent="0.2">
      <c r="B194" s="375">
        <f t="shared" si="48"/>
        <v>2031</v>
      </c>
      <c r="C194" s="401">
        <f>MAX(TREND(C186:C187,$B186:$B187,$B194),0)</f>
        <v>5017.4745547073835</v>
      </c>
      <c r="D194" s="402">
        <f>MAX(TREND(D186:D187,$B186:$B187,$B194),0)</f>
        <v>4435.8473282442719</v>
      </c>
      <c r="E194" s="725">
        <f>MAX(TREND(E186:E187,$B186:$B187,$B194),0)</f>
        <v>69.366798512238034</v>
      </c>
      <c r="F194" s="726">
        <f>MAX(TREND(F186:F187,$B186:$B187,$B194),0)</f>
        <v>69.492686868560568</v>
      </c>
      <c r="G194" s="1139">
        <f>IFERROR(MAX(1/E194-1/INDEX(ReliabilityModelGroup,A180,17), 0),0)</f>
        <v>0</v>
      </c>
      <c r="H194" s="1140">
        <f>IFERROR(MAX(1/F194-1/INDEX(ReliabilityModelGroup,A180,24), 0),0)</f>
        <v>0</v>
      </c>
      <c r="I194" s="1139">
        <f>IFERROR(AlphaSTD*MAX(AlphaTTI*(1+INDEX(ReliabilityModelGroup,A180,17)*G194)^BetaTTI-1,0)^BetaSTD*INDEX(ReliabilityModelGroup,A180,16)/INDEX(ReliabilityModelGroup,A180,17)*INDEX(RelAdjFactors,A180,5),0)</f>
        <v>5.7263495864962191E-3</v>
      </c>
      <c r="J194" s="1140">
        <f>IFERROR(AlphaSTD*MAX(AlphaTTI*(1+INDEX(ReliabilityModelGroup,A180,24)*H194)^BetaTTI-1,0)^BetaSTD*INDEX(ReliabilityModelGroup,A180,23)/INDEX(ReliabilityModelGroup,A180,24)*INDEX(RelAdjFactors,A180,5),0)</f>
        <v>5.7263495864962191E-3</v>
      </c>
      <c r="K194" s="1156">
        <f>MIN(C194*INDEX(ReliabilityModelGroup,A180,18),D194*INDEX(ReliabilityModelGroup,A180,25))*(I194-J194)*(INDEX(ReliabilityModelGroup,A180,12)*AnnualFactor)</f>
        <v>0</v>
      </c>
      <c r="L194" s="1157">
        <f>IF(AND(D194*INDEX(ReliabilityModelGroup,A180,25)&gt;C194*INDEX(ReliabilityModelGroup,A180,18), Induced="Y"), (D194*INDEX(ReliabilityModelGroup,A180,25)-C194*INDEX(ReliabilityModelGroup,A180,18))*(I194-J194)*0.5*(INDEX(ReliabilityModelGroup,A180,12)*AnnualFactor), 0)</f>
        <v>0</v>
      </c>
      <c r="M194" s="1143">
        <f t="shared" si="44"/>
        <v>0</v>
      </c>
      <c r="N194" s="370">
        <f t="shared" si="45"/>
        <v>0</v>
      </c>
      <c r="P194" s="375">
        <f t="shared" si="49"/>
        <v>2031</v>
      </c>
      <c r="Q194" s="401">
        <f>MAX(TREND(Q186:Q187,$P186:$P187,$P194),0)</f>
        <v>1584.4656488549663</v>
      </c>
      <c r="R194" s="402">
        <f>MAX(TREND(R186:R187,$P186:$P187,$P194),0)</f>
        <v>1400.7938931297722</v>
      </c>
      <c r="S194" s="725">
        <f>MAX(TREND(S186:S187,$P186:$P187,$P194),0)</f>
        <v>69.366798512238034</v>
      </c>
      <c r="T194" s="726">
        <f>MAX(TREND(T186:T187,$P186:$P187,$P194),0)</f>
        <v>69.492686868560568</v>
      </c>
      <c r="U194" s="1139">
        <f>IFERROR(MAX(1/S194-1/INDEX(ReliabilityModelGroup,O180,17), 0),0)</f>
        <v>0</v>
      </c>
      <c r="V194" s="1140">
        <f>IFERROR(MAX(1/T194-1/INDEX(ReliabilityModelGroup,O180,24), 0),0)</f>
        <v>0</v>
      </c>
      <c r="W194" s="1139">
        <f>IFERROR(AlphaSTD*MAX(AlphaTTI*(1+INDEX(ReliabilityModelGroup,O180,17)*U194)^BetaTTI-1,0)^BetaSTD*INDEX(ReliabilityModelGroup,O180,16)/INDEX(ReliabilityModelGroup,O180,17)*INDEX(RelAdjFactors,O180,15),0)</f>
        <v>5.7263495864962191E-3</v>
      </c>
      <c r="X194" s="1140">
        <f>IFERROR(AlphaSTD*MAX(AlphaTTI*(1+INDEX(ReliabilityModelGroup,O180,24)*V194)^BetaTTI-1,0)^BetaSTD*INDEX(ReliabilityModelGroup,O180,23)/INDEX(ReliabilityModelGroup,O180,24)*INDEX(RelAdjFactors,O180,15),0)</f>
        <v>5.7263495864962191E-3</v>
      </c>
      <c r="Y194" s="1156">
        <f>MIN(Q194,R194)*(W194-X194)*(INDEX(ReliabilityModelGroup,A180,12)*AnnualFactor)</f>
        <v>0</v>
      </c>
      <c r="Z194" s="1157">
        <f>IF(AND(R194&gt;Q194, Induced="Y"), (R194-Q194)*(W194-X194)*0.5*(INDEX(ReliabilityModelGroup,A180,12)*AnnualFactor), 0)</f>
        <v>0</v>
      </c>
      <c r="AA194" s="1143">
        <f t="shared" si="46"/>
        <v>0</v>
      </c>
      <c r="AB194" s="370">
        <f t="shared" si="47"/>
        <v>0</v>
      </c>
    </row>
    <row r="195" spans="2:28" x14ac:dyDescent="0.2">
      <c r="B195" s="375">
        <f t="shared" si="48"/>
        <v>2032</v>
      </c>
      <c r="C195" s="401">
        <f>MAX(TREND(C186:C187,$B186:$B187,$B195),0)</f>
        <v>5080.793384223929</v>
      </c>
      <c r="D195" s="402">
        <f>MAX(TREND(D186:D187,$B186:$B187,$B195),0)</f>
        <v>4483.7099236641225</v>
      </c>
      <c r="E195" s="725">
        <f>MAX(TREND(E186:E187,$B186:$B187,$B195),0)</f>
        <v>69.349586786114216</v>
      </c>
      <c r="F195" s="726">
        <f>MAX(TREND(F186:F187,$B186:$B187,$B195),0)</f>
        <v>69.480647319195754</v>
      </c>
      <c r="G195" s="1139">
        <f>IFERROR(MAX(1/E195-1/INDEX(ReliabilityModelGroup,A180,17), 0),0)</f>
        <v>0</v>
      </c>
      <c r="H195" s="1140">
        <f>IFERROR(MAX(1/F195-1/INDEX(ReliabilityModelGroup,A180,24), 0),0)</f>
        <v>0</v>
      </c>
      <c r="I195" s="1139">
        <f>IFERROR(AlphaSTD*MAX(AlphaTTI*(1+INDEX(ReliabilityModelGroup,A180,17)*G195)^BetaTTI-1,0)^BetaSTD*INDEX(ReliabilityModelGroup,A180,16)/INDEX(ReliabilityModelGroup,A180,17)*INDEX(RelAdjFactors,A180,5),0)</f>
        <v>5.7263495864962191E-3</v>
      </c>
      <c r="J195" s="1140">
        <f>IFERROR(AlphaSTD*MAX(AlphaTTI*(1+INDEX(ReliabilityModelGroup,A180,24)*H195)^BetaTTI-1,0)^BetaSTD*INDEX(ReliabilityModelGroup,A180,23)/INDEX(ReliabilityModelGroup,A180,24)*INDEX(RelAdjFactors,A180,5),0)</f>
        <v>5.7263495864962191E-3</v>
      </c>
      <c r="K195" s="1156">
        <f>MIN(C195*INDEX(ReliabilityModelGroup,A180,18),D195*INDEX(ReliabilityModelGroup,A180,25))*(I195-J195)*(INDEX(ReliabilityModelGroup,A180,12)*AnnualFactor)</f>
        <v>0</v>
      </c>
      <c r="L195" s="1157">
        <f>IF(AND(D195*INDEX(ReliabilityModelGroup,A180,25)&gt;C195*INDEX(ReliabilityModelGroup,A180,18), Induced="Y"), (D195*INDEX(ReliabilityModelGroup,A180,25)-C195*INDEX(ReliabilityModelGroup,A180,18))*(I195-J195)*0.5*(INDEX(ReliabilityModelGroup,A180,12)*AnnualFactor), 0)</f>
        <v>0</v>
      </c>
      <c r="M195" s="1143">
        <f t="shared" si="44"/>
        <v>0</v>
      </c>
      <c r="N195" s="370">
        <f t="shared" si="45"/>
        <v>0</v>
      </c>
      <c r="P195" s="375">
        <f t="shared" si="49"/>
        <v>2032</v>
      </c>
      <c r="Q195" s="401">
        <f>MAX(TREND(Q186:Q187,$P186:$P187,$P195),0)</f>
        <v>1604.4610687022941</v>
      </c>
      <c r="R195" s="402">
        <f>MAX(TREND(R186:R187,$P186:$P187,$P195),0)</f>
        <v>1415.9083969465682</v>
      </c>
      <c r="S195" s="725">
        <f>MAX(TREND(S186:S187,$P186:$P187,$P195),0)</f>
        <v>69.349586786114216</v>
      </c>
      <c r="T195" s="726">
        <f>MAX(TREND(T186:T187,$P186:$P187,$P195),0)</f>
        <v>69.480647319195754</v>
      </c>
      <c r="U195" s="1139">
        <f>IFERROR(MAX(1/S195-1/INDEX(ReliabilityModelGroup,O180,17), 0),0)</f>
        <v>0</v>
      </c>
      <c r="V195" s="1140">
        <f>IFERROR(MAX(1/T195-1/INDEX(ReliabilityModelGroup,O180,24), 0),0)</f>
        <v>0</v>
      </c>
      <c r="W195" s="1139">
        <f>IFERROR(AlphaSTD*MAX(AlphaTTI*(1+INDEX(ReliabilityModelGroup,O180,17)*U195)^BetaTTI-1,0)^BetaSTD*INDEX(ReliabilityModelGroup,O180,16)/INDEX(ReliabilityModelGroup,O180,17)*INDEX(RelAdjFactors,O180,15),0)</f>
        <v>5.7263495864962191E-3</v>
      </c>
      <c r="X195" s="1140">
        <f>IFERROR(AlphaSTD*MAX(AlphaTTI*(1+INDEX(ReliabilityModelGroup,O180,24)*V195)^BetaTTI-1,0)^BetaSTD*INDEX(ReliabilityModelGroup,O180,23)/INDEX(ReliabilityModelGroup,O180,24)*INDEX(RelAdjFactors,O180,15),0)</f>
        <v>5.7263495864962191E-3</v>
      </c>
      <c r="Y195" s="1156">
        <f>MIN(Q195,R195)*(W195-X195)*(INDEX(ReliabilityModelGroup,A180,12)*AnnualFactor)</f>
        <v>0</v>
      </c>
      <c r="Z195" s="1157">
        <f>IF(AND(R195&gt;Q195, Induced="Y"), (R195-Q195)*(W195-X195)*0.5*(INDEX(ReliabilityModelGroup,A180,12)*AnnualFactor), 0)</f>
        <v>0</v>
      </c>
      <c r="AA195" s="1143">
        <f t="shared" si="46"/>
        <v>0</v>
      </c>
      <c r="AB195" s="370">
        <f t="shared" si="47"/>
        <v>0</v>
      </c>
    </row>
    <row r="196" spans="2:28" x14ac:dyDescent="0.2">
      <c r="B196" s="375">
        <f t="shared" si="48"/>
        <v>2033</v>
      </c>
      <c r="C196" s="401">
        <f>MAX(TREND(C186:C187,$B186:$B187,$B196),0)</f>
        <v>5144.11221374046</v>
      </c>
      <c r="D196" s="402">
        <f>MAX(TREND(D186:D187,$B186:$B187,$B196),0)</f>
        <v>4531.5725190839585</v>
      </c>
      <c r="E196" s="725">
        <f>MAX(TREND(E186:E187,$B186:$B187,$B196),0)</f>
        <v>69.332375059990397</v>
      </c>
      <c r="F196" s="726">
        <f>MAX(TREND(F186:F187,$B186:$B187,$B196),0)</f>
        <v>69.468607769830953</v>
      </c>
      <c r="G196" s="1139">
        <f>IFERROR(MAX(1/E196-1/INDEX(ReliabilityModelGroup,A180,17), 0),0)</f>
        <v>0</v>
      </c>
      <c r="H196" s="1140">
        <f>IFERROR(MAX(1/F196-1/INDEX(ReliabilityModelGroup,A180,24), 0),0)</f>
        <v>0</v>
      </c>
      <c r="I196" s="1139">
        <f>IFERROR(AlphaSTD*MAX(AlphaTTI*(1+INDEX(ReliabilityModelGroup,A180,17)*G196)^BetaTTI-1,0)^BetaSTD*INDEX(ReliabilityModelGroup,A180,16)/INDEX(ReliabilityModelGroup,A180,17)*INDEX(RelAdjFactors,A180,5),0)</f>
        <v>5.7263495864962191E-3</v>
      </c>
      <c r="J196" s="1140">
        <f>IFERROR(AlphaSTD*MAX(AlphaTTI*(1+INDEX(ReliabilityModelGroup,A180,24)*H196)^BetaTTI-1,0)^BetaSTD*INDEX(ReliabilityModelGroup,A180,23)/INDEX(ReliabilityModelGroup,A180,24)*INDEX(RelAdjFactors,A180,5),0)</f>
        <v>5.7263495864962191E-3</v>
      </c>
      <c r="K196" s="1156">
        <f>MIN(C196*INDEX(ReliabilityModelGroup,A180,18),D196*INDEX(ReliabilityModelGroup,A180,25))*(I196-J196)*(INDEX(ReliabilityModelGroup,A180,12)*AnnualFactor)</f>
        <v>0</v>
      </c>
      <c r="L196" s="1157">
        <f>IF(AND(D196*INDEX(ReliabilityModelGroup,A180,25)&gt;C196*INDEX(ReliabilityModelGroup,A180,18), Induced="Y"), (D196*INDEX(ReliabilityModelGroup,A180,25)-C196*INDEX(ReliabilityModelGroup,A180,18))*(I196-J196)*0.5*(INDEX(ReliabilityModelGroup,A180,12)*AnnualFactor), 0)</f>
        <v>0</v>
      </c>
      <c r="M196" s="1143">
        <f t="shared" si="44"/>
        <v>0</v>
      </c>
      <c r="N196" s="370">
        <f t="shared" si="45"/>
        <v>0</v>
      </c>
      <c r="P196" s="375">
        <f t="shared" si="49"/>
        <v>2033</v>
      </c>
      <c r="Q196" s="401">
        <f>MAX(TREND(Q186:Q187,$P186:$P187,$P196),0)</f>
        <v>1624.456488549622</v>
      </c>
      <c r="R196" s="402">
        <f>MAX(TREND(R186:R187,$P186:$P187,$P196),0)</f>
        <v>1431.0229007633607</v>
      </c>
      <c r="S196" s="725">
        <f>MAX(TREND(S186:S187,$P186:$P187,$P196),0)</f>
        <v>69.332375059990397</v>
      </c>
      <c r="T196" s="726">
        <f>MAX(TREND(T186:T187,$P186:$P187,$P196),0)</f>
        <v>69.468607769830953</v>
      </c>
      <c r="U196" s="1139">
        <f>IFERROR(MAX(1/S196-1/INDEX(ReliabilityModelGroup,O180,17), 0),0)</f>
        <v>0</v>
      </c>
      <c r="V196" s="1140">
        <f>IFERROR(MAX(1/T196-1/INDEX(ReliabilityModelGroup,O180,24), 0),0)</f>
        <v>0</v>
      </c>
      <c r="W196" s="1139">
        <f>IFERROR(AlphaSTD*MAX(AlphaTTI*(1+INDEX(ReliabilityModelGroup,O180,17)*U196)^BetaTTI-1,0)^BetaSTD*INDEX(ReliabilityModelGroup,O180,16)/INDEX(ReliabilityModelGroup,O180,17)*INDEX(RelAdjFactors,O180,15),0)</f>
        <v>5.7263495864962191E-3</v>
      </c>
      <c r="X196" s="1140">
        <f>IFERROR(AlphaSTD*MAX(AlphaTTI*(1+INDEX(ReliabilityModelGroup,O180,24)*V196)^BetaTTI-1,0)^BetaSTD*INDEX(ReliabilityModelGroup,O180,23)/INDEX(ReliabilityModelGroup,O180,24)*INDEX(RelAdjFactors,O180,15),0)</f>
        <v>5.7263495864962191E-3</v>
      </c>
      <c r="Y196" s="1156">
        <f>MIN(Q196,R196)*(W196-X196)*(INDEX(ReliabilityModelGroup,A180,12)*AnnualFactor)</f>
        <v>0</v>
      </c>
      <c r="Z196" s="1157">
        <f>IF(AND(R196&gt;Q196, Induced="Y"), (R196-Q196)*(W196-X196)*0.5*(INDEX(ReliabilityModelGroup,A180,12)*AnnualFactor), 0)</f>
        <v>0</v>
      </c>
      <c r="AA196" s="1143">
        <f t="shared" si="46"/>
        <v>0</v>
      </c>
      <c r="AB196" s="370">
        <f t="shared" si="47"/>
        <v>0</v>
      </c>
    </row>
    <row r="197" spans="2:28" x14ac:dyDescent="0.2">
      <c r="B197" s="375">
        <f t="shared" si="48"/>
        <v>2034</v>
      </c>
      <c r="C197" s="401">
        <f>MAX(TREND(C186:C187,$B186:$B187,$B197),0)</f>
        <v>5207.4310432570055</v>
      </c>
      <c r="D197" s="402">
        <f>MAX(TREND(D186:D187,$B186:$B187,$B197),0)</f>
        <v>4579.435114503809</v>
      </c>
      <c r="E197" s="725">
        <f>MAX(TREND(E186:E187,$B186:$B187,$B197),0)</f>
        <v>69.315163333866579</v>
      </c>
      <c r="F197" s="726">
        <f>MAX(TREND(F186:F187,$B186:$B187,$B197),0)</f>
        <v>69.456568220466139</v>
      </c>
      <c r="G197" s="1139">
        <f>IFERROR(MAX(1/E197-1/INDEX(ReliabilityModelGroup,A180,17), 0),0)</f>
        <v>0</v>
      </c>
      <c r="H197" s="1140">
        <f>IFERROR(MAX(1/F197-1/INDEX(ReliabilityModelGroup,A180,24), 0),0)</f>
        <v>0</v>
      </c>
      <c r="I197" s="1139">
        <f>IFERROR(AlphaSTD*MAX(AlphaTTI*(1+INDEX(ReliabilityModelGroup,A180,17)*G197)^BetaTTI-1,0)^BetaSTD*INDEX(ReliabilityModelGroup,A180,16)/INDEX(ReliabilityModelGroup,A180,17)*INDEX(RelAdjFactors,A180,5),0)</f>
        <v>5.7263495864962191E-3</v>
      </c>
      <c r="J197" s="1140">
        <f>IFERROR(AlphaSTD*MAX(AlphaTTI*(1+INDEX(ReliabilityModelGroup,A180,24)*H197)^BetaTTI-1,0)^BetaSTD*INDEX(ReliabilityModelGroup,A180,23)/INDEX(ReliabilityModelGroup,A180,24)*INDEX(RelAdjFactors,A180,5),0)</f>
        <v>5.7263495864962191E-3</v>
      </c>
      <c r="K197" s="1156">
        <f>MIN(C197*INDEX(ReliabilityModelGroup,A180,18),D197*INDEX(ReliabilityModelGroup,A180,25))*(I197-J197)*(INDEX(ReliabilityModelGroup,A180,12)*AnnualFactor)</f>
        <v>0</v>
      </c>
      <c r="L197" s="1157">
        <f>IF(AND(D197*INDEX(ReliabilityModelGroup,A180,25)&gt;C197*INDEX(ReliabilityModelGroup,A180,18), Induced="Y"), (D197*INDEX(ReliabilityModelGroup,A180,25)-C197*INDEX(ReliabilityModelGroup,A180,18))*(I197-J197)*0.5*(INDEX(ReliabilityModelGroup,A180,12)*AnnualFactor), 0)</f>
        <v>0</v>
      </c>
      <c r="M197" s="1143">
        <f t="shared" si="44"/>
        <v>0</v>
      </c>
      <c r="N197" s="370">
        <f t="shared" si="45"/>
        <v>0</v>
      </c>
      <c r="P197" s="375">
        <f t="shared" si="49"/>
        <v>2034</v>
      </c>
      <c r="Q197" s="401">
        <f>MAX(TREND(Q186:Q187,$P186:$P187,$P197),0)</f>
        <v>1644.4519083969499</v>
      </c>
      <c r="R197" s="402">
        <f>MAX(TREND(R186:R187,$P186:$P187,$P197),0)</f>
        <v>1446.1374045801531</v>
      </c>
      <c r="S197" s="725">
        <f>MAX(TREND(S186:S187,$P186:$P187,$P197),0)</f>
        <v>69.315163333866579</v>
      </c>
      <c r="T197" s="726">
        <f>MAX(TREND(T186:T187,$P186:$P187,$P197),0)</f>
        <v>69.456568220466139</v>
      </c>
      <c r="U197" s="1139">
        <f>IFERROR(MAX(1/S197-1/INDEX(ReliabilityModelGroup,O180,17), 0),0)</f>
        <v>0</v>
      </c>
      <c r="V197" s="1140">
        <f>IFERROR(MAX(1/T197-1/INDEX(ReliabilityModelGroup,O180,24), 0),0)</f>
        <v>0</v>
      </c>
      <c r="W197" s="1139">
        <f>IFERROR(AlphaSTD*MAX(AlphaTTI*(1+INDEX(ReliabilityModelGroup,O180,17)*U197)^BetaTTI-1,0)^BetaSTD*INDEX(ReliabilityModelGroup,O180,16)/INDEX(ReliabilityModelGroup,O180,17)*INDEX(RelAdjFactors,O180,15),0)</f>
        <v>5.7263495864962191E-3</v>
      </c>
      <c r="X197" s="1140">
        <f>IFERROR(AlphaSTD*MAX(AlphaTTI*(1+INDEX(ReliabilityModelGroup,O180,24)*V197)^BetaTTI-1,0)^BetaSTD*INDEX(ReliabilityModelGroup,O180,23)/INDEX(ReliabilityModelGroup,O180,24)*INDEX(RelAdjFactors,O180,15),0)</f>
        <v>5.7263495864962191E-3</v>
      </c>
      <c r="Y197" s="1156">
        <f>MIN(Q197,R197)*(W197-X197)*(INDEX(ReliabilityModelGroup,A180,12)*AnnualFactor)</f>
        <v>0</v>
      </c>
      <c r="Z197" s="1157">
        <f>IF(AND(R197&gt;Q197, Induced="Y"), (R197-Q197)*(W197-X197)*0.5*(INDEX(ReliabilityModelGroup,A180,12)*AnnualFactor), 0)</f>
        <v>0</v>
      </c>
      <c r="AA197" s="1143">
        <f t="shared" si="46"/>
        <v>0</v>
      </c>
      <c r="AB197" s="370">
        <f t="shared" si="47"/>
        <v>0</v>
      </c>
    </row>
    <row r="198" spans="2:28" x14ac:dyDescent="0.2">
      <c r="B198" s="375">
        <f t="shared" si="48"/>
        <v>2035</v>
      </c>
      <c r="C198" s="401">
        <f>MAX(TREND(C186:C187,$B186:$B187,$B198),0)</f>
        <v>5270.7498727735365</v>
      </c>
      <c r="D198" s="402">
        <f>MAX(TREND(D186:D187,$B186:$B187,$B198),0)</f>
        <v>4627.2977099236596</v>
      </c>
      <c r="E198" s="725">
        <f>MAX(TREND(E186:E187,$B186:$B187,$B198),0)</f>
        <v>69.29795160774276</v>
      </c>
      <c r="F198" s="726">
        <f>MAX(TREND(F186:F187,$B186:$B187,$B198),0)</f>
        <v>69.444528671101324</v>
      </c>
      <c r="G198" s="1139">
        <f>IFERROR(MAX(1/E198-1/INDEX(ReliabilityModelGroup,A180,17), 0),0)</f>
        <v>0</v>
      </c>
      <c r="H198" s="1140">
        <f>IFERROR(MAX(1/F198-1/INDEX(ReliabilityModelGroup,A180,24), 0),0)</f>
        <v>0</v>
      </c>
      <c r="I198" s="1139">
        <f>IFERROR(AlphaSTD*MAX(AlphaTTI*(1+INDEX(ReliabilityModelGroup,A180,17)*G198)^BetaTTI-1,0)^BetaSTD*INDEX(ReliabilityModelGroup,A180,16)/INDEX(ReliabilityModelGroup,A180,17)*INDEX(RelAdjFactors,A180,5),0)</f>
        <v>5.7263495864962191E-3</v>
      </c>
      <c r="J198" s="1140">
        <f>IFERROR(AlphaSTD*MAX(AlphaTTI*(1+INDEX(ReliabilityModelGroup,A180,24)*H198)^BetaTTI-1,0)^BetaSTD*INDEX(ReliabilityModelGroup,A180,23)/INDEX(ReliabilityModelGroup,A180,24)*INDEX(RelAdjFactors,A180,5),0)</f>
        <v>5.7263495864962191E-3</v>
      </c>
      <c r="K198" s="1156">
        <f>MIN(C198*INDEX(ReliabilityModelGroup,A180,18),D198*INDEX(ReliabilityModelGroup,A180,25))*(I198-J198)*(INDEX(ReliabilityModelGroup,A180,12)*AnnualFactor)</f>
        <v>0</v>
      </c>
      <c r="L198" s="1157">
        <f>IF(AND(D198*INDEX(ReliabilityModelGroup,A180,25)&gt;C198*INDEX(ReliabilityModelGroup,A180,18), Induced="Y"), (D198*INDEX(ReliabilityModelGroup,A180,25)-C198*INDEX(ReliabilityModelGroup,A180,18))*(I198-J198)*0.5*(INDEX(ReliabilityModelGroup,A180,12)*AnnualFactor), 0)</f>
        <v>0</v>
      </c>
      <c r="M198" s="1143">
        <f t="shared" si="44"/>
        <v>0</v>
      </c>
      <c r="N198" s="370">
        <f t="shared" si="45"/>
        <v>0</v>
      </c>
      <c r="P198" s="375">
        <f t="shared" si="49"/>
        <v>2035</v>
      </c>
      <c r="Q198" s="401">
        <f>MAX(TREND(Q186:Q187,$P186:$P187,$P198),0)</f>
        <v>1664.4473282442777</v>
      </c>
      <c r="R198" s="402">
        <f>MAX(TREND(R186:R187,$P186:$P187,$P198),0)</f>
        <v>1461.2519083969491</v>
      </c>
      <c r="S198" s="725">
        <f>MAX(TREND(S186:S187,$P186:$P187,$P198),0)</f>
        <v>69.29795160774276</v>
      </c>
      <c r="T198" s="726">
        <f>MAX(TREND(T186:T187,$P186:$P187,$P198),0)</f>
        <v>69.444528671101324</v>
      </c>
      <c r="U198" s="1139">
        <f>IFERROR(MAX(1/S198-1/INDEX(ReliabilityModelGroup,O180,17), 0),0)</f>
        <v>0</v>
      </c>
      <c r="V198" s="1140">
        <f>IFERROR(MAX(1/T198-1/INDEX(ReliabilityModelGroup,O180,24), 0),0)</f>
        <v>0</v>
      </c>
      <c r="W198" s="1139">
        <f>IFERROR(AlphaSTD*MAX(AlphaTTI*(1+INDEX(ReliabilityModelGroup,O180,17)*U198)^BetaTTI-1,0)^BetaSTD*INDEX(ReliabilityModelGroup,O180,16)/INDEX(ReliabilityModelGroup,O180,17)*INDEX(RelAdjFactors,O180,15),0)</f>
        <v>5.7263495864962191E-3</v>
      </c>
      <c r="X198" s="1140">
        <f>IFERROR(AlphaSTD*MAX(AlphaTTI*(1+INDEX(ReliabilityModelGroup,O180,24)*V198)^BetaTTI-1,0)^BetaSTD*INDEX(ReliabilityModelGroup,O180,23)/INDEX(ReliabilityModelGroup,O180,24)*INDEX(RelAdjFactors,O180,15),0)</f>
        <v>5.7263495864962191E-3</v>
      </c>
      <c r="Y198" s="1156">
        <f>MIN(Q198,R198)*(W198-X198)*(INDEX(ReliabilityModelGroup,A180,12)*AnnualFactor)</f>
        <v>0</v>
      </c>
      <c r="Z198" s="1157">
        <f>IF(AND(R198&gt;Q198, Induced="Y"), (R198-Q198)*(W198-X198)*0.5*(INDEX(ReliabilityModelGroup,A180,12)*AnnualFactor), 0)</f>
        <v>0</v>
      </c>
      <c r="AA198" s="1143">
        <f t="shared" si="46"/>
        <v>0</v>
      </c>
      <c r="AB198" s="370">
        <f t="shared" si="47"/>
        <v>0</v>
      </c>
    </row>
    <row r="199" spans="2:28" x14ac:dyDescent="0.2">
      <c r="B199" s="375">
        <f t="shared" si="48"/>
        <v>2036</v>
      </c>
      <c r="C199" s="401">
        <f>MAX(TREND(C186:C187,$B186:$B187,$B199),0)</f>
        <v>5334.068702290082</v>
      </c>
      <c r="D199" s="402">
        <f>MAX(TREND(D186:D187,$B186:$B187,$B199),0)</f>
        <v>4675.1603053435101</v>
      </c>
      <c r="E199" s="725">
        <f>MAX(TREND(E186:E187,$B186:$B187,$B199),0)</f>
        <v>69.280739881618928</v>
      </c>
      <c r="F199" s="726">
        <f>MAX(TREND(F186:F187,$B186:$B187,$B199),0)</f>
        <v>69.432489121736523</v>
      </c>
      <c r="G199" s="1139">
        <f>IFERROR(MAX(1/E199-1/INDEX(ReliabilityModelGroup,A180,17), 0),0)</f>
        <v>0</v>
      </c>
      <c r="H199" s="1140">
        <f>IFERROR(MAX(1/F199-1/INDEX(ReliabilityModelGroup,A180,24), 0),0)</f>
        <v>0</v>
      </c>
      <c r="I199" s="1139">
        <f>IFERROR(AlphaSTD*MAX(AlphaTTI*(1+INDEX(ReliabilityModelGroup,A180,17)*G199)^BetaTTI-1,0)^BetaSTD*INDEX(ReliabilityModelGroup,A180,16)/INDEX(ReliabilityModelGroup,A180,17)*INDEX(RelAdjFactors,A180,5),0)</f>
        <v>5.7263495864962191E-3</v>
      </c>
      <c r="J199" s="1140">
        <f>IFERROR(AlphaSTD*MAX(AlphaTTI*(1+INDEX(ReliabilityModelGroup,A180,24)*H199)^BetaTTI-1,0)^BetaSTD*INDEX(ReliabilityModelGroup,A180,23)/INDEX(ReliabilityModelGroup,A180,24)*INDEX(RelAdjFactors,A180,5),0)</f>
        <v>5.7263495864962191E-3</v>
      </c>
      <c r="K199" s="1156">
        <f>MIN(C199*INDEX(ReliabilityModelGroup,A180,18),D199*INDEX(ReliabilityModelGroup,A180,25))*(I199-J199)*(INDEX(ReliabilityModelGroup,A180,12)*AnnualFactor)</f>
        <v>0</v>
      </c>
      <c r="L199" s="1157">
        <f>IF(AND(D199*INDEX(ReliabilityModelGroup,A180,25)&gt;C199*INDEX(ReliabilityModelGroup,A180,18), Induced="Y"), (D199*INDEX(ReliabilityModelGroup,A180,25)-C199*INDEX(ReliabilityModelGroup,A180,18))*(I199-J199)*0.5*(INDEX(ReliabilityModelGroup,A180,12)*AnnualFactor), 0)</f>
        <v>0</v>
      </c>
      <c r="M199" s="1143">
        <f t="shared" si="44"/>
        <v>0</v>
      </c>
      <c r="N199" s="370">
        <f t="shared" si="45"/>
        <v>0</v>
      </c>
      <c r="P199" s="375">
        <f t="shared" si="49"/>
        <v>2036</v>
      </c>
      <c r="Q199" s="401">
        <f>MAX(TREND(Q186:Q187,$P186:$P187,$P199),0)</f>
        <v>1684.4427480916056</v>
      </c>
      <c r="R199" s="402">
        <f>MAX(TREND(R186:R187,$P186:$P187,$P199),0)</f>
        <v>1476.3664122137416</v>
      </c>
      <c r="S199" s="725">
        <f>MAX(TREND(S186:S187,$P186:$P187,$P199),0)</f>
        <v>69.280739881618928</v>
      </c>
      <c r="T199" s="726">
        <f>MAX(TREND(T186:T187,$P186:$P187,$P199),0)</f>
        <v>69.432489121736523</v>
      </c>
      <c r="U199" s="1139">
        <f>IFERROR(MAX(1/S199-1/INDEX(ReliabilityModelGroup,O180,17), 0),0)</f>
        <v>0</v>
      </c>
      <c r="V199" s="1140">
        <f>IFERROR(MAX(1/T199-1/INDEX(ReliabilityModelGroup,O180,24), 0),0)</f>
        <v>0</v>
      </c>
      <c r="W199" s="1139">
        <f>IFERROR(AlphaSTD*MAX(AlphaTTI*(1+INDEX(ReliabilityModelGroup,O180,17)*U199)^BetaTTI-1,0)^BetaSTD*INDEX(ReliabilityModelGroup,O180,16)/INDEX(ReliabilityModelGroup,O180,17)*INDEX(RelAdjFactors,O180,15),0)</f>
        <v>5.7263495864962191E-3</v>
      </c>
      <c r="X199" s="1140">
        <f>IFERROR(AlphaSTD*MAX(AlphaTTI*(1+INDEX(ReliabilityModelGroup,O180,24)*V199)^BetaTTI-1,0)^BetaSTD*INDEX(ReliabilityModelGroup,O180,23)/INDEX(ReliabilityModelGroup,O180,24)*INDEX(RelAdjFactors,O180,15),0)</f>
        <v>5.7263495864962191E-3</v>
      </c>
      <c r="Y199" s="1156">
        <f>MIN(Q199,R199)*(W199-X199)*(INDEX(ReliabilityModelGroup,A180,12)*AnnualFactor)</f>
        <v>0</v>
      </c>
      <c r="Z199" s="1157">
        <f>IF(AND(R199&gt;Q199, Induced="Y"), (R199-Q199)*(W199-X199)*0.5*(INDEX(ReliabilityModelGroup,A180,12)*AnnualFactor), 0)</f>
        <v>0</v>
      </c>
      <c r="AA199" s="1143">
        <f t="shared" si="46"/>
        <v>0</v>
      </c>
      <c r="AB199" s="370">
        <f t="shared" si="47"/>
        <v>0</v>
      </c>
    </row>
    <row r="200" spans="2:28" x14ac:dyDescent="0.2">
      <c r="B200" s="375">
        <f t="shared" si="48"/>
        <v>2037</v>
      </c>
      <c r="C200" s="401">
        <f>MAX(TREND(C186:C187,$B186:$B187,$B200),0)</f>
        <v>5397.3875318066275</v>
      </c>
      <c r="D200" s="402">
        <f>MAX(TREND(D186:D187,$B186:$B187,$B200),0)</f>
        <v>4723.0229007633461</v>
      </c>
      <c r="E200" s="725">
        <f>MAX(TREND(E186:E187,$B186:$B187,$B200),0)</f>
        <v>69.263528155495123</v>
      </c>
      <c r="F200" s="726">
        <f>MAX(TREND(F186:F187,$B186:$B187,$B200),0)</f>
        <v>69.420449572371709</v>
      </c>
      <c r="G200" s="1139">
        <f>IFERROR(MAX(1/E200-1/INDEX(ReliabilityModelGroup,A180,17), 0),0)</f>
        <v>0</v>
      </c>
      <c r="H200" s="1140">
        <f>IFERROR(MAX(1/F200-1/INDEX(ReliabilityModelGroup,A180,24), 0),0)</f>
        <v>0</v>
      </c>
      <c r="I200" s="1139">
        <f>IFERROR(AlphaSTD*MAX(AlphaTTI*(1+INDEX(ReliabilityModelGroup,A180,17)*G200)^BetaTTI-1,0)^BetaSTD*INDEX(ReliabilityModelGroup,A180,16)/INDEX(ReliabilityModelGroup,A180,17)*INDEX(RelAdjFactors,A180,5),0)</f>
        <v>5.7263495864962191E-3</v>
      </c>
      <c r="J200" s="1140">
        <f>IFERROR(AlphaSTD*MAX(AlphaTTI*(1+INDEX(ReliabilityModelGroup,A180,24)*H200)^BetaTTI-1,0)^BetaSTD*INDEX(ReliabilityModelGroup,A180,23)/INDEX(ReliabilityModelGroup,A180,24)*INDEX(RelAdjFactors,A180,5),0)</f>
        <v>5.7263495864962191E-3</v>
      </c>
      <c r="K200" s="1156">
        <f>MIN(C200*INDEX(ReliabilityModelGroup,A180,18),D200*INDEX(ReliabilityModelGroup,A180,25))*(I200-J200)*(INDEX(ReliabilityModelGroup,A180,12)*AnnualFactor)</f>
        <v>0</v>
      </c>
      <c r="L200" s="1157">
        <f>IF(AND(D200*INDEX(ReliabilityModelGroup,A180,25)&gt;C200*INDEX(ReliabilityModelGroup,A180,18), Induced="Y"), (D200*INDEX(ReliabilityModelGroup,A180,25)-C200*INDEX(ReliabilityModelGroup,A180,18))*(I200-J200)*0.5*(INDEX(ReliabilityModelGroup,A180,12)*AnnualFactor), 0)</f>
        <v>0</v>
      </c>
      <c r="M200" s="1143">
        <f t="shared" si="44"/>
        <v>0</v>
      </c>
      <c r="N200" s="370">
        <f t="shared" si="45"/>
        <v>0</v>
      </c>
      <c r="P200" s="375">
        <f t="shared" si="49"/>
        <v>2037</v>
      </c>
      <c r="Q200" s="401">
        <f>MAX(TREND(Q186:Q187,$P186:$P187,$P200),0)</f>
        <v>1704.4381679389335</v>
      </c>
      <c r="R200" s="402">
        <f>MAX(TREND(R186:R187,$P186:$P187,$P200),0)</f>
        <v>1491.4809160305376</v>
      </c>
      <c r="S200" s="725">
        <f>MAX(TREND(S186:S187,$P186:$P187,$P200),0)</f>
        <v>69.263528155495123</v>
      </c>
      <c r="T200" s="726">
        <f>MAX(TREND(T186:T187,$P186:$P187,$P200),0)</f>
        <v>69.420449572371709</v>
      </c>
      <c r="U200" s="1139">
        <f>IFERROR(MAX(1/S200-1/INDEX(ReliabilityModelGroup,O180,17), 0),0)</f>
        <v>0</v>
      </c>
      <c r="V200" s="1140">
        <f>IFERROR(MAX(1/T200-1/INDEX(ReliabilityModelGroup,O180,24), 0),0)</f>
        <v>0</v>
      </c>
      <c r="W200" s="1139">
        <f>IFERROR(AlphaSTD*MAX(AlphaTTI*(1+INDEX(ReliabilityModelGroup,O180,17)*U200)^BetaTTI-1,0)^BetaSTD*INDEX(ReliabilityModelGroup,O180,16)/INDEX(ReliabilityModelGroup,O180,17)*INDEX(RelAdjFactors,O180,15),0)</f>
        <v>5.7263495864962191E-3</v>
      </c>
      <c r="X200" s="1140">
        <f>IFERROR(AlphaSTD*MAX(AlphaTTI*(1+INDEX(ReliabilityModelGroup,O180,24)*V200)^BetaTTI-1,0)^BetaSTD*INDEX(ReliabilityModelGroup,O180,23)/INDEX(ReliabilityModelGroup,O180,24)*INDEX(RelAdjFactors,O180,15),0)</f>
        <v>5.7263495864962191E-3</v>
      </c>
      <c r="Y200" s="1156">
        <f>MIN(Q200,R200)*(W200-X200)*(INDEX(ReliabilityModelGroup,A180,12)*AnnualFactor)</f>
        <v>0</v>
      </c>
      <c r="Z200" s="1157">
        <f>IF(AND(R200&gt;Q200, Induced="Y"), (R200-Q200)*(W200-X200)*0.5*(INDEX(ReliabilityModelGroup,A180,12)*AnnualFactor), 0)</f>
        <v>0</v>
      </c>
      <c r="AA200" s="1143">
        <f t="shared" si="46"/>
        <v>0</v>
      </c>
      <c r="AB200" s="370">
        <f t="shared" si="47"/>
        <v>0</v>
      </c>
    </row>
    <row r="201" spans="2:28" x14ac:dyDescent="0.2">
      <c r="B201" s="375">
        <f t="shared" si="48"/>
        <v>2038</v>
      </c>
      <c r="C201" s="401">
        <f>MAX(TREND(C186:C187,$B186:$B187,$B201),0)</f>
        <v>5460.7063613231585</v>
      </c>
      <c r="D201" s="402">
        <f>MAX(TREND(D186:D187,$B186:$B187,$B201),0)</f>
        <v>4770.8854961831967</v>
      </c>
      <c r="E201" s="725">
        <f>MAX(TREND(E186:E187,$B186:$B187,$B201),0)</f>
        <v>69.246316429371291</v>
      </c>
      <c r="F201" s="726">
        <f>MAX(TREND(F186:F187,$B186:$B187,$B201),0)</f>
        <v>69.408410023006894</v>
      </c>
      <c r="G201" s="1139">
        <f>IFERROR(MAX(1/E201-1/INDEX(ReliabilityModelGroup,A180,17), 0),0)</f>
        <v>0</v>
      </c>
      <c r="H201" s="1140">
        <f>IFERROR(MAX(1/F201-1/INDEX(ReliabilityModelGroup,A180,24), 0),0)</f>
        <v>0</v>
      </c>
      <c r="I201" s="1139">
        <f>IFERROR(AlphaSTD*MAX(AlphaTTI*(1+INDEX(ReliabilityModelGroup,A180,17)*G201)^BetaTTI-1,0)^BetaSTD*INDEX(ReliabilityModelGroup,A180,16)/INDEX(ReliabilityModelGroup,A180,17)*INDEX(RelAdjFactors,A180,5),0)</f>
        <v>5.7263495864962191E-3</v>
      </c>
      <c r="J201" s="1140">
        <f>IFERROR(AlphaSTD*MAX(AlphaTTI*(1+INDEX(ReliabilityModelGroup,A180,24)*H201)^BetaTTI-1,0)^BetaSTD*INDEX(ReliabilityModelGroup,A180,23)/INDEX(ReliabilityModelGroup,A180,24)*INDEX(RelAdjFactors,A180,5),0)</f>
        <v>5.7263495864962191E-3</v>
      </c>
      <c r="K201" s="1156">
        <f>MIN(C201*INDEX(ReliabilityModelGroup,A180,18),D201*INDEX(ReliabilityModelGroup,A180,25))*(I201-J201)*(INDEX(ReliabilityModelGroup,A180,12)*AnnualFactor)</f>
        <v>0</v>
      </c>
      <c r="L201" s="1157">
        <f>IF(AND(D201*INDEX(ReliabilityModelGroup,A180,25)&gt;C201*INDEX(ReliabilityModelGroup,A180,18), Induced="Y"), (D201*INDEX(ReliabilityModelGroup,A180,25)-C201*INDEX(ReliabilityModelGroup,A180,18))*(I201-J201)*0.5*(INDEX(ReliabilityModelGroup,A180,12)*AnnualFactor), 0)</f>
        <v>0</v>
      </c>
      <c r="M201" s="1143">
        <f t="shared" si="44"/>
        <v>0</v>
      </c>
      <c r="N201" s="370">
        <f t="shared" si="45"/>
        <v>0</v>
      </c>
      <c r="P201" s="375">
        <f t="shared" si="49"/>
        <v>2038</v>
      </c>
      <c r="Q201" s="401">
        <f>MAX(TREND(Q186:Q187,$P186:$P187,$P201),0)</f>
        <v>1724.4335877862613</v>
      </c>
      <c r="R201" s="402">
        <f>MAX(TREND(R186:R187,$P186:$P187,$P201),0)</f>
        <v>1506.59541984733</v>
      </c>
      <c r="S201" s="725">
        <f>MAX(TREND(S186:S187,$P186:$P187,$P201),0)</f>
        <v>69.246316429371291</v>
      </c>
      <c r="T201" s="726">
        <f>MAX(TREND(T186:T187,$P186:$P187,$P201),0)</f>
        <v>69.408410023006894</v>
      </c>
      <c r="U201" s="1139">
        <f>IFERROR(MAX(1/S201-1/INDEX(ReliabilityModelGroup,O180,17), 0),0)</f>
        <v>0</v>
      </c>
      <c r="V201" s="1140">
        <f>IFERROR(MAX(1/T201-1/INDEX(ReliabilityModelGroup,O180,24), 0),0)</f>
        <v>0</v>
      </c>
      <c r="W201" s="1139">
        <f>IFERROR(AlphaSTD*MAX(AlphaTTI*(1+INDEX(ReliabilityModelGroup,O180,17)*U201)^BetaTTI-1,0)^BetaSTD*INDEX(ReliabilityModelGroup,O180,16)/INDEX(ReliabilityModelGroup,O180,17)*INDEX(RelAdjFactors,O180,15),0)</f>
        <v>5.7263495864962191E-3</v>
      </c>
      <c r="X201" s="1140">
        <f>IFERROR(AlphaSTD*MAX(AlphaTTI*(1+INDEX(ReliabilityModelGroup,O180,24)*V201)^BetaTTI-1,0)^BetaSTD*INDEX(ReliabilityModelGroup,O180,23)/INDEX(ReliabilityModelGroup,O180,24)*INDEX(RelAdjFactors,O180,15),0)</f>
        <v>5.7263495864962191E-3</v>
      </c>
      <c r="Y201" s="1156">
        <f>MIN(Q201,R201)*(W201-X201)*(INDEX(ReliabilityModelGroup,A180,12)*AnnualFactor)</f>
        <v>0</v>
      </c>
      <c r="Z201" s="1157">
        <f>IF(AND(R201&gt;Q201, Induced="Y"), (R201-Q201)*(W201-X201)*0.5*(INDEX(ReliabilityModelGroup,A180,12)*AnnualFactor), 0)</f>
        <v>0</v>
      </c>
      <c r="AA201" s="1143">
        <f t="shared" si="46"/>
        <v>0</v>
      </c>
      <c r="AB201" s="370">
        <f t="shared" si="47"/>
        <v>0</v>
      </c>
    </row>
    <row r="202" spans="2:28" x14ac:dyDescent="0.2">
      <c r="B202" s="375">
        <f t="shared" si="48"/>
        <v>2039</v>
      </c>
      <c r="C202" s="401">
        <f>MAX(TREND(C186:C187,$B186:$B187,$B202),0)</f>
        <v>5524.025190839704</v>
      </c>
      <c r="D202" s="402">
        <f>MAX(TREND(D186:D187,$B186:$B187,$B202),0)</f>
        <v>4818.7480916030472</v>
      </c>
      <c r="E202" s="725">
        <f>MAX(TREND(E186:E187,$B186:$B187,$B202),0)</f>
        <v>69.229104703247486</v>
      </c>
      <c r="F202" s="726">
        <f>MAX(TREND(F186:F187,$B186:$B187,$B202),0)</f>
        <v>69.396370473642094</v>
      </c>
      <c r="G202" s="1139">
        <f>IFERROR(MAX(1/E202-1/INDEX(ReliabilityModelGroup,A180,17), 0),0)</f>
        <v>0</v>
      </c>
      <c r="H202" s="1140">
        <f>IFERROR(MAX(1/F202-1/INDEX(ReliabilityModelGroup,A180,24), 0),0)</f>
        <v>0</v>
      </c>
      <c r="I202" s="1139">
        <f>IFERROR(AlphaSTD*MAX(AlphaTTI*(1+INDEX(ReliabilityModelGroup,A180,17)*G202)^BetaTTI-1,0)^BetaSTD*INDEX(ReliabilityModelGroup,A180,16)/INDEX(ReliabilityModelGroup,A180,17)*INDEX(RelAdjFactors,A180,5),0)</f>
        <v>5.7263495864962191E-3</v>
      </c>
      <c r="J202" s="1140">
        <f>IFERROR(AlphaSTD*MAX(AlphaTTI*(1+INDEX(ReliabilityModelGroup,A180,24)*H202)^BetaTTI-1,0)^BetaSTD*INDEX(ReliabilityModelGroup,A180,23)/INDEX(ReliabilityModelGroup,A180,24)*INDEX(RelAdjFactors,A180,5),0)</f>
        <v>5.7263495864962191E-3</v>
      </c>
      <c r="K202" s="1156">
        <f>MIN(C202*INDEX(ReliabilityModelGroup,A180,18),D202*INDEX(ReliabilityModelGroup,A180,25))*(I202-J202)*(INDEX(ReliabilityModelGroup,A180,12)*AnnualFactor)</f>
        <v>0</v>
      </c>
      <c r="L202" s="1157">
        <f>IF(AND(D202*INDEX(ReliabilityModelGroup,A180,25)&gt;C202*INDEX(ReliabilityModelGroup,A180,18), Induced="Y"), (D202*INDEX(ReliabilityModelGroup,A180,25)-C202*INDEX(ReliabilityModelGroup,A180,18))*(I202-J202)*0.5*(INDEX(ReliabilityModelGroup,A180,12)*AnnualFactor), 0)</f>
        <v>0</v>
      </c>
      <c r="M202" s="1143">
        <f t="shared" si="44"/>
        <v>0</v>
      </c>
      <c r="N202" s="370">
        <f t="shared" si="45"/>
        <v>0</v>
      </c>
      <c r="P202" s="375">
        <f t="shared" si="49"/>
        <v>2039</v>
      </c>
      <c r="Q202" s="401">
        <f>MAX(TREND(Q186:Q187,$P186:$P187,$P202),0)</f>
        <v>1744.4290076335965</v>
      </c>
      <c r="R202" s="402">
        <f>MAX(TREND(R186:R187,$P186:$P187,$P202),0)</f>
        <v>1521.7099236641225</v>
      </c>
      <c r="S202" s="725">
        <f>MAX(TREND(S186:S187,$P186:$P187,$P202),0)</f>
        <v>69.229104703247486</v>
      </c>
      <c r="T202" s="726">
        <f>MAX(TREND(T186:T187,$P186:$P187,$P202),0)</f>
        <v>69.396370473642094</v>
      </c>
      <c r="U202" s="1139">
        <f>IFERROR(MAX(1/S202-1/INDEX(ReliabilityModelGroup,O180,17), 0),0)</f>
        <v>0</v>
      </c>
      <c r="V202" s="1140">
        <f>IFERROR(MAX(1/T202-1/INDEX(ReliabilityModelGroup,O180,24), 0),0)</f>
        <v>0</v>
      </c>
      <c r="W202" s="1139">
        <f>IFERROR(AlphaSTD*MAX(AlphaTTI*(1+INDEX(ReliabilityModelGroup,O180,17)*U202)^BetaTTI-1,0)^BetaSTD*INDEX(ReliabilityModelGroup,O180,16)/INDEX(ReliabilityModelGroup,O180,17)*INDEX(RelAdjFactors,O180,15),0)</f>
        <v>5.7263495864962191E-3</v>
      </c>
      <c r="X202" s="1140">
        <f>IFERROR(AlphaSTD*MAX(AlphaTTI*(1+INDEX(ReliabilityModelGroup,O180,24)*V202)^BetaTTI-1,0)^BetaSTD*INDEX(ReliabilityModelGroup,O180,23)/INDEX(ReliabilityModelGroup,O180,24)*INDEX(RelAdjFactors,O180,15),0)</f>
        <v>5.7263495864962191E-3</v>
      </c>
      <c r="Y202" s="1156">
        <f>MIN(Q202,R202)*(W202-X202)*(INDEX(ReliabilityModelGroup,A180,12)*AnnualFactor)</f>
        <v>0</v>
      </c>
      <c r="Z202" s="1157">
        <f>IF(AND(R202&gt;Q202, Induced="Y"), (R202-Q202)*(W202-X202)*0.5*(INDEX(ReliabilityModelGroup,A180,12)*AnnualFactor), 0)</f>
        <v>0</v>
      </c>
      <c r="AA202" s="1143">
        <f t="shared" si="46"/>
        <v>0</v>
      </c>
      <c r="AB202" s="370">
        <f t="shared" si="47"/>
        <v>0</v>
      </c>
    </row>
    <row r="203" spans="2:28" x14ac:dyDescent="0.2">
      <c r="B203" s="375">
        <f t="shared" si="48"/>
        <v>2040</v>
      </c>
      <c r="C203" s="401">
        <f>MAX(TREND(C186:C187,$B186:$B187,$B203),0)</f>
        <v>5587.344020356235</v>
      </c>
      <c r="D203" s="402">
        <f>MAX(TREND(D186:D187,$B186:$B187,$B203),0)</f>
        <v>4866.6106870228978</v>
      </c>
      <c r="E203" s="725">
        <f>MAX(TREND(E186:E187,$B186:$B187,$B203),0)</f>
        <v>69.211892977123654</v>
      </c>
      <c r="F203" s="726">
        <f>MAX(TREND(F186:F187,$B186:$B187,$B203),0)</f>
        <v>69.384330924277279</v>
      </c>
      <c r="G203" s="1139">
        <f>IFERROR(MAX(1/E203-1/INDEX(ReliabilityModelGroup,A180,17), 0),0)</f>
        <v>0</v>
      </c>
      <c r="H203" s="1140">
        <f>IFERROR(MAX(1/F203-1/INDEX(ReliabilityModelGroup,A180,24), 0),0)</f>
        <v>0</v>
      </c>
      <c r="I203" s="1139">
        <f>IFERROR(AlphaSTD*MAX(AlphaTTI*(1+INDEX(ReliabilityModelGroup,A180,17)*G203)^BetaTTI-1,0)^BetaSTD*INDEX(ReliabilityModelGroup,A180,16)/INDEX(ReliabilityModelGroup,A180,17)*INDEX(RelAdjFactors,A180,5),0)</f>
        <v>5.7263495864962191E-3</v>
      </c>
      <c r="J203" s="1140">
        <f>IFERROR(AlphaSTD*MAX(AlphaTTI*(1+INDEX(ReliabilityModelGroup,A180,24)*H203)^BetaTTI-1,0)^BetaSTD*INDEX(ReliabilityModelGroup,A180,23)/INDEX(ReliabilityModelGroup,A180,24)*INDEX(RelAdjFactors,A180,5),0)</f>
        <v>5.7263495864962191E-3</v>
      </c>
      <c r="K203" s="1156">
        <f>MIN(C203*INDEX(ReliabilityModelGroup,A180,18),D203*INDEX(ReliabilityModelGroup,A180,25))*(I203-J203)*(INDEX(ReliabilityModelGroup,A180,12)*AnnualFactor)</f>
        <v>0</v>
      </c>
      <c r="L203" s="1157">
        <f>IF(AND(D203*INDEX(ReliabilityModelGroup,A180,25)&gt;C203*INDEX(ReliabilityModelGroup,A180,18), Induced="Y"), (D203*INDEX(ReliabilityModelGroup,A180,25)-C203*INDEX(ReliabilityModelGroup,A180,18))*(I203-J203)*0.5*(INDEX(ReliabilityModelGroup,A180,12)*AnnualFactor), 0)</f>
        <v>0</v>
      </c>
      <c r="M203" s="1143">
        <f t="shared" si="44"/>
        <v>0</v>
      </c>
      <c r="N203" s="370">
        <f t="shared" si="45"/>
        <v>0</v>
      </c>
      <c r="P203" s="375">
        <f t="shared" si="49"/>
        <v>2040</v>
      </c>
      <c r="Q203" s="401">
        <f>MAX(TREND(Q186:Q187,$P186:$P187,$P203),0)</f>
        <v>1764.4244274809244</v>
      </c>
      <c r="R203" s="402">
        <f>MAX(TREND(R186:R187,$P186:$P187,$P203),0)</f>
        <v>1536.8244274809185</v>
      </c>
      <c r="S203" s="725">
        <f>MAX(TREND(S186:S187,$P186:$P187,$P203),0)</f>
        <v>69.211892977123654</v>
      </c>
      <c r="T203" s="726">
        <f>MAX(TREND(T186:T187,$P186:$P187,$P203),0)</f>
        <v>69.384330924277279</v>
      </c>
      <c r="U203" s="1139">
        <f>IFERROR(MAX(1/S203-1/INDEX(ReliabilityModelGroup,O180,17), 0),0)</f>
        <v>0</v>
      </c>
      <c r="V203" s="1140">
        <f>IFERROR(MAX(1/T203-1/INDEX(ReliabilityModelGroup,O180,24), 0),0)</f>
        <v>0</v>
      </c>
      <c r="W203" s="1139">
        <f>IFERROR(AlphaSTD*MAX(AlphaTTI*(1+INDEX(ReliabilityModelGroup,O180,17)*U203)^BetaTTI-1,0)^BetaSTD*INDEX(ReliabilityModelGroup,O180,16)/INDEX(ReliabilityModelGroup,O180,17)*INDEX(RelAdjFactors,O180,15),0)</f>
        <v>5.7263495864962191E-3</v>
      </c>
      <c r="X203" s="1140">
        <f>IFERROR(AlphaSTD*MAX(AlphaTTI*(1+INDEX(ReliabilityModelGroup,O180,24)*V203)^BetaTTI-1,0)^BetaSTD*INDEX(ReliabilityModelGroup,O180,23)/INDEX(ReliabilityModelGroup,O180,24)*INDEX(RelAdjFactors,O180,15),0)</f>
        <v>5.7263495864962191E-3</v>
      </c>
      <c r="Y203" s="1156">
        <f>MIN(Q203,R203)*(W203-X203)*(INDEX(ReliabilityModelGroup,A180,12)*AnnualFactor)</f>
        <v>0</v>
      </c>
      <c r="Z203" s="1157">
        <f>IF(AND(R203&gt;Q203, Induced="Y"), (R203-Q203)*(W203-X203)*0.5*(INDEX(ReliabilityModelGroup,A180,12)*AnnualFactor), 0)</f>
        <v>0</v>
      </c>
      <c r="AA203" s="1143">
        <f t="shared" si="46"/>
        <v>0</v>
      </c>
      <c r="AB203" s="370">
        <f t="shared" si="47"/>
        <v>0</v>
      </c>
    </row>
    <row r="204" spans="2:28" x14ac:dyDescent="0.2">
      <c r="B204" s="375">
        <f t="shared" si="48"/>
        <v>2041</v>
      </c>
      <c r="C204" s="401">
        <f>MAX(TREND(C186:C187,$B186:$B187,$B204),0)</f>
        <v>5650.6628498727805</v>
      </c>
      <c r="D204" s="402">
        <f>MAX(TREND(D186:D187,$B186:$B187,$B204),0)</f>
        <v>4914.4732824427483</v>
      </c>
      <c r="E204" s="725">
        <f>MAX(TREND(E186:E187,$B186:$B187,$B204),0)</f>
        <v>69.194681250999835</v>
      </c>
      <c r="F204" s="726">
        <f>MAX(TREND(F186:F187,$B186:$B187,$B204),0)</f>
        <v>69.372291374912464</v>
      </c>
      <c r="G204" s="1139">
        <f>IFERROR(MAX(1/E204-1/INDEX(ReliabilityModelGroup,A180,17), 0),0)</f>
        <v>0</v>
      </c>
      <c r="H204" s="1140">
        <f>IFERROR(MAX(1/F204-1/INDEX(ReliabilityModelGroup,A180,24), 0),0)</f>
        <v>0</v>
      </c>
      <c r="I204" s="1139">
        <f>IFERROR(AlphaSTD*MAX(AlphaTTI*(1+INDEX(ReliabilityModelGroup,A180,17)*G204)^BetaTTI-1,0)^BetaSTD*INDEX(ReliabilityModelGroup,A180,16)/INDEX(ReliabilityModelGroup,A180,17)*INDEX(RelAdjFactors,A180,5),0)</f>
        <v>5.7263495864962191E-3</v>
      </c>
      <c r="J204" s="1140">
        <f>IFERROR(AlphaSTD*MAX(AlphaTTI*(1+INDEX(ReliabilityModelGroup,A180,24)*H204)^BetaTTI-1,0)^BetaSTD*INDEX(ReliabilityModelGroup,A180,23)/INDEX(ReliabilityModelGroup,A180,24)*INDEX(RelAdjFactors,A180,5),0)</f>
        <v>5.7263495864962191E-3</v>
      </c>
      <c r="K204" s="1156">
        <f>MIN(C204*INDEX(ReliabilityModelGroup,A180,18),D204*INDEX(ReliabilityModelGroup,A180,25))*(I204-J204)*(INDEX(ReliabilityModelGroup,A180,12)*AnnualFactor)</f>
        <v>0</v>
      </c>
      <c r="L204" s="1157">
        <f>IF(AND(D204*INDEX(ReliabilityModelGroup,A180,25)&gt;C204*INDEX(ReliabilityModelGroup,A180,18), Induced="Y"), (D204*INDEX(ReliabilityModelGroup,A180,25)-C204*INDEX(ReliabilityModelGroup,A180,18))*(I204-J204)*0.5*(INDEX(ReliabilityModelGroup,A180,12)*AnnualFactor), 0)</f>
        <v>0</v>
      </c>
      <c r="M204" s="1143">
        <f t="shared" si="44"/>
        <v>0</v>
      </c>
      <c r="N204" s="370">
        <f t="shared" si="45"/>
        <v>0</v>
      </c>
      <c r="P204" s="375">
        <f t="shared" si="49"/>
        <v>2041</v>
      </c>
      <c r="Q204" s="401">
        <f>MAX(TREND(Q186:Q187,$P186:$P187,$P204),0)</f>
        <v>1784.4198473282522</v>
      </c>
      <c r="R204" s="402">
        <f>MAX(TREND(R186:R187,$P186:$P187,$P204),0)</f>
        <v>1551.938931297711</v>
      </c>
      <c r="S204" s="725">
        <f>MAX(TREND(S186:S187,$P186:$P187,$P204),0)</f>
        <v>69.194681250999835</v>
      </c>
      <c r="T204" s="726">
        <f>MAX(TREND(T186:T187,$P186:$P187,$P204),0)</f>
        <v>69.372291374912464</v>
      </c>
      <c r="U204" s="1139">
        <f>IFERROR(MAX(1/S204-1/INDEX(ReliabilityModelGroup,O180,17), 0),0)</f>
        <v>0</v>
      </c>
      <c r="V204" s="1140">
        <f>IFERROR(MAX(1/T204-1/INDEX(ReliabilityModelGroup,O180,24), 0),0)</f>
        <v>0</v>
      </c>
      <c r="W204" s="1139">
        <f>IFERROR(AlphaSTD*MAX(AlphaTTI*(1+INDEX(ReliabilityModelGroup,O180,17)*U204)^BetaTTI-1,0)^BetaSTD*INDEX(ReliabilityModelGroup,O180,16)/INDEX(ReliabilityModelGroup,O180,17)*INDEX(RelAdjFactors,O180,15),0)</f>
        <v>5.7263495864962191E-3</v>
      </c>
      <c r="X204" s="1140">
        <f>IFERROR(AlphaSTD*MAX(AlphaTTI*(1+INDEX(ReliabilityModelGroup,O180,24)*V204)^BetaTTI-1,0)^BetaSTD*INDEX(ReliabilityModelGroup,O180,23)/INDEX(ReliabilityModelGroup,O180,24)*INDEX(RelAdjFactors,O180,15),0)</f>
        <v>5.7263495864962191E-3</v>
      </c>
      <c r="Y204" s="1156">
        <f>MIN(Q204,R204)*(W204-X204)*(INDEX(ReliabilityModelGroup,A180,12)*AnnualFactor)</f>
        <v>0</v>
      </c>
      <c r="Z204" s="1157">
        <f>IF(AND(R204&gt;Q204, Induced="Y"), (R204-Q204)*(W204-X204)*0.5*(INDEX(ReliabilityModelGroup,A180,12)*AnnualFactor), 0)</f>
        <v>0</v>
      </c>
      <c r="AA204" s="1143">
        <f t="shared" si="46"/>
        <v>0</v>
      </c>
      <c r="AB204" s="370">
        <f t="shared" si="47"/>
        <v>0</v>
      </c>
    </row>
    <row r="205" spans="2:28" x14ac:dyDescent="0.2">
      <c r="B205" s="375">
        <f t="shared" si="48"/>
        <v>2042</v>
      </c>
      <c r="C205" s="401">
        <f>MAX(TREND(C186:C187,$B186:$B187,$B205),0)</f>
        <v>5713.9816793893115</v>
      </c>
      <c r="D205" s="402">
        <f>MAX(TREND(D186:D187,$B186:$B187,$B205),0)</f>
        <v>4962.3358778625843</v>
      </c>
      <c r="E205" s="725">
        <f>MAX(TREND(E186:E187,$B186:$B187,$B205),0)</f>
        <v>69.177469524876017</v>
      </c>
      <c r="F205" s="726">
        <f>MAX(TREND(F186:F187,$B186:$B187,$B205),0)</f>
        <v>69.360251825547664</v>
      </c>
      <c r="G205" s="1139">
        <f>IFERROR(MAX(1/E205-1/INDEX(ReliabilityModelGroup,A180,17), 0),0)</f>
        <v>0</v>
      </c>
      <c r="H205" s="1140">
        <f>IFERROR(MAX(1/F205-1/INDEX(ReliabilityModelGroup,A180,24), 0),0)</f>
        <v>0</v>
      </c>
      <c r="I205" s="1139">
        <f>IFERROR(AlphaSTD*MAX(AlphaTTI*(1+INDEX(ReliabilityModelGroup,A180,17)*G205)^BetaTTI-1,0)^BetaSTD*INDEX(ReliabilityModelGroup,A180,16)/INDEX(ReliabilityModelGroup,A180,17)*INDEX(RelAdjFactors,A180,5),0)</f>
        <v>5.7263495864962191E-3</v>
      </c>
      <c r="J205" s="1140">
        <f>IFERROR(AlphaSTD*MAX(AlphaTTI*(1+INDEX(ReliabilityModelGroup,A180,24)*H205)^BetaTTI-1,0)^BetaSTD*INDEX(ReliabilityModelGroup,A180,23)/INDEX(ReliabilityModelGroup,A180,24)*INDEX(RelAdjFactors,A180,5),0)</f>
        <v>5.7263495864962191E-3</v>
      </c>
      <c r="K205" s="1156">
        <f>MIN(C205*INDEX(ReliabilityModelGroup,A180,18),D205*INDEX(ReliabilityModelGroup,A180,25))*(I205-J205)*(INDEX(ReliabilityModelGroup,A180,12)*AnnualFactor)</f>
        <v>0</v>
      </c>
      <c r="L205" s="1157">
        <f>IF(AND(D205*INDEX(ReliabilityModelGroup,A180,25)&gt;C205*INDEX(ReliabilityModelGroup,A180,18), Induced="Y"), (D205*INDEX(ReliabilityModelGroup,A180,25)-C205*INDEX(ReliabilityModelGroup,A180,18))*(I205-J205)*0.5*(INDEX(ReliabilityModelGroup,A180,12)*AnnualFactor), 0)</f>
        <v>0</v>
      </c>
      <c r="M205" s="1143">
        <f t="shared" si="44"/>
        <v>0</v>
      </c>
      <c r="N205" s="370">
        <f t="shared" si="45"/>
        <v>0</v>
      </c>
      <c r="P205" s="375">
        <f t="shared" si="49"/>
        <v>2042</v>
      </c>
      <c r="Q205" s="401">
        <f>MAX(TREND(Q186:Q187,$P186:$P187,$P205),0)</f>
        <v>1804.4152671755801</v>
      </c>
      <c r="R205" s="402">
        <f>MAX(TREND(R186:R187,$P186:$P187,$P205),0)</f>
        <v>1567.053435114507</v>
      </c>
      <c r="S205" s="725">
        <f>MAX(TREND(S186:S187,$P186:$P187,$P205),0)</f>
        <v>69.177469524876017</v>
      </c>
      <c r="T205" s="726">
        <f>MAX(TREND(T186:T187,$P186:$P187,$P205),0)</f>
        <v>69.360251825547664</v>
      </c>
      <c r="U205" s="1139">
        <f>IFERROR(MAX(1/S205-1/INDEX(ReliabilityModelGroup,O180,17), 0),0)</f>
        <v>0</v>
      </c>
      <c r="V205" s="1140">
        <f>IFERROR(MAX(1/T205-1/INDEX(ReliabilityModelGroup,O180,24), 0),0)</f>
        <v>0</v>
      </c>
      <c r="W205" s="1139">
        <f>IFERROR(AlphaSTD*MAX(AlphaTTI*(1+INDEX(ReliabilityModelGroup,O180,17)*U205)^BetaTTI-1,0)^BetaSTD*INDEX(ReliabilityModelGroup,O180,16)/INDEX(ReliabilityModelGroup,O180,17)*INDEX(RelAdjFactors,O180,15),0)</f>
        <v>5.7263495864962191E-3</v>
      </c>
      <c r="X205" s="1140">
        <f>IFERROR(AlphaSTD*MAX(AlphaTTI*(1+INDEX(ReliabilityModelGroup,O180,24)*V205)^BetaTTI-1,0)^BetaSTD*INDEX(ReliabilityModelGroup,O180,23)/INDEX(ReliabilityModelGroup,O180,24)*INDEX(RelAdjFactors,O180,15),0)</f>
        <v>5.7263495864962191E-3</v>
      </c>
      <c r="Y205" s="1156">
        <f>MIN(Q205,R205)*(W205-X205)*(INDEX(ReliabilityModelGroup,A180,12)*AnnualFactor)</f>
        <v>0</v>
      </c>
      <c r="Z205" s="1157">
        <f>IF(AND(R205&gt;Q205, Induced="Y"), (R205-Q205)*(W205-X205)*0.5*(INDEX(ReliabilityModelGroup,A180,12)*AnnualFactor), 0)</f>
        <v>0</v>
      </c>
      <c r="AA205" s="1143">
        <f t="shared" si="46"/>
        <v>0</v>
      </c>
      <c r="AB205" s="370">
        <f t="shared" si="47"/>
        <v>0</v>
      </c>
    </row>
    <row r="206" spans="2:28" x14ac:dyDescent="0.2">
      <c r="B206" s="375">
        <f t="shared" si="48"/>
        <v>2043</v>
      </c>
      <c r="C206" s="401">
        <f>MAX(TREND(C186:C187,$B186:$B187,$B206),0)</f>
        <v>5777.300508905857</v>
      </c>
      <c r="D206" s="402">
        <f>MAX(TREND(D186:D187,$B186:$B187,$B206),0)</f>
        <v>5010.1984732824349</v>
      </c>
      <c r="E206" s="725">
        <f>MAX(TREND(E186:E187,$B186:$B187,$B206),0)</f>
        <v>69.160257798752198</v>
      </c>
      <c r="F206" s="726">
        <f>MAX(TREND(F186:F187,$B186:$B187,$B206),0)</f>
        <v>69.348212276182849</v>
      </c>
      <c r="G206" s="1139">
        <f>IFERROR(MAX(1/E206-1/INDEX(ReliabilityModelGroup,A180,17), 0),0)</f>
        <v>0</v>
      </c>
      <c r="H206" s="1140">
        <f>IFERROR(MAX(1/F206-1/INDEX(ReliabilityModelGroup,A180,24), 0),0)</f>
        <v>0</v>
      </c>
      <c r="I206" s="1139">
        <f>IFERROR(AlphaSTD*MAX(AlphaTTI*(1+INDEX(ReliabilityModelGroup,A180,17)*G206)^BetaTTI-1,0)^BetaSTD*INDEX(ReliabilityModelGroup,A180,16)/INDEX(ReliabilityModelGroup,A180,17)*INDEX(RelAdjFactors,A180,5),0)</f>
        <v>5.7263495864962191E-3</v>
      </c>
      <c r="J206" s="1140">
        <f>IFERROR(AlphaSTD*MAX(AlphaTTI*(1+INDEX(ReliabilityModelGroup,A180,24)*H206)^BetaTTI-1,0)^BetaSTD*INDEX(ReliabilityModelGroup,A180,23)/INDEX(ReliabilityModelGroup,A180,24)*INDEX(RelAdjFactors,A180,5),0)</f>
        <v>5.7263495864962191E-3</v>
      </c>
      <c r="K206" s="1156">
        <f>MIN(C206*INDEX(ReliabilityModelGroup,A180,18),D206*INDEX(ReliabilityModelGroup,A180,25))*(I206-J206)*(INDEX(ReliabilityModelGroup,A180,12)*AnnualFactor)</f>
        <v>0</v>
      </c>
      <c r="L206" s="1157">
        <f>IF(AND(D206*INDEX(ReliabilityModelGroup,A180,25)&gt;C206*INDEX(ReliabilityModelGroup,A180,18), Induced="Y"), (D206*INDEX(ReliabilityModelGroup,A180,25)-C206*INDEX(ReliabilityModelGroup,A180,18))*(I206-J206)*0.5*(INDEX(ReliabilityModelGroup,A180,12)*AnnualFactor), 0)</f>
        <v>0</v>
      </c>
      <c r="M206" s="1143">
        <f t="shared" si="44"/>
        <v>0</v>
      </c>
      <c r="N206" s="370">
        <f t="shared" si="45"/>
        <v>0</v>
      </c>
      <c r="P206" s="375">
        <f t="shared" si="49"/>
        <v>2043</v>
      </c>
      <c r="Q206" s="401">
        <f>MAX(TREND(Q186:Q187,$P186:$P187,$P206),0)</f>
        <v>1824.410687022908</v>
      </c>
      <c r="R206" s="402">
        <f>MAX(TREND(R186:R187,$P186:$P187,$P206),0)</f>
        <v>1582.1679389312994</v>
      </c>
      <c r="S206" s="725">
        <f>MAX(TREND(S186:S187,$P186:$P187,$P206),0)</f>
        <v>69.160257798752198</v>
      </c>
      <c r="T206" s="726">
        <f>MAX(TREND(T186:T187,$P186:$P187,$P206),0)</f>
        <v>69.348212276182849</v>
      </c>
      <c r="U206" s="1139">
        <f>IFERROR(MAX(1/S206-1/INDEX(ReliabilityModelGroup,O180,17), 0),0)</f>
        <v>0</v>
      </c>
      <c r="V206" s="1140">
        <f>IFERROR(MAX(1/T206-1/INDEX(ReliabilityModelGroup,O180,24), 0),0)</f>
        <v>0</v>
      </c>
      <c r="W206" s="1139">
        <f>IFERROR(AlphaSTD*MAX(AlphaTTI*(1+INDEX(ReliabilityModelGroup,O180,17)*U206)^BetaTTI-1,0)^BetaSTD*INDEX(ReliabilityModelGroup,O180,16)/INDEX(ReliabilityModelGroup,O180,17)*INDEX(RelAdjFactors,O180,15),0)</f>
        <v>5.7263495864962191E-3</v>
      </c>
      <c r="X206" s="1140">
        <f>IFERROR(AlphaSTD*MAX(AlphaTTI*(1+INDEX(ReliabilityModelGroup,O180,24)*V206)^BetaTTI-1,0)^BetaSTD*INDEX(ReliabilityModelGroup,O180,23)/INDEX(ReliabilityModelGroup,O180,24)*INDEX(RelAdjFactors,O180,15),0)</f>
        <v>5.7263495864962191E-3</v>
      </c>
      <c r="Y206" s="1156">
        <f>MIN(Q206,R206)*(W206-X206)*(INDEX(ReliabilityModelGroup,A180,12)*AnnualFactor)</f>
        <v>0</v>
      </c>
      <c r="Z206" s="1157">
        <f>IF(AND(R206&gt;Q206, Induced="Y"), (R206-Q206)*(W206-X206)*0.5*(INDEX(ReliabilityModelGroup,A180,12)*AnnualFactor), 0)</f>
        <v>0</v>
      </c>
      <c r="AA206" s="1143">
        <f t="shared" si="46"/>
        <v>0</v>
      </c>
      <c r="AB206" s="370">
        <f t="shared" si="47"/>
        <v>0</v>
      </c>
    </row>
    <row r="207" spans="2:28" x14ac:dyDescent="0.2">
      <c r="B207" s="375">
        <f t="shared" si="48"/>
        <v>2044</v>
      </c>
      <c r="C207" s="401">
        <f>MAX(TREND(C186:C187,$B186:$B187,$B207),0)</f>
        <v>5840.6193384224025</v>
      </c>
      <c r="D207" s="402">
        <f>MAX(TREND(D186:D187,$B186:$B187,$B207),0)</f>
        <v>5058.0610687022854</v>
      </c>
      <c r="E207" s="725">
        <f>MAX(TREND(E186:E187,$B186:$B187,$B207),0)</f>
        <v>69.14304607262838</v>
      </c>
      <c r="F207" s="726">
        <f>MAX(TREND(F186:F187,$B186:$B187,$B207),0)</f>
        <v>69.336172726818035</v>
      </c>
      <c r="G207" s="1139">
        <f>IFERROR(MAX(1/E207-1/INDEX(ReliabilityModelGroup,A180,17), 0),0)</f>
        <v>0</v>
      </c>
      <c r="H207" s="1140">
        <f>IFERROR(MAX(1/F207-1/INDEX(ReliabilityModelGroup,A180,24), 0),0)</f>
        <v>0</v>
      </c>
      <c r="I207" s="1139">
        <f>IFERROR(AlphaSTD*MAX(AlphaTTI*(1+INDEX(ReliabilityModelGroup,A180,17)*G207)^BetaTTI-1,0)^BetaSTD*INDEX(ReliabilityModelGroup,A180,16)/INDEX(ReliabilityModelGroup,A180,17)*INDEX(RelAdjFactors,A180,5),0)</f>
        <v>5.7263495864962191E-3</v>
      </c>
      <c r="J207" s="1140">
        <f>IFERROR(AlphaSTD*MAX(AlphaTTI*(1+INDEX(ReliabilityModelGroup,A180,24)*H207)^BetaTTI-1,0)^BetaSTD*INDEX(ReliabilityModelGroup,A180,23)/INDEX(ReliabilityModelGroup,A180,24)*INDEX(RelAdjFactors,A180,5),0)</f>
        <v>5.7263495864962191E-3</v>
      </c>
      <c r="K207" s="1156">
        <f>MIN(C207*INDEX(ReliabilityModelGroup,A180,18),D207*INDEX(ReliabilityModelGroup,A180,25))*(I207-J207)*(INDEX(ReliabilityModelGroup,A180,12)*AnnualFactor)</f>
        <v>0</v>
      </c>
      <c r="L207" s="1157">
        <f>IF(AND(D207*INDEX(ReliabilityModelGroup,A180,25)&gt;C207*INDEX(ReliabilityModelGroup,A180,18), Induced="Y"), (D207*INDEX(ReliabilityModelGroup,A180,25)-C207*INDEX(ReliabilityModelGroup,A180,18))*(I207-J207)*0.5*(INDEX(ReliabilityModelGroup,A180,12)*AnnualFactor), 0)</f>
        <v>0</v>
      </c>
      <c r="M207" s="1143">
        <f t="shared" si="44"/>
        <v>0</v>
      </c>
      <c r="N207" s="370">
        <f t="shared" si="45"/>
        <v>0</v>
      </c>
      <c r="P207" s="375">
        <f t="shared" si="49"/>
        <v>2044</v>
      </c>
      <c r="Q207" s="401">
        <f>MAX(TREND(Q186:Q187,$P186:$P187,$P207),0)</f>
        <v>1844.4061068702358</v>
      </c>
      <c r="R207" s="402">
        <f>MAX(TREND(R186:R187,$P186:$P187,$P207),0)</f>
        <v>1597.2824427480919</v>
      </c>
      <c r="S207" s="725">
        <f>MAX(TREND(S186:S187,$P186:$P187,$P207),0)</f>
        <v>69.14304607262838</v>
      </c>
      <c r="T207" s="726">
        <f>MAX(TREND(T186:T187,$P186:$P187,$P207),0)</f>
        <v>69.336172726818035</v>
      </c>
      <c r="U207" s="1139">
        <f>IFERROR(MAX(1/S207-1/INDEX(ReliabilityModelGroup,O180,17), 0),0)</f>
        <v>0</v>
      </c>
      <c r="V207" s="1140">
        <f>IFERROR(MAX(1/T207-1/INDEX(ReliabilityModelGroup,O180,24), 0),0)</f>
        <v>0</v>
      </c>
      <c r="W207" s="1139">
        <f>IFERROR(AlphaSTD*MAX(AlphaTTI*(1+INDEX(ReliabilityModelGroup,O180,17)*U207)^BetaTTI-1,0)^BetaSTD*INDEX(ReliabilityModelGroup,O180,16)/INDEX(ReliabilityModelGroup,O180,17)*INDEX(RelAdjFactors,O180,15),0)</f>
        <v>5.7263495864962191E-3</v>
      </c>
      <c r="X207" s="1140">
        <f>IFERROR(AlphaSTD*MAX(AlphaTTI*(1+INDEX(ReliabilityModelGroup,O180,24)*V207)^BetaTTI-1,0)^BetaSTD*INDEX(ReliabilityModelGroup,O180,23)/INDEX(ReliabilityModelGroup,O180,24)*INDEX(RelAdjFactors,O180,15),0)</f>
        <v>5.7263495864962191E-3</v>
      </c>
      <c r="Y207" s="1156">
        <f>MIN(Q207,R207)*(W207-X207)*(INDEX(ReliabilityModelGroup,A180,12)*AnnualFactor)</f>
        <v>0</v>
      </c>
      <c r="Z207" s="1157">
        <f>IF(AND(R207&gt;Q207, Induced="Y"), (R207-Q207)*(W207-X207)*0.5*(INDEX(ReliabilityModelGroup,A180,12)*AnnualFactor), 0)</f>
        <v>0</v>
      </c>
      <c r="AA207" s="1143">
        <f t="shared" si="46"/>
        <v>0</v>
      </c>
      <c r="AB207" s="370">
        <f t="shared" si="47"/>
        <v>0</v>
      </c>
    </row>
    <row r="208" spans="2:28" x14ac:dyDescent="0.2">
      <c r="B208" s="375">
        <f t="shared" si="48"/>
        <v>2045</v>
      </c>
      <c r="C208" s="401">
        <f>MAX(TREND(C186:C187,$B186:$B187,$B208),0)</f>
        <v>5903.9381679389335</v>
      </c>
      <c r="D208" s="402">
        <f>MAX(TREND(D186:D187,$B186:$B187,$B208),0)</f>
        <v>5105.923664122136</v>
      </c>
      <c r="E208" s="725">
        <f>MAX(TREND(E186:E187,$B186:$B187,$B208),0)</f>
        <v>69.125834346504561</v>
      </c>
      <c r="F208" s="726">
        <f>MAX(TREND(F186:F187,$B186:$B187,$B208),0)</f>
        <v>69.324133177453234</v>
      </c>
      <c r="G208" s="1139">
        <f>IFERROR(MAX(1/E208-1/INDEX(ReliabilityModelGroup,A180,17), 0),0)</f>
        <v>0</v>
      </c>
      <c r="H208" s="1140">
        <f>IFERROR(MAX(1/F208-1/INDEX(ReliabilityModelGroup,A180,24), 0),0)</f>
        <v>0</v>
      </c>
      <c r="I208" s="1139">
        <f>IFERROR(AlphaSTD*MAX(AlphaTTI*(1+INDEX(ReliabilityModelGroup,A180,17)*G208)^BetaTTI-1,0)^BetaSTD*INDEX(ReliabilityModelGroup,A180,16)/INDEX(ReliabilityModelGroup,A180,17)*INDEX(RelAdjFactors,A180,5),0)</f>
        <v>5.7263495864962191E-3</v>
      </c>
      <c r="J208" s="1140">
        <f>IFERROR(AlphaSTD*MAX(AlphaTTI*(1+INDEX(ReliabilityModelGroup,A180,24)*H208)^BetaTTI-1,0)^BetaSTD*INDEX(ReliabilityModelGroup,A180,23)/INDEX(ReliabilityModelGroup,A180,24)*INDEX(RelAdjFactors,A180,5),0)</f>
        <v>5.7263495864962191E-3</v>
      </c>
      <c r="K208" s="1156">
        <f>MIN(C208*INDEX(ReliabilityModelGroup,A180,18),D208*INDEX(ReliabilityModelGroup,A180,25))*(I208-J208)*(INDEX(ReliabilityModelGroup,A180,12)*AnnualFactor)</f>
        <v>0</v>
      </c>
      <c r="L208" s="1157">
        <f>IF(AND(D208*INDEX(ReliabilityModelGroup,A180,25)&gt;C208*INDEX(ReliabilityModelGroup,A180,18), Induced="Y"), (D208*INDEX(ReliabilityModelGroup,A180,25)-C208*INDEX(ReliabilityModelGroup,A180,18))*(I208-J208)*0.5*(INDEX(ReliabilityModelGroup,A180,12)*AnnualFactor), 0)</f>
        <v>0</v>
      </c>
      <c r="M208" s="1143">
        <f t="shared" si="44"/>
        <v>0</v>
      </c>
      <c r="N208" s="370">
        <f t="shared" si="45"/>
        <v>0</v>
      </c>
      <c r="P208" s="375">
        <f t="shared" si="49"/>
        <v>2045</v>
      </c>
      <c r="Q208" s="401">
        <f>MAX(TREND(Q186:Q187,$P186:$P187,$P208),0)</f>
        <v>1864.4015267175637</v>
      </c>
      <c r="R208" s="402">
        <f>MAX(TREND(R186:R187,$P186:$P187,$P208),0)</f>
        <v>1612.3969465648879</v>
      </c>
      <c r="S208" s="725">
        <f>MAX(TREND(S186:S187,$P186:$P187,$P208),0)</f>
        <v>69.125834346504561</v>
      </c>
      <c r="T208" s="726">
        <f>MAX(TREND(T186:T187,$P186:$P187,$P208),0)</f>
        <v>69.324133177453234</v>
      </c>
      <c r="U208" s="1139">
        <f>IFERROR(MAX(1/S208-1/INDEX(ReliabilityModelGroup,O180,17), 0),0)</f>
        <v>0</v>
      </c>
      <c r="V208" s="1140">
        <f>IFERROR(MAX(1/T208-1/INDEX(ReliabilityModelGroup,O180,24), 0),0)</f>
        <v>0</v>
      </c>
      <c r="W208" s="1139">
        <f>IFERROR(AlphaSTD*MAX(AlphaTTI*(1+INDEX(ReliabilityModelGroup,O180,17)*U208)^BetaTTI-1,0)^BetaSTD*INDEX(ReliabilityModelGroup,O180,16)/INDEX(ReliabilityModelGroup,O180,17)*INDEX(RelAdjFactors,O180,15),0)</f>
        <v>5.7263495864962191E-3</v>
      </c>
      <c r="X208" s="1140">
        <f>IFERROR(AlphaSTD*MAX(AlphaTTI*(1+INDEX(ReliabilityModelGroup,O180,24)*V208)^BetaTTI-1,0)^BetaSTD*INDEX(ReliabilityModelGroup,O180,23)/INDEX(ReliabilityModelGroup,O180,24)*INDEX(RelAdjFactors,O180,15),0)</f>
        <v>5.7263495864962191E-3</v>
      </c>
      <c r="Y208" s="1156">
        <f>MIN(Q208,R208)*(W208-X208)*(INDEX(ReliabilityModelGroup,A180,12)*AnnualFactor)</f>
        <v>0</v>
      </c>
      <c r="Z208" s="1157">
        <f>IF(AND(R208&gt;Q208, Induced="Y"), (R208-Q208)*(W208-X208)*0.5*(INDEX(ReliabilityModelGroup,A180,12)*AnnualFactor), 0)</f>
        <v>0</v>
      </c>
      <c r="AA208" s="1143">
        <f t="shared" si="46"/>
        <v>0</v>
      </c>
      <c r="AB208" s="370">
        <f t="shared" si="47"/>
        <v>0</v>
      </c>
    </row>
    <row r="209" spans="2:28" x14ac:dyDescent="0.2">
      <c r="B209" s="1148"/>
      <c r="C209" s="386"/>
      <c r="D209" s="386"/>
      <c r="E209" s="386"/>
      <c r="F209" s="386"/>
      <c r="G209" s="386"/>
      <c r="H209" s="386"/>
      <c r="I209" s="1150"/>
      <c r="J209" s="1150"/>
      <c r="K209" s="1150"/>
      <c r="L209" s="1150"/>
      <c r="M209" s="1150"/>
      <c r="N209" s="389"/>
      <c r="P209" s="1148"/>
      <c r="Q209" s="386"/>
      <c r="R209" s="386"/>
      <c r="S209" s="386"/>
      <c r="T209" s="386"/>
      <c r="U209" s="386"/>
      <c r="V209" s="386"/>
      <c r="W209" s="1150"/>
      <c r="X209" s="1150"/>
      <c r="Y209" s="1150"/>
      <c r="Z209" s="1150"/>
      <c r="AA209" s="1150"/>
      <c r="AB209" s="389"/>
    </row>
    <row r="210" spans="2:28" x14ac:dyDescent="0.2">
      <c r="B210" s="1158" t="s">
        <v>56</v>
      </c>
      <c r="C210" s="1159"/>
      <c r="D210" s="1159"/>
      <c r="E210" s="1159"/>
      <c r="F210" s="1159"/>
      <c r="G210" s="1159"/>
      <c r="H210" s="1159"/>
      <c r="I210" s="1159"/>
      <c r="J210" s="1159"/>
      <c r="K210" s="1159"/>
      <c r="L210" s="1159"/>
      <c r="M210" s="1160">
        <f>SUM(M189:M208)</f>
        <v>0</v>
      </c>
      <c r="N210" s="1160">
        <f>SUM(N189:N208)</f>
        <v>0</v>
      </c>
      <c r="P210" s="1158" t="s">
        <v>56</v>
      </c>
      <c r="Q210" s="1159"/>
      <c r="R210" s="1159"/>
      <c r="S210" s="1159"/>
      <c r="T210" s="1159"/>
      <c r="U210" s="1159"/>
      <c r="V210" s="1159"/>
      <c r="W210" s="1159"/>
      <c r="X210" s="1159"/>
      <c r="Y210" s="1159"/>
      <c r="Z210" s="1159"/>
      <c r="AA210" s="1160">
        <f>SUM(AA189:AA208)</f>
        <v>0</v>
      </c>
      <c r="AB210" s="1160">
        <f>SUM(AB189:AB208)</f>
        <v>0</v>
      </c>
    </row>
    <row r="211" spans="2:28" x14ac:dyDescent="0.2">
      <c r="G211" s="1046"/>
      <c r="H211" s="1046"/>
      <c r="I211" s="1047"/>
      <c r="K211" s="678"/>
      <c r="O211" s="1047"/>
      <c r="P211" s="1047"/>
      <c r="Q211" s="678"/>
      <c r="R211" s="1045"/>
      <c r="S211" s="1045"/>
      <c r="W211" s="1046"/>
      <c r="X211" s="1046"/>
      <c r="Y211" s="1046"/>
    </row>
  </sheetData>
  <mergeCells count="12">
    <mergeCell ref="AI23:AI25"/>
    <mergeCell ref="AJ23:AJ25"/>
    <mergeCell ref="AF53:AF55"/>
    <mergeCell ref="AG53:AG55"/>
    <mergeCell ref="AH53:AH55"/>
    <mergeCell ref="AI53:AI55"/>
    <mergeCell ref="AJ53:AJ55"/>
    <mergeCell ref="AE23:AE25"/>
    <mergeCell ref="AE53:AE55"/>
    <mergeCell ref="AF23:AF25"/>
    <mergeCell ref="AG23:AG25"/>
    <mergeCell ref="AH23:AH2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AG232"/>
  <sheetViews>
    <sheetView showGridLines="0" topLeftCell="K1" zoomScale="70" zoomScaleNormal="70" workbookViewId="0"/>
  </sheetViews>
  <sheetFormatPr defaultColWidth="9.42578125" defaultRowHeight="15" x14ac:dyDescent="0.25"/>
  <cols>
    <col min="1" max="1" width="9.42578125" style="1"/>
    <col min="2" max="2" width="7.5703125" style="184" customWidth="1"/>
    <col min="3" max="3" width="14.5703125" style="184" customWidth="1"/>
    <col min="4" max="6" width="14.5703125" style="283" customWidth="1"/>
    <col min="7" max="7" width="14.5703125" style="1" customWidth="1"/>
    <col min="8" max="8" width="20.5703125" style="3" customWidth="1"/>
    <col min="9" max="9" width="17.42578125" style="3" customWidth="1"/>
    <col min="10" max="12" width="14.5703125" style="3" customWidth="1"/>
    <col min="13" max="13" width="17.42578125" style="3" customWidth="1"/>
    <col min="14" max="14" width="17.5703125" style="3" customWidth="1"/>
    <col min="15" max="15" width="16.5703125" style="3" customWidth="1"/>
    <col min="16" max="16" width="20.42578125" style="3" customWidth="1"/>
    <col min="17" max="17" width="20.5703125" style="3" customWidth="1"/>
    <col min="18" max="18" width="23.5703125" style="3" customWidth="1"/>
    <col min="19" max="19" width="15.5703125" style="3" customWidth="1"/>
    <col min="20" max="20" width="11.85546875" style="1" customWidth="1"/>
    <col min="21" max="21" width="9.42578125" style="1"/>
    <col min="22" max="22" width="7.5703125" style="1" customWidth="1"/>
    <col min="23" max="23" width="14.5703125" style="1" customWidth="1"/>
    <col min="24" max="24" width="13.5703125" bestFit="1" customWidth="1"/>
    <col min="25" max="29" width="13.5703125" customWidth="1"/>
    <col min="30" max="30" width="16" style="1" customWidth="1"/>
    <col min="31" max="31" width="13.5703125" style="1" bestFit="1" customWidth="1"/>
    <col min="32" max="32" width="15.5703125" style="1" customWidth="1"/>
    <col min="33" max="33" width="13.42578125" style="1" customWidth="1"/>
    <col min="34" max="16384" width="9.42578125" style="1"/>
  </cols>
  <sheetData>
    <row r="1" spans="1:32" ht="20.25" x14ac:dyDescent="0.3">
      <c r="B1" s="282" t="s">
        <v>251</v>
      </c>
      <c r="S1" s="282"/>
      <c r="T1" s="184"/>
    </row>
    <row r="2" spans="1:32" x14ac:dyDescent="0.25">
      <c r="S2" s="184"/>
      <c r="T2" s="184"/>
    </row>
    <row r="3" spans="1:32" ht="18.75" x14ac:dyDescent="0.25">
      <c r="B3" s="284" t="s">
        <v>252</v>
      </c>
      <c r="C3" s="1"/>
      <c r="D3" s="2"/>
      <c r="E3" s="2"/>
      <c r="F3" s="2"/>
      <c r="G3" s="13"/>
      <c r="H3" s="13"/>
      <c r="I3" s="13"/>
      <c r="J3" s="13"/>
      <c r="K3" s="13"/>
      <c r="L3" s="2"/>
      <c r="M3" s="2"/>
      <c r="N3" s="2"/>
      <c r="O3" s="2"/>
      <c r="P3" s="2"/>
      <c r="Q3" s="2"/>
      <c r="R3" s="2"/>
      <c r="S3" s="284"/>
    </row>
    <row r="4" spans="1:32" ht="18.75" x14ac:dyDescent="0.25">
      <c r="B4" s="284" t="s">
        <v>253</v>
      </c>
      <c r="C4" s="1"/>
      <c r="D4" s="2"/>
      <c r="E4" s="2"/>
      <c r="F4" s="2"/>
      <c r="G4" s="13"/>
      <c r="H4" s="13"/>
      <c r="I4" s="13"/>
      <c r="J4" s="13"/>
      <c r="K4" s="13"/>
      <c r="L4" s="2"/>
      <c r="M4" s="2"/>
      <c r="N4" s="2"/>
      <c r="O4" s="2"/>
      <c r="P4" s="2"/>
      <c r="Q4" s="2"/>
      <c r="R4" s="2"/>
      <c r="S4" s="284"/>
    </row>
    <row r="5" spans="1:32" x14ac:dyDescent="0.25">
      <c r="B5" s="1"/>
      <c r="C5" s="1"/>
      <c r="D5" s="1"/>
      <c r="E5" s="1"/>
      <c r="F5" s="1"/>
      <c r="H5" s="1"/>
      <c r="I5" s="1"/>
      <c r="J5" s="1"/>
      <c r="K5" s="1"/>
      <c r="L5" s="1"/>
      <c r="M5" s="1"/>
      <c r="N5" s="1"/>
      <c r="O5" s="1"/>
      <c r="P5" s="1"/>
      <c r="Q5" s="1"/>
      <c r="R5" s="1"/>
      <c r="S5" s="419"/>
    </row>
    <row r="6" spans="1:32" ht="18.75" x14ac:dyDescent="0.25">
      <c r="B6" s="285" t="s">
        <v>166</v>
      </c>
      <c r="C6" s="43"/>
      <c r="D6" s="59"/>
      <c r="E6" s="59"/>
      <c r="F6" s="59"/>
      <c r="G6" s="286"/>
      <c r="H6" s="286"/>
      <c r="I6" s="286"/>
      <c r="J6" s="286"/>
      <c r="K6" s="286"/>
      <c r="L6" s="59"/>
      <c r="M6" s="59"/>
      <c r="N6" s="59"/>
      <c r="O6" s="59"/>
      <c r="P6" s="60"/>
      <c r="Q6"/>
      <c r="R6"/>
      <c r="S6" s="31"/>
      <c r="T6" s="732" t="s">
        <v>57</v>
      </c>
      <c r="U6" s="32"/>
      <c r="V6" s="733"/>
      <c r="W6" s="34"/>
    </row>
    <row r="7" spans="1:32" x14ac:dyDescent="0.25">
      <c r="B7" s="287"/>
      <c r="C7" s="51"/>
      <c r="D7" s="270"/>
      <c r="E7" s="270"/>
      <c r="F7" s="270"/>
      <c r="G7" s="288"/>
      <c r="H7" s="288"/>
      <c r="I7" s="288"/>
      <c r="J7" s="288"/>
      <c r="K7" s="288"/>
      <c r="L7" s="270"/>
      <c r="M7" s="270"/>
      <c r="N7" s="270"/>
      <c r="O7" s="270"/>
      <c r="P7" s="293"/>
      <c r="Q7"/>
      <c r="R7"/>
      <c r="S7" s="734"/>
      <c r="T7" s="735"/>
      <c r="U7" s="1035" t="s">
        <v>254</v>
      </c>
      <c r="V7" s="736"/>
      <c r="W7" s="295"/>
    </row>
    <row r="8" spans="1:32" x14ac:dyDescent="0.25">
      <c r="B8" s="296" t="s">
        <v>255</v>
      </c>
      <c r="C8" s="291"/>
      <c r="D8" s="297"/>
      <c r="E8" s="297"/>
      <c r="F8" s="298"/>
      <c r="G8" s="51"/>
      <c r="H8" s="289" t="s">
        <v>256</v>
      </c>
      <c r="I8" s="969"/>
      <c r="J8" s="967"/>
      <c r="K8" s="967"/>
      <c r="L8" s="967"/>
      <c r="M8" s="970" t="s">
        <v>257</v>
      </c>
      <c r="N8" s="291"/>
      <c r="O8" s="290"/>
      <c r="P8" s="293"/>
      <c r="Q8"/>
      <c r="R8"/>
      <c r="S8" s="305"/>
    </row>
    <row r="9" spans="1:32" x14ac:dyDescent="0.25">
      <c r="B9" s="303" t="s">
        <v>258</v>
      </c>
      <c r="C9" s="51"/>
      <c r="D9" s="420" t="s">
        <v>259</v>
      </c>
      <c r="E9" s="420" t="s">
        <v>260</v>
      </c>
      <c r="F9" s="270"/>
      <c r="G9" s="270"/>
      <c r="H9" s="421" t="s">
        <v>261</v>
      </c>
      <c r="I9" s="966" t="s">
        <v>262</v>
      </c>
      <c r="J9" s="421"/>
      <c r="K9" s="300"/>
      <c r="L9" s="270"/>
      <c r="M9" s="420"/>
      <c r="N9" s="420"/>
      <c r="O9" s="420"/>
      <c r="P9" s="293"/>
      <c r="Q9"/>
      <c r="R9"/>
      <c r="S9" s="2"/>
      <c r="T9" s="2"/>
    </row>
    <row r="10" spans="1:32" x14ac:dyDescent="0.25">
      <c r="B10" s="237"/>
      <c r="C10" s="270"/>
      <c r="D10" s="270"/>
      <c r="E10" s="270"/>
      <c r="F10" s="270"/>
      <c r="G10" s="270"/>
      <c r="H10" s="51"/>
      <c r="I10" s="51"/>
      <c r="J10" s="51"/>
      <c r="K10" s="51"/>
      <c r="L10" s="51"/>
      <c r="M10" s="51"/>
      <c r="N10" s="51"/>
      <c r="O10" s="270"/>
      <c r="P10" s="293"/>
      <c r="Q10"/>
      <c r="R10"/>
      <c r="S10" s="302"/>
      <c r="T10" s="2"/>
    </row>
    <row r="11" spans="1:32" x14ac:dyDescent="0.25">
      <c r="B11" s="296" t="s">
        <v>263</v>
      </c>
      <c r="C11" s="291"/>
      <c r="D11" s="297"/>
      <c r="E11" s="297"/>
      <c r="F11" s="292"/>
      <c r="G11" s="270"/>
      <c r="H11" s="970" t="s">
        <v>264</v>
      </c>
      <c r="I11" s="968"/>
      <c r="J11" s="967"/>
      <c r="K11" s="967"/>
      <c r="L11" s="967"/>
      <c r="M11" s="967"/>
      <c r="N11" s="967"/>
      <c r="O11" s="967"/>
      <c r="P11" s="293"/>
      <c r="Q11"/>
      <c r="R11"/>
      <c r="S11" s="310"/>
      <c r="T11" s="2"/>
    </row>
    <row r="12" spans="1:32" x14ac:dyDescent="0.25">
      <c r="A12" s="310"/>
      <c r="B12" s="424" t="s">
        <v>265</v>
      </c>
      <c r="C12" s="279"/>
      <c r="D12" s="425" t="s">
        <v>266</v>
      </c>
      <c r="E12" s="425" t="s">
        <v>267</v>
      </c>
      <c r="F12" s="309"/>
      <c r="G12" s="309"/>
      <c r="H12" s="971" t="s">
        <v>265</v>
      </c>
      <c r="I12" s="971" t="s">
        <v>268</v>
      </c>
      <c r="J12" s="971"/>
      <c r="K12" s="279"/>
      <c r="L12" s="124"/>
      <c r="M12" s="124"/>
      <c r="N12" s="124"/>
      <c r="O12" s="124"/>
      <c r="P12" s="210"/>
      <c r="Q12"/>
      <c r="R12"/>
      <c r="S12" s="2"/>
      <c r="T12" s="310"/>
    </row>
    <row r="13" spans="1:32" x14ac:dyDescent="0.25">
      <c r="A13" s="310"/>
      <c r="B13" s="2"/>
      <c r="C13" s="310"/>
      <c r="D13" s="311"/>
      <c r="E13" s="311"/>
      <c r="F13" s="311"/>
      <c r="G13" s="2"/>
      <c r="H13" s="310"/>
      <c r="I13" s="310"/>
      <c r="J13" s="310"/>
      <c r="K13" s="310"/>
      <c r="L13" s="310"/>
      <c r="M13" s="310"/>
      <c r="N13" s="310"/>
      <c r="O13" s="310"/>
      <c r="P13" s="1"/>
      <c r="Q13" s="1"/>
      <c r="R13" s="1"/>
      <c r="S13" s="1"/>
      <c r="V13" s="2"/>
      <c r="W13" s="310"/>
      <c r="AD13" s="310"/>
      <c r="AE13" s="310"/>
    </row>
    <row r="14" spans="1:32" x14ac:dyDescent="0.25">
      <c r="A14" s="310"/>
      <c r="B14" s="2"/>
      <c r="C14" s="310"/>
      <c r="D14" s="311"/>
      <c r="E14" s="311"/>
      <c r="F14" s="311"/>
      <c r="G14" s="2"/>
      <c r="H14" s="310"/>
      <c r="I14" s="310"/>
      <c r="J14" s="310"/>
      <c r="K14" s="310"/>
      <c r="L14" s="310"/>
      <c r="M14" s="310"/>
      <c r="N14" s="310"/>
      <c r="O14" s="310"/>
      <c r="P14" s="1"/>
      <c r="Q14" s="1"/>
      <c r="R14" s="1"/>
      <c r="S14" s="1"/>
      <c r="V14" s="2"/>
      <c r="W14" s="310"/>
      <c r="AD14" s="310"/>
      <c r="AE14" s="310"/>
    </row>
    <row r="15" spans="1:32" ht="20.25" x14ac:dyDescent="0.3">
      <c r="A15" s="310"/>
      <c r="B15" s="159" t="s">
        <v>186</v>
      </c>
      <c r="C15" s="312" t="s">
        <v>269</v>
      </c>
      <c r="D15" s="313"/>
      <c r="E15" s="313"/>
      <c r="F15" s="313"/>
      <c r="G15" s="313"/>
      <c r="H15" s="314"/>
      <c r="I15" s="314"/>
      <c r="J15" s="314"/>
      <c r="K15" s="314"/>
      <c r="L15" s="314"/>
      <c r="M15" s="314"/>
      <c r="N15" s="314"/>
      <c r="O15" s="314"/>
      <c r="P15" s="315"/>
      <c r="Q15" s="315"/>
      <c r="R15" s="315"/>
      <c r="S15" s="315"/>
      <c r="W15" s="550" t="s">
        <v>188</v>
      </c>
      <c r="X15" s="316" t="s">
        <v>270</v>
      </c>
      <c r="Y15" s="316"/>
      <c r="Z15" s="316"/>
      <c r="AA15" s="316"/>
      <c r="AB15" s="316"/>
      <c r="AC15" s="316"/>
      <c r="AD15" s="316"/>
      <c r="AE15" s="313"/>
      <c r="AF15" s="313"/>
    </row>
    <row r="16" spans="1:32" ht="18" x14ac:dyDescent="0.25">
      <c r="A16" s="310"/>
      <c r="B16" s="2"/>
      <c r="C16" s="310"/>
      <c r="D16" s="311"/>
      <c r="E16" s="311"/>
      <c r="F16" s="311"/>
      <c r="G16" s="2"/>
      <c r="H16" s="310"/>
      <c r="I16" s="310"/>
      <c r="J16" s="310"/>
      <c r="K16" s="310"/>
      <c r="L16" s="310"/>
      <c r="M16" s="310"/>
      <c r="N16" s="310"/>
      <c r="O16" s="310"/>
      <c r="P16" s="310"/>
      <c r="Q16" s="306"/>
      <c r="R16" s="306"/>
      <c r="S16" s="2"/>
      <c r="W16" s="316"/>
      <c r="X16" s="310"/>
      <c r="Y16" s="310"/>
      <c r="Z16" s="310"/>
      <c r="AA16" s="310"/>
      <c r="AB16" s="310"/>
      <c r="AC16" s="310"/>
      <c r="AD16"/>
      <c r="AE16" s="310"/>
      <c r="AF16" s="310"/>
    </row>
    <row r="17" spans="1:33" x14ac:dyDescent="0.25">
      <c r="A17" s="317"/>
      <c r="B17" s="2"/>
      <c r="C17" s="317"/>
      <c r="D17" s="318"/>
      <c r="E17" s="318"/>
      <c r="F17" s="426"/>
      <c r="G17" s="2"/>
      <c r="H17" s="317"/>
      <c r="I17" s="317"/>
      <c r="J17" s="317"/>
      <c r="K17" s="317"/>
      <c r="L17" s="317"/>
      <c r="M17" s="317"/>
      <c r="N17" s="317"/>
      <c r="O17" s="317"/>
      <c r="P17" s="317"/>
      <c r="Q17" s="149"/>
      <c r="R17" s="318"/>
      <c r="S17" s="2"/>
      <c r="X17" s="1"/>
      <c r="Y17" s="1"/>
      <c r="Z17" s="1"/>
      <c r="AA17" s="1"/>
      <c r="AB17" s="1"/>
      <c r="AC17" s="1"/>
      <c r="AD17"/>
    </row>
    <row r="18" spans="1:33" x14ac:dyDescent="0.25">
      <c r="A18" s="1">
        <f>MAX($A$1:A17)+1</f>
        <v>1</v>
      </c>
      <c r="B18" s="319" t="str">
        <f>IF(ISBLANK(INDEX(ModelGroup,A18,1)),"Not Used",INDEX(ModelGroup,A18,1))</f>
        <v>SB Off-ramp to Ave 280</v>
      </c>
      <c r="C18" s="2"/>
      <c r="D18" s="2"/>
      <c r="E18" s="2"/>
      <c r="F18" s="2"/>
      <c r="G18" s="2"/>
      <c r="H18" s="320"/>
      <c r="I18" s="320"/>
      <c r="J18" s="320"/>
      <c r="K18" s="320"/>
      <c r="L18" s="320"/>
      <c r="M18" s="320"/>
      <c r="N18" s="320"/>
      <c r="O18" s="320"/>
      <c r="P18" s="320"/>
      <c r="Q18" s="2"/>
      <c r="R18" s="2"/>
      <c r="S18" s="2"/>
      <c r="T18" s="2"/>
      <c r="X18" s="1"/>
      <c r="Y18" s="1"/>
      <c r="Z18" s="1"/>
      <c r="AA18" s="1"/>
      <c r="AB18" s="1"/>
      <c r="AC18" s="1"/>
      <c r="AD18"/>
    </row>
    <row r="19" spans="1:33" x14ac:dyDescent="0.25">
      <c r="B19" s="2"/>
      <c r="C19" s="2"/>
      <c r="D19" s="321"/>
      <c r="E19" s="321"/>
      <c r="F19" s="321"/>
      <c r="G19" s="2"/>
      <c r="H19" s="2"/>
      <c r="I19" s="2"/>
      <c r="J19" s="2"/>
      <c r="K19" s="2"/>
      <c r="L19" s="2"/>
      <c r="M19" s="2"/>
      <c r="N19" s="2"/>
      <c r="O19" s="2"/>
      <c r="P19" s="2"/>
      <c r="Q19" s="2"/>
      <c r="R19" s="2"/>
      <c r="S19" s="2"/>
      <c r="T19" s="149"/>
      <c r="X19" s="1"/>
      <c r="Y19" s="1"/>
      <c r="Z19" s="1"/>
      <c r="AA19" s="1"/>
      <c r="AB19" s="1"/>
      <c r="AC19" s="1"/>
      <c r="AD19"/>
    </row>
    <row r="20" spans="1:33" ht="15.75" x14ac:dyDescent="0.25">
      <c r="B20" s="322"/>
      <c r="C20" s="325" t="s">
        <v>271</v>
      </c>
      <c r="D20" s="326"/>
      <c r="E20" s="325" t="s">
        <v>190</v>
      </c>
      <c r="F20" s="776"/>
      <c r="G20" s="325" t="s">
        <v>272</v>
      </c>
      <c r="H20" s="324"/>
      <c r="I20" s="325" t="str">
        <f>IF(INDEX(HwyTransitModelGroup,A18,1)=Hwy,"TOTAL VEHICLE TRIPS","TOTAL PERSON TRIPS")</f>
        <v>TOTAL VEHICLE TRIPS</v>
      </c>
      <c r="J20" s="324"/>
      <c r="K20" s="427"/>
      <c r="L20" s="323" t="s">
        <v>192</v>
      </c>
      <c r="M20" s="326"/>
      <c r="N20" s="323" t="s">
        <v>228</v>
      </c>
      <c r="O20" s="776"/>
      <c r="P20" s="325" t="s">
        <v>273</v>
      </c>
      <c r="Q20" s="323"/>
      <c r="R20" s="876"/>
      <c r="S20" s="329"/>
      <c r="T20" s="330"/>
      <c r="W20" s="322"/>
      <c r="X20" s="52">
        <v>1</v>
      </c>
      <c r="Y20" s="52">
        <v>2</v>
      </c>
      <c r="Z20" s="52">
        <v>3</v>
      </c>
      <c r="AA20" s="52">
        <v>4</v>
      </c>
      <c r="AB20" s="52">
        <v>5</v>
      </c>
      <c r="AC20" s="52">
        <v>6</v>
      </c>
      <c r="AD20"/>
      <c r="AE20" s="333" t="s">
        <v>39</v>
      </c>
      <c r="AF20" s="334"/>
      <c r="AG20" s="333"/>
    </row>
    <row r="21" spans="1:33" x14ac:dyDescent="0.25">
      <c r="B21" s="335"/>
      <c r="C21" s="338" t="s">
        <v>274</v>
      </c>
      <c r="D21" s="339"/>
      <c r="E21" s="338" t="s">
        <v>275</v>
      </c>
      <c r="F21" s="336"/>
      <c r="G21" s="338" t="s">
        <v>276</v>
      </c>
      <c r="H21" s="337"/>
      <c r="I21" s="817" t="s">
        <v>199</v>
      </c>
      <c r="J21" s="337"/>
      <c r="K21" s="428"/>
      <c r="L21" s="336" t="s">
        <v>277</v>
      </c>
      <c r="M21" s="339"/>
      <c r="N21" s="336" t="s">
        <v>230</v>
      </c>
      <c r="O21" s="336"/>
      <c r="P21" s="340" t="s">
        <v>203</v>
      </c>
      <c r="Q21" s="838"/>
      <c r="R21" s="341"/>
      <c r="S21" s="342"/>
      <c r="T21" s="343"/>
      <c r="W21" s="335"/>
      <c r="X21" s="1777" t="str">
        <f t="shared" ref="X21:AC21" si="0">IF(ISBLANK(INDEX(ModelGroup,X20,1)),"Not Used",INDEX(ModelGroup,X20,1))</f>
        <v>SB Off-ramp to Ave 280</v>
      </c>
      <c r="Y21" s="1777" t="str">
        <f t="shared" si="0"/>
        <v>SB On-ramp from Ave 280</v>
      </c>
      <c r="Z21" s="1777" t="str">
        <f t="shared" si="0"/>
        <v>NB Off-ramp to Ave 280</v>
      </c>
      <c r="AA21" s="1777" t="str">
        <f t="shared" si="0"/>
        <v>NB On-ramp from Ave 280</v>
      </c>
      <c r="AB21" s="1777" t="str">
        <f t="shared" si="0"/>
        <v>NB Mainline</v>
      </c>
      <c r="AC21" s="1777" t="str">
        <f t="shared" si="0"/>
        <v>SB Mainline</v>
      </c>
      <c r="AD21"/>
      <c r="AE21" s="347" t="s">
        <v>204</v>
      </c>
      <c r="AF21" s="334"/>
      <c r="AG21" s="347"/>
    </row>
    <row r="22" spans="1:33" x14ac:dyDescent="0.25">
      <c r="B22" s="77" t="s">
        <v>34</v>
      </c>
      <c r="C22" s="348"/>
      <c r="D22" s="349"/>
      <c r="E22" s="348"/>
      <c r="F22" s="781"/>
      <c r="G22" s="723"/>
      <c r="H22" s="349"/>
      <c r="I22" s="723"/>
      <c r="J22" s="781"/>
      <c r="K22" s="349" t="s">
        <v>278</v>
      </c>
      <c r="L22" s="348"/>
      <c r="M22" s="349"/>
      <c r="N22" s="348"/>
      <c r="O22" s="781"/>
      <c r="P22" s="350" t="s">
        <v>279</v>
      </c>
      <c r="Q22" s="839" t="s">
        <v>280</v>
      </c>
      <c r="R22" s="349" t="s">
        <v>281</v>
      </c>
      <c r="S22" s="351" t="s">
        <v>208</v>
      </c>
      <c r="T22" s="347" t="s">
        <v>39</v>
      </c>
      <c r="W22" s="77" t="s">
        <v>34</v>
      </c>
      <c r="X22" s="1778"/>
      <c r="Y22" s="1778"/>
      <c r="Z22" s="1778"/>
      <c r="AA22" s="1778"/>
      <c r="AB22" s="1778"/>
      <c r="AC22" s="1778"/>
      <c r="AD22"/>
      <c r="AE22" s="347" t="s">
        <v>282</v>
      </c>
      <c r="AF22" s="334"/>
      <c r="AG22" s="347" t="s">
        <v>208</v>
      </c>
    </row>
    <row r="23" spans="1:33" x14ac:dyDescent="0.25">
      <c r="B23" s="355"/>
      <c r="C23" s="356" t="s">
        <v>74</v>
      </c>
      <c r="D23" s="357" t="s">
        <v>125</v>
      </c>
      <c r="E23" s="356" t="s">
        <v>74</v>
      </c>
      <c r="F23" s="783" t="s">
        <v>125</v>
      </c>
      <c r="G23" s="724" t="s">
        <v>74</v>
      </c>
      <c r="H23" s="357" t="s">
        <v>125</v>
      </c>
      <c r="I23" s="724" t="s">
        <v>74</v>
      </c>
      <c r="J23" s="783" t="s">
        <v>125</v>
      </c>
      <c r="K23" s="357" t="s">
        <v>125</v>
      </c>
      <c r="L23" s="356" t="s">
        <v>74</v>
      </c>
      <c r="M23" s="357" t="s">
        <v>125</v>
      </c>
      <c r="N23" s="356" t="s">
        <v>74</v>
      </c>
      <c r="O23" s="783" t="s">
        <v>125</v>
      </c>
      <c r="P23" s="358" t="s">
        <v>283</v>
      </c>
      <c r="Q23" s="840" t="s">
        <v>283</v>
      </c>
      <c r="R23" s="357" t="s">
        <v>284</v>
      </c>
      <c r="S23" s="359" t="s">
        <v>48</v>
      </c>
      <c r="T23" s="360" t="s">
        <v>49</v>
      </c>
      <c r="W23" s="355"/>
      <c r="X23" s="1779"/>
      <c r="Y23" s="1779"/>
      <c r="Z23" s="1779"/>
      <c r="AA23" s="1779"/>
      <c r="AB23" s="1779"/>
      <c r="AC23" s="1779"/>
      <c r="AD23"/>
      <c r="AE23" s="360" t="str">
        <f>IF(VehOp&lt;&gt;"N","Benefits","Benefits*")</f>
        <v>Benefits</v>
      </c>
      <c r="AF23" s="334"/>
      <c r="AG23" s="360" t="s">
        <v>48</v>
      </c>
    </row>
    <row r="24" spans="1:33" x14ac:dyDescent="0.25">
      <c r="B24" s="363">
        <f>YearFirst</f>
        <v>2026</v>
      </c>
      <c r="C24" s="364">
        <f>INDEX(ModelData1NB,A18,2)*AnnualFactor</f>
        <v>751535</v>
      </c>
      <c r="D24" s="365">
        <f>INDEX(ModelData1B,A18,2)*AnnualFactor</f>
        <v>723430</v>
      </c>
      <c r="E24" s="364">
        <f>IF(INDEX(HwyTransitModelGroup,A18,1)=Hwy,INDEX(ModelData1NB,A18,3),0)*AnnualFactor</f>
        <v>17520</v>
      </c>
      <c r="F24" s="365">
        <f>IF(INDEX(HwyTransitModelGroup,A18,1)=Hwy,INDEX(ModelData1B,A18,3),0)*AnnualFactor</f>
        <v>17155</v>
      </c>
      <c r="G24" s="429">
        <f>IF(E24=0,55,MAX(5,ROUND(C24/E24,1)))</f>
        <v>42.9</v>
      </c>
      <c r="H24" s="430">
        <f>IF(F24=0,55,MAX(5,ROUND(D24/F24,1)))</f>
        <v>42.2</v>
      </c>
      <c r="I24" s="364">
        <f>INDEX(ModelData1NB,A18,1)*AnnualFactor</f>
        <v>0</v>
      </c>
      <c r="J24" s="914">
        <f>INDEX(ModelData1B,A18,1)*AnnualFactor</f>
        <v>0</v>
      </c>
      <c r="K24" s="918">
        <f>'Travel Time'!O24</f>
        <v>1</v>
      </c>
      <c r="L24" s="818">
        <f>INDEX(ModelData1NB,A18,9)</f>
        <v>0.24</v>
      </c>
      <c r="M24" s="819">
        <f>INDEX(ModelData1B,A18,9)</f>
        <v>0.24</v>
      </c>
      <c r="N24" s="822">
        <f>INDEX(ModelData1NB,A18,6)</f>
        <v>0</v>
      </c>
      <c r="O24" s="823">
        <f>INDEX(ModelData1B,A18,6)</f>
        <v>0</v>
      </c>
      <c r="P24" s="367">
        <f>(C24*(1-L24)*VLOOKUP(G24,FuelCon,2)-D24*(1-M24)*VLOOKUP(H24,FuelCon,2))*FuelAuto+(C24*L24*VLOOKUP(G24,FuelCon,3)-D24*M24*VLOOKUP(H24,FuelCon,3))*FuelTruck</f>
        <v>3419.411687999991</v>
      </c>
      <c r="Q24" s="701">
        <f>(C24*(1-L24)-D24*(1-M24))*NonFuelAuto+(C24*L24-D24*M24)*NonFuelTruck</f>
        <v>10571.97679999998</v>
      </c>
      <c r="R24" s="368">
        <f>I24*N24-K24*O24</f>
        <v>0</v>
      </c>
      <c r="S24" s="369">
        <f>SUM(P24:R24)</f>
        <v>13991.388487999971</v>
      </c>
      <c r="T24" s="370">
        <f>S24/(1+DiscRate)^(B24-YearCurrent)</f>
        <v>11959.897517867432</v>
      </c>
      <c r="W24" s="375">
        <f>YearOpen</f>
        <v>2026</v>
      </c>
      <c r="X24" s="376">
        <f t="shared" ref="X24:AC43" ca="1" si="1">OFFSET($T9,MATCH(X$20,$A:$A),0)</f>
        <v>11959.897517867432</v>
      </c>
      <c r="Y24" s="376">
        <f t="shared" ca="1" si="1"/>
        <v>-6030.3303401053863</v>
      </c>
      <c r="Z24" s="376">
        <f t="shared" ca="1" si="1"/>
        <v>4076.5195580566615</v>
      </c>
      <c r="AA24" s="376">
        <f t="shared" ca="1" si="1"/>
        <v>45491.768751942058</v>
      </c>
      <c r="AB24" s="376">
        <f t="shared" ca="1" si="1"/>
        <v>584721.67165234045</v>
      </c>
      <c r="AC24" s="376">
        <f t="shared" ca="1" si="1"/>
        <v>869167.35233360215</v>
      </c>
      <c r="AD24"/>
      <c r="AE24" s="370">
        <f ca="1">IF(VehOp&lt;&gt;"N",SUM($X24:AD24),0)</f>
        <v>1509386.8794737034</v>
      </c>
      <c r="AF24" s="377"/>
      <c r="AG24" s="370">
        <f t="shared" ref="AG24:AG43" ca="1" si="2">$AE24*(1+DiscRate)^($W24-YearCurrent)</f>
        <v>1765769.1613040005</v>
      </c>
    </row>
    <row r="25" spans="1:33" x14ac:dyDescent="0.25">
      <c r="B25" s="379">
        <f>YearLast</f>
        <v>2046</v>
      </c>
      <c r="C25" s="380">
        <f>INDEX(ModelData20NB,A18,2)*AnnualFactor</f>
        <v>944985</v>
      </c>
      <c r="D25" s="381">
        <f>INDEX(ModelData20B,A18,2)*AnnualFactor</f>
        <v>1045725</v>
      </c>
      <c r="E25" s="380">
        <f>IF(INDEX(HwyTransitModelGroup,A18,1)=Hwy,INDEX(ModelData20NB,A18,3),0)*AnnualFactor</f>
        <v>22630</v>
      </c>
      <c r="F25" s="381">
        <f>IF(INDEX(HwyTransitModelGroup,A18,1)=Hwy,INDEX(ModelData20B,A18,3),0)*AnnualFactor</f>
        <v>24820</v>
      </c>
      <c r="G25" s="432">
        <f>IF(E25=0,55,MAX(5,ROUND(C25/E25,1)))</f>
        <v>41.8</v>
      </c>
      <c r="H25" s="433">
        <f>IF(F25=0,55,MAX(5,ROUND(D25/F25,1)))</f>
        <v>42.1</v>
      </c>
      <c r="I25" s="380">
        <f>INDEX(ModelData20NB,A18,1)*AnnualFactor</f>
        <v>0</v>
      </c>
      <c r="J25" s="381">
        <f>INDEX(ModelData20B,A18,1)*AnnualFactor</f>
        <v>0</v>
      </c>
      <c r="K25" s="917">
        <f>'Travel Time'!O25</f>
        <v>1</v>
      </c>
      <c r="L25" s="820">
        <f>INDEX(ModelData20NB,A18,9)</f>
        <v>0.24</v>
      </c>
      <c r="M25" s="821">
        <f>INDEX(ModelData20B,A18,9)</f>
        <v>0.24</v>
      </c>
      <c r="N25" s="824">
        <f>INDEX(ModelData20NB,A18,6)</f>
        <v>0</v>
      </c>
      <c r="O25" s="825">
        <f>INDEX(ModelData20B,A18,6)</f>
        <v>0</v>
      </c>
      <c r="P25" s="383">
        <f>(C25*(1-L25)*VLOOKUP(G25,FuelCon,2)-D25*(1-M25)*VLOOKUP(H25,FuelCon,2))*FuelAuto+(C25*L25*VLOOKUP(G25,FuelCon,3)-D25*M25*VLOOKUP(H25,FuelCon,3))*FuelTruck</f>
        <v>-12256.59254400001</v>
      </c>
      <c r="Q25" s="702">
        <f>(C25*(1-L25)-D25*(1-M25))*NonFuelAuto+(C25*L25-D25*M25)*NonFuelTruck</f>
        <v>-37894.358400000012</v>
      </c>
      <c r="R25" s="384">
        <f>I25*N25-K25*O25</f>
        <v>0</v>
      </c>
      <c r="S25" s="369">
        <f>SUM(P25:R25)</f>
        <v>-50150.950944000026</v>
      </c>
      <c r="T25" s="370">
        <f>S25/(1+DiscRate)^(B25-YearCurrent)</f>
        <v>-19564.962922033046</v>
      </c>
      <c r="W25" s="375">
        <f>W24+1</f>
        <v>2027</v>
      </c>
      <c r="X25" s="376">
        <f t="shared" ca="1" si="1"/>
        <v>8863.8850859819158</v>
      </c>
      <c r="Y25" s="376">
        <f t="shared" ca="1" si="1"/>
        <v>-5908.6644772878381</v>
      </c>
      <c r="Z25" s="376">
        <f t="shared" ca="1" si="1"/>
        <v>3990.5047329626932</v>
      </c>
      <c r="AA25" s="376">
        <f t="shared" ca="1" si="1"/>
        <v>44316.866412959273</v>
      </c>
      <c r="AB25" s="376">
        <f t="shared" ca="1" si="1"/>
        <v>593692.71490261273</v>
      </c>
      <c r="AC25" s="376">
        <f t="shared" ca="1" si="1"/>
        <v>861349.93493440852</v>
      </c>
      <c r="AD25"/>
      <c r="AE25" s="370">
        <f ca="1">IF(VehOp&lt;&gt;"N",SUM($X25:AD25),0)</f>
        <v>1506305.2415916373</v>
      </c>
      <c r="AF25" s="377"/>
      <c r="AG25" s="370">
        <f t="shared" ca="1" si="2"/>
        <v>1832650.6440827991</v>
      </c>
    </row>
    <row r="26" spans="1:33" x14ac:dyDescent="0.25">
      <c r="B26" s="385"/>
      <c r="C26" s="388"/>
      <c r="D26" s="388"/>
      <c r="E26" s="388"/>
      <c r="F26" s="388"/>
      <c r="G26" s="814"/>
      <c r="H26" s="815"/>
      <c r="I26" s="814"/>
      <c r="J26" s="434"/>
      <c r="K26" s="916"/>
      <c r="L26" s="434"/>
      <c r="M26" s="434"/>
      <c r="N26" s="434"/>
      <c r="O26" s="434"/>
      <c r="P26" s="388"/>
      <c r="Q26" s="388"/>
      <c r="R26" s="388"/>
      <c r="S26" s="388"/>
      <c r="T26" s="389"/>
      <c r="W26" s="375">
        <f t="shared" ref="W26:W43" si="3">W25+1</f>
        <v>2028</v>
      </c>
      <c r="X26" s="376">
        <f t="shared" ca="1" si="1"/>
        <v>5988.3353004576538</v>
      </c>
      <c r="Y26" s="376">
        <f t="shared" ca="1" si="1"/>
        <v>-5787.4369199826842</v>
      </c>
      <c r="Z26" s="376">
        <f t="shared" ca="1" si="1"/>
        <v>3905.0760785001439</v>
      </c>
      <c r="AA26" s="376">
        <f t="shared" ca="1" si="1"/>
        <v>43165.045661069897</v>
      </c>
      <c r="AB26" s="376">
        <f t="shared" ca="1" si="1"/>
        <v>601108.70501580474</v>
      </c>
      <c r="AC26" s="376">
        <f t="shared" ca="1" si="1"/>
        <v>852848.10681395058</v>
      </c>
      <c r="AD26"/>
      <c r="AE26" s="370">
        <f ca="1">IF(VehOp&lt;&gt;"N",SUM($X26:AD26),0)</f>
        <v>1501227.8319498003</v>
      </c>
      <c r="AF26" s="377"/>
      <c r="AG26" s="370">
        <f t="shared" ca="1" si="2"/>
        <v>1899532.1268615997</v>
      </c>
    </row>
    <row r="27" spans="1:33" x14ac:dyDescent="0.25">
      <c r="B27" s="375">
        <f>YearOpen</f>
        <v>2026</v>
      </c>
      <c r="C27" s="401">
        <f>MAX(TREND(C24:C25,$B24:$B25,$B27),0)</f>
        <v>751535</v>
      </c>
      <c r="D27" s="402">
        <f>MAX(TREND(D24:D25,$B24:$B25,$B27),0)</f>
        <v>723430</v>
      </c>
      <c r="E27" s="401">
        <f>MAX(TREND(E24:E25,$B24:$B25,$B27),0)</f>
        <v>17520</v>
      </c>
      <c r="F27" s="813">
        <f>MAX(TREND(F24:F25,$B24:$B25,$B27),0)</f>
        <v>17155</v>
      </c>
      <c r="G27" s="435">
        <f t="shared" ref="G27:H42" si="4">IF(E27=0,55,MAX(5,ROUND(C27/E27,1)))</f>
        <v>42.9</v>
      </c>
      <c r="H27" s="436">
        <f t="shared" si="4"/>
        <v>42.2</v>
      </c>
      <c r="I27" s="393">
        <f>MAX(TREND(I24:I25,$B24:$B25,$B27),0)</f>
        <v>0</v>
      </c>
      <c r="J27" s="915">
        <f>MAX(TREND(J24:J25,$B24:$B25,$B27),0)</f>
        <v>0</v>
      </c>
      <c r="K27" s="394">
        <f>TREND(K24:K25,$B24:$B25,$B27)</f>
        <v>1</v>
      </c>
      <c r="L27" s="816">
        <f>MIN(MAX(TREND(L24:L25,$B24:$B25,$B27),0),1)</f>
        <v>0.24</v>
      </c>
      <c r="M27" s="406">
        <f>MIN(MAX(TREND(M24:M25,$B24:$B25,$B27),0),1)</f>
        <v>0.24</v>
      </c>
      <c r="N27" s="826">
        <f>MAX(TREND(N24:N25,$B24:$B25,$B27),0)</f>
        <v>0</v>
      </c>
      <c r="O27" s="827">
        <f>MAX(TREND(O24:O25,$B24:$B25,$B27),0)</f>
        <v>0</v>
      </c>
      <c r="P27" s="367">
        <f t="shared" ref="P27:P46" si="5">(C27*(1-L27)*VLOOKUP(G27,FuelCon,2)-D27*(1-M27)*VLOOKUP(H27,FuelCon,2))*FuelAuto+(C27*L27*VLOOKUP(G27,FuelCon,3)-D27*M27*VLOOKUP(H27,FuelCon,3))*FuelTruck</f>
        <v>3419.411687999991</v>
      </c>
      <c r="Q27" s="701">
        <f t="shared" ref="Q27:Q46" si="6">(C27*(1-L27)-D27*(1-M27))*NonFuelAuto+(C27*L27-D27*M27)*NonFuelTruck</f>
        <v>10571.97679999998</v>
      </c>
      <c r="R27" s="368">
        <f t="shared" ref="R27:R46" si="7">I27*N27-K27*O27</f>
        <v>0</v>
      </c>
      <c r="S27" s="369">
        <f t="shared" ref="S27:S46" si="8">SUM(P27:R27)</f>
        <v>13991.388487999971</v>
      </c>
      <c r="T27" s="370">
        <f t="shared" ref="T27:T46" si="9">S27/(1+DiscRate)^(B27-YearCurrent)</f>
        <v>11959.897517867432</v>
      </c>
      <c r="W27" s="375">
        <f t="shared" si="3"/>
        <v>2029</v>
      </c>
      <c r="X27" s="376">
        <f t="shared" ca="1" si="1"/>
        <v>3320.8693962369816</v>
      </c>
      <c r="Y27" s="376">
        <f t="shared" ca="1" si="1"/>
        <v>-5666.7939314683663</v>
      </c>
      <c r="Z27" s="376">
        <f t="shared" ca="1" si="1"/>
        <v>3820.3157454859324</v>
      </c>
      <c r="AA27" s="376">
        <f t="shared" ca="1" si="1"/>
        <v>42036.269010785945</v>
      </c>
      <c r="AB27" s="376">
        <f t="shared" ca="1" si="1"/>
        <v>607075.99068996042</v>
      </c>
      <c r="AC27" s="376">
        <f t="shared" ca="1" si="1"/>
        <v>843726.07917770813</v>
      </c>
      <c r="AD27"/>
      <c r="AE27" s="370">
        <f ca="1">IF(VehOp&lt;&gt;"N",SUM($X27:AD27),0)</f>
        <v>1494312.7300887089</v>
      </c>
      <c r="AF27" s="377"/>
      <c r="AG27" s="370">
        <f t="shared" ca="1" si="2"/>
        <v>1966413.6096404006</v>
      </c>
    </row>
    <row r="28" spans="1:33" x14ac:dyDescent="0.25">
      <c r="B28" s="375">
        <f>B27+1</f>
        <v>2027</v>
      </c>
      <c r="C28" s="401">
        <f>MAX(TREND(C24:C25,$B24:$B25,$B28),0)</f>
        <v>761207.5</v>
      </c>
      <c r="D28" s="402">
        <f>MAX(TREND(D24:D25,$B24:$B25,$B28),0)</f>
        <v>739544.75</v>
      </c>
      <c r="E28" s="401">
        <f>MAX(TREND(E24:E25,$B24:$B25,$B28),0)</f>
        <v>17775.5</v>
      </c>
      <c r="F28" s="813">
        <f>MAX(TREND(F24:F25,$B24:$B25,$B28),0)</f>
        <v>17538.25</v>
      </c>
      <c r="G28" s="435">
        <f t="shared" si="4"/>
        <v>42.8</v>
      </c>
      <c r="H28" s="436">
        <f t="shared" si="4"/>
        <v>42.2</v>
      </c>
      <c r="I28" s="401">
        <f>MAX(TREND(I24:I25,$B24:$B25,$B28),0)</f>
        <v>0</v>
      </c>
      <c r="J28" s="813">
        <f>MAX(TREND(J24:J25,$B24:$B25,$B28),0)</f>
        <v>0</v>
      </c>
      <c r="K28" s="402">
        <f>TREND(K24:K25,$B24:$B25,$B28)</f>
        <v>1</v>
      </c>
      <c r="L28" s="816">
        <f>MIN(MAX(TREND(L24:L25,$B24:$B25,$B28),0),1)</f>
        <v>0.24</v>
      </c>
      <c r="M28" s="406">
        <f>MIN(MAX(TREND(M24:M25,$B24:$B25,$B28),0),1)</f>
        <v>0.24</v>
      </c>
      <c r="N28" s="828">
        <f>MAX(TREND(N24:N25,$B24:$B25,$B28),0)</f>
        <v>0</v>
      </c>
      <c r="O28" s="829">
        <f>MAX(TREND(O24:O25,$B24:$B25,$B28),0)</f>
        <v>0</v>
      </c>
      <c r="P28" s="399">
        <f t="shared" si="5"/>
        <v>2635.6114763999958</v>
      </c>
      <c r="Q28" s="706">
        <f t="shared" si="6"/>
        <v>8148.6600399999788</v>
      </c>
      <c r="R28" s="400">
        <f t="shared" si="7"/>
        <v>0</v>
      </c>
      <c r="S28" s="369">
        <f t="shared" si="8"/>
        <v>10784.271516399975</v>
      </c>
      <c r="T28" s="370">
        <f t="shared" si="9"/>
        <v>8863.8850859819158</v>
      </c>
      <c r="W28" s="375">
        <f t="shared" si="3"/>
        <v>2030</v>
      </c>
      <c r="X28" s="376">
        <f t="shared" ca="1" si="1"/>
        <v>849.73469278414063</v>
      </c>
      <c r="Y28" s="376">
        <f t="shared" ca="1" si="1"/>
        <v>-5546.8698756208123</v>
      </c>
      <c r="Z28" s="376">
        <f t="shared" ca="1" si="1"/>
        <v>3736.2986983271098</v>
      </c>
      <c r="AA28" s="376">
        <f t="shared" ca="1" si="1"/>
        <v>40930.467715758961</v>
      </c>
      <c r="AB28" s="376">
        <f t="shared" ca="1" si="1"/>
        <v>611695.04032850638</v>
      </c>
      <c r="AC28" s="376">
        <f t="shared" ca="1" si="1"/>
        <v>834044.1363495565</v>
      </c>
      <c r="AD28"/>
      <c r="AE28" s="370">
        <f ca="1">IF(VehOp&lt;&gt;"N",SUM($X28:AD28),0)</f>
        <v>1485708.8079093122</v>
      </c>
      <c r="AF28" s="377"/>
      <c r="AG28" s="370">
        <f t="shared" ca="1" si="2"/>
        <v>2033295.0924191992</v>
      </c>
    </row>
    <row r="29" spans="1:33" x14ac:dyDescent="0.25">
      <c r="B29" s="375">
        <f t="shared" ref="B29:B46" si="10">B28+1</f>
        <v>2028</v>
      </c>
      <c r="C29" s="401">
        <f>MAX(TREND(C24:C25,$B24:$B25,$B29),0)</f>
        <v>770880</v>
      </c>
      <c r="D29" s="402">
        <f>MAX(TREND(D24:D25,$B24:$B25,$B29),0)</f>
        <v>755659.5</v>
      </c>
      <c r="E29" s="401">
        <f>MAX(TREND(E24:E25,$B24:$B25,$B29),0)</f>
        <v>18031</v>
      </c>
      <c r="F29" s="813">
        <f>MAX(TREND(F24:F25,$B24:$B25,$B29),0)</f>
        <v>17921.5</v>
      </c>
      <c r="G29" s="435">
        <f t="shared" si="4"/>
        <v>42.8</v>
      </c>
      <c r="H29" s="436">
        <f t="shared" si="4"/>
        <v>42.2</v>
      </c>
      <c r="I29" s="401">
        <f>MAX(TREND(I24:I25,$B24:$B25,$B29),0)</f>
        <v>0</v>
      </c>
      <c r="J29" s="813">
        <f>MAX(TREND(J24:J25,$B24:$B25,$B29),0)</f>
        <v>0</v>
      </c>
      <c r="K29" s="402">
        <f>TREND(K24:K25,$B24:$B25,$B29)</f>
        <v>1</v>
      </c>
      <c r="L29" s="816">
        <f>MIN(MAX(TREND(L24:L25,$B24:$B25,$B29),0),1)</f>
        <v>0.24</v>
      </c>
      <c r="M29" s="406">
        <f>MIN(MAX(TREND(M24:M25,$B24:$B25,$B29),0),1)</f>
        <v>0.24</v>
      </c>
      <c r="N29" s="828">
        <f>MAX(TREND(N24:N25,$B24:$B25,$B29),0)</f>
        <v>0</v>
      </c>
      <c r="O29" s="829">
        <f>MAX(TREND(O24:O25,$B24:$B25,$B29),0)</f>
        <v>0</v>
      </c>
      <c r="P29" s="399">
        <f t="shared" si="5"/>
        <v>1851.8112648000106</v>
      </c>
      <c r="Q29" s="706">
        <f t="shared" si="6"/>
        <v>5725.3432800000191</v>
      </c>
      <c r="R29" s="400">
        <f t="shared" si="7"/>
        <v>0</v>
      </c>
      <c r="S29" s="369">
        <f t="shared" si="8"/>
        <v>7577.1545448000297</v>
      </c>
      <c r="T29" s="370">
        <f t="shared" si="9"/>
        <v>5988.3353004576538</v>
      </c>
      <c r="W29" s="375">
        <f t="shared" si="3"/>
        <v>2031</v>
      </c>
      <c r="X29" s="376">
        <f t="shared" ca="1" si="1"/>
        <v>-1436.2252544803905</v>
      </c>
      <c r="Y29" s="376">
        <f t="shared" ca="1" si="1"/>
        <v>-5427.7879158865853</v>
      </c>
      <c r="Z29" s="376">
        <f t="shared" ca="1" si="1"/>
        <v>4111.637612311908</v>
      </c>
      <c r="AA29" s="376">
        <f t="shared" ca="1" si="1"/>
        <v>39847.544228913386</v>
      </c>
      <c r="AB29" s="376">
        <f t="shared" ca="1" si="1"/>
        <v>615060.73705004959</v>
      </c>
      <c r="AC29" s="376">
        <f t="shared" ca="1" si="1"/>
        <v>823858.8428525991</v>
      </c>
      <c r="AD29"/>
      <c r="AE29" s="370">
        <f ca="1">IF(VehOp&lt;&gt;"N",SUM($X29:AD29),0)</f>
        <v>1476014.7485735072</v>
      </c>
      <c r="AF29" s="377"/>
      <c r="AG29" s="370">
        <f t="shared" ca="1" si="2"/>
        <v>2100829.2269530012</v>
      </c>
    </row>
    <row r="30" spans="1:33" x14ac:dyDescent="0.25">
      <c r="B30" s="375">
        <f t="shared" si="10"/>
        <v>2029</v>
      </c>
      <c r="C30" s="401">
        <f>MAX(TREND(C24:C25,$B24:$B25,$B30),0)</f>
        <v>780552.5</v>
      </c>
      <c r="D30" s="402">
        <f>MAX(TREND(D24:D25,$B24:$B25,$B30),0)</f>
        <v>771774.25</v>
      </c>
      <c r="E30" s="401">
        <f>MAX(TREND(E24:E25,$B24:$B25,$B30),0)</f>
        <v>18286.5</v>
      </c>
      <c r="F30" s="813">
        <f>MAX(TREND(F24:F25,$B24:$B25,$B30),0)</f>
        <v>18304.75</v>
      </c>
      <c r="G30" s="435">
        <f t="shared" si="4"/>
        <v>42.7</v>
      </c>
      <c r="H30" s="436">
        <f t="shared" si="4"/>
        <v>42.2</v>
      </c>
      <c r="I30" s="401">
        <f>MAX(TREND(I24:I25,$B24:$B25,$B30),0)</f>
        <v>0</v>
      </c>
      <c r="J30" s="813">
        <f>MAX(TREND(J24:J25,$B24:$B25,$B30),0)</f>
        <v>0</v>
      </c>
      <c r="K30" s="402">
        <f>TREND(K24:K25,$B24:$B25,$B30)</f>
        <v>1</v>
      </c>
      <c r="L30" s="816">
        <f>MIN(MAX(TREND(L24:L25,$B24:$B25,$B30),0),1)</f>
        <v>0.24</v>
      </c>
      <c r="M30" s="406">
        <f>MIN(MAX(TREND(M24:M25,$B24:$B25,$B30),0),1)</f>
        <v>0.24</v>
      </c>
      <c r="N30" s="828">
        <f>MAX(TREND(N24:N25,$B24:$B25,$B30),0)</f>
        <v>0</v>
      </c>
      <c r="O30" s="829">
        <f>MAX(TREND(O24:O25,$B24:$B25,$B30),0)</f>
        <v>0</v>
      </c>
      <c r="P30" s="399">
        <f t="shared" si="5"/>
        <v>1068.0110531999926</v>
      </c>
      <c r="Q30" s="706">
        <f t="shared" si="6"/>
        <v>3302.0265199999894</v>
      </c>
      <c r="R30" s="400">
        <f t="shared" si="7"/>
        <v>0</v>
      </c>
      <c r="S30" s="369">
        <f t="shared" si="8"/>
        <v>4370.037573199982</v>
      </c>
      <c r="T30" s="370">
        <f t="shared" si="9"/>
        <v>3320.8693962369816</v>
      </c>
      <c r="W30" s="375">
        <f t="shared" si="3"/>
        <v>2032</v>
      </c>
      <c r="X30" s="376">
        <f t="shared" ca="1" si="1"/>
        <v>-3547.5991328618666</v>
      </c>
      <c r="Y30" s="376">
        <f t="shared" ca="1" si="1"/>
        <v>-6478.539464943131</v>
      </c>
      <c r="Z30" s="376">
        <f t="shared" ca="1" si="1"/>
        <v>4019.3815027822816</v>
      </c>
      <c r="AA30" s="376">
        <f t="shared" ca="1" si="1"/>
        <v>38787.374519582903</v>
      </c>
      <c r="AB30" s="376">
        <f t="shared" ca="1" si="1"/>
        <v>617262.65970376867</v>
      </c>
      <c r="AC30" s="376">
        <f t="shared" ca="1" si="1"/>
        <v>813223.2403696829</v>
      </c>
      <c r="AD30"/>
      <c r="AE30" s="370">
        <f ca="1">IF(VehOp&lt;&gt;"N",SUM($X30:AD30),0)</f>
        <v>1463266.5174980117</v>
      </c>
      <c r="AF30" s="377"/>
      <c r="AG30" s="370">
        <f t="shared" ca="1" si="2"/>
        <v>2165991.8998388005</v>
      </c>
    </row>
    <row r="31" spans="1:33" x14ac:dyDescent="0.25">
      <c r="B31" s="375">
        <f t="shared" si="10"/>
        <v>2030</v>
      </c>
      <c r="C31" s="401">
        <f>MAX(TREND(C24:C25,$B24:$B25,$B31),0)</f>
        <v>790225</v>
      </c>
      <c r="D31" s="402">
        <f>MAX(TREND(D24:D25,$B24:$B25,$B31),0)</f>
        <v>787889</v>
      </c>
      <c r="E31" s="401">
        <f>MAX(TREND(E24:E25,$B24:$B25,$B31),0)</f>
        <v>18542</v>
      </c>
      <c r="F31" s="813">
        <f>MAX(TREND(F24:F25,$B24:$B25,$B31),0)</f>
        <v>18688</v>
      </c>
      <c r="G31" s="435">
        <f t="shared" si="4"/>
        <v>42.6</v>
      </c>
      <c r="H31" s="436">
        <f t="shared" si="4"/>
        <v>42.2</v>
      </c>
      <c r="I31" s="401">
        <f>MAX(TREND(I24:I25,$B24:$B25,$B31),0)</f>
        <v>0</v>
      </c>
      <c r="J31" s="813">
        <f>MAX(TREND(J24:J25,$B24:$B25,$B31),0)</f>
        <v>0</v>
      </c>
      <c r="K31" s="402">
        <f>TREND(K24:K25,$B24:$B25,$B31)</f>
        <v>1</v>
      </c>
      <c r="L31" s="816">
        <f>MIN(MAX(TREND(L24:L25,$B24:$B25,$B31),0),1)</f>
        <v>0.24</v>
      </c>
      <c r="M31" s="406">
        <f>MIN(MAX(TREND(M24:M25,$B24:$B25,$B31),0),1)</f>
        <v>0.24</v>
      </c>
      <c r="N31" s="828">
        <f>MAX(TREND(N24:N25,$B24:$B25,$B31),0)</f>
        <v>0</v>
      </c>
      <c r="O31" s="829">
        <f>MAX(TREND(O24:O25,$B24:$B25,$B31),0)</f>
        <v>0</v>
      </c>
      <c r="P31" s="399">
        <f t="shared" si="5"/>
        <v>284.2108416000076</v>
      </c>
      <c r="Q31" s="706">
        <f t="shared" si="6"/>
        <v>878.7097600000011</v>
      </c>
      <c r="R31" s="400">
        <f t="shared" si="7"/>
        <v>0</v>
      </c>
      <c r="S31" s="369">
        <f t="shared" si="8"/>
        <v>1162.9206016000087</v>
      </c>
      <c r="T31" s="370">
        <f t="shared" si="9"/>
        <v>849.73469278414063</v>
      </c>
      <c r="W31" s="375">
        <f t="shared" si="3"/>
        <v>2033</v>
      </c>
      <c r="X31" s="376">
        <f t="shared" ca="1" si="1"/>
        <v>-5494.4350424114291</v>
      </c>
      <c r="Y31" s="376">
        <f t="shared" ca="1" si="1"/>
        <v>-6335.8439748095452</v>
      </c>
      <c r="Z31" s="376">
        <f t="shared" ca="1" si="1"/>
        <v>3928.1397129024335</v>
      </c>
      <c r="AA31" s="376">
        <f t="shared" ca="1" si="1"/>
        <v>37749.810255010176</v>
      </c>
      <c r="AB31" s="376">
        <f t="shared" ca="1" si="1"/>
        <v>618385.35053049994</v>
      </c>
      <c r="AC31" s="376">
        <f t="shared" ca="1" si="1"/>
        <v>802187.03505578858</v>
      </c>
      <c r="AD31"/>
      <c r="AE31" s="370">
        <f ca="1">IF(VehOp&lt;&gt;"N",SUM($X31:AD31),0)</f>
        <v>1450420.0565369802</v>
      </c>
      <c r="AF31" s="377"/>
      <c r="AG31" s="370">
        <f t="shared" ca="1" si="2"/>
        <v>2232855.0393965994</v>
      </c>
    </row>
    <row r="32" spans="1:33" x14ac:dyDescent="0.25">
      <c r="B32" s="375">
        <f t="shared" si="10"/>
        <v>2031</v>
      </c>
      <c r="C32" s="401">
        <f>MAX(TREND(C24:C25,$B24:$B25,$B32),0)</f>
        <v>799897.5</v>
      </c>
      <c r="D32" s="402">
        <f>MAX(TREND(D24:D25,$B24:$B25,$B32),0)</f>
        <v>804003.75</v>
      </c>
      <c r="E32" s="401">
        <f>MAX(TREND(E24:E25,$B24:$B25,$B32),0)</f>
        <v>18797.5</v>
      </c>
      <c r="F32" s="813">
        <f>MAX(TREND(F24:F25,$B24:$B25,$B32),0)</f>
        <v>19071.25</v>
      </c>
      <c r="G32" s="435">
        <f t="shared" si="4"/>
        <v>42.6</v>
      </c>
      <c r="H32" s="436">
        <f t="shared" si="4"/>
        <v>42.2</v>
      </c>
      <c r="I32" s="401">
        <f>MAX(TREND(I24:I25,$B24:$B25,$B32),0)</f>
        <v>0</v>
      </c>
      <c r="J32" s="813">
        <f>MAX(TREND(J24:J25,$B24:$B25,$B32),0)</f>
        <v>0</v>
      </c>
      <c r="K32" s="402">
        <f>TREND(K24:K25,$B24:$B25,$B32)</f>
        <v>1</v>
      </c>
      <c r="L32" s="816">
        <f>MIN(MAX(TREND(L24:L25,$B24:$B25,$B32),0),1)</f>
        <v>0.24</v>
      </c>
      <c r="M32" s="406">
        <f>MIN(MAX(TREND(M24:M25,$B24:$B25,$B32),0),1)</f>
        <v>0.24</v>
      </c>
      <c r="N32" s="828">
        <f>MAX(TREND(N24:N25,$B24:$B25,$B32),0)</f>
        <v>0</v>
      </c>
      <c r="O32" s="829">
        <f>MAX(TREND(O24:O25,$B24:$B25,$B32),0)</f>
        <v>0</v>
      </c>
      <c r="P32" s="399">
        <f t="shared" si="5"/>
        <v>-499.58936999999355</v>
      </c>
      <c r="Q32" s="706">
        <f t="shared" si="6"/>
        <v>-1544.607</v>
      </c>
      <c r="R32" s="400">
        <f t="shared" si="7"/>
        <v>0</v>
      </c>
      <c r="S32" s="369">
        <f t="shared" si="8"/>
        <v>-2044.1963699999935</v>
      </c>
      <c r="T32" s="370">
        <f t="shared" si="9"/>
        <v>-1436.2252544803905</v>
      </c>
      <c r="W32" s="375">
        <f t="shared" si="3"/>
        <v>2034</v>
      </c>
      <c r="X32" s="376">
        <f t="shared" ca="1" si="1"/>
        <v>-7286.2664158227963</v>
      </c>
      <c r="Y32" s="376">
        <f t="shared" ca="1" si="1"/>
        <v>-6194.5414225783479</v>
      </c>
      <c r="Z32" s="376">
        <f t="shared" ca="1" si="1"/>
        <v>3837.9706916186824</v>
      </c>
      <c r="AA32" s="376">
        <f t="shared" ca="1" si="1"/>
        <v>36734.680853215912</v>
      </c>
      <c r="AB32" s="376">
        <f t="shared" ca="1" si="1"/>
        <v>618508.57008105749</v>
      </c>
      <c r="AC32" s="376">
        <f t="shared" ca="1" si="1"/>
        <v>790796.77565306763</v>
      </c>
      <c r="AD32"/>
      <c r="AE32" s="370">
        <f ca="1">IF(VehOp&lt;&gt;"N",SUM($X32:AD32),0)</f>
        <v>1436397.1894405587</v>
      </c>
      <c r="AF32" s="377"/>
      <c r="AG32" s="370">
        <f t="shared" ca="1" si="2"/>
        <v>2299718.1789544001</v>
      </c>
    </row>
    <row r="33" spans="2:33" x14ac:dyDescent="0.25">
      <c r="B33" s="375">
        <f t="shared" si="10"/>
        <v>2032</v>
      </c>
      <c r="C33" s="401">
        <f>MAX(TREND(C24:C25,$B24:$B25,$B33),0)</f>
        <v>809570</v>
      </c>
      <c r="D33" s="402">
        <f>MAX(TREND(D24:D25,$B24:$B25,$B33),0)</f>
        <v>820118.5</v>
      </c>
      <c r="E33" s="401">
        <f>MAX(TREND(E24:E25,$B24:$B25,$B33),0)</f>
        <v>19053</v>
      </c>
      <c r="F33" s="813">
        <f>MAX(TREND(F24:F25,$B24:$B25,$B33),0)</f>
        <v>19454.5</v>
      </c>
      <c r="G33" s="435">
        <f t="shared" si="4"/>
        <v>42.5</v>
      </c>
      <c r="H33" s="436">
        <f t="shared" si="4"/>
        <v>42.2</v>
      </c>
      <c r="I33" s="401">
        <f>MAX(TREND(I24:I25,$B24:$B25,$B33),0)</f>
        <v>0</v>
      </c>
      <c r="J33" s="813">
        <f>MAX(TREND(J24:J25,$B24:$B25,$B33),0)</f>
        <v>0</v>
      </c>
      <c r="K33" s="402">
        <f>TREND(K24:K25,$B24:$B25,$B33)</f>
        <v>1</v>
      </c>
      <c r="L33" s="816">
        <f>MIN(MAX(TREND(L24:L25,$B24:$B25,$B33),0),1)</f>
        <v>0.24</v>
      </c>
      <c r="M33" s="406">
        <f>MIN(MAX(TREND(M24:M25,$B24:$B25,$B33),0),1)</f>
        <v>0.24</v>
      </c>
      <c r="N33" s="828">
        <f>MAX(TREND(N24:N25,$B24:$B25,$B33),0)</f>
        <v>0</v>
      </c>
      <c r="O33" s="829">
        <f>MAX(TREND(O24:O25,$B24:$B25,$B33),0)</f>
        <v>0</v>
      </c>
      <c r="P33" s="399">
        <f t="shared" si="5"/>
        <v>-1283.3895816000106</v>
      </c>
      <c r="Q33" s="706">
        <f t="shared" si="6"/>
        <v>-3967.9237600000424</v>
      </c>
      <c r="R33" s="400">
        <f t="shared" si="7"/>
        <v>0</v>
      </c>
      <c r="S33" s="369">
        <f t="shared" si="8"/>
        <v>-5251.3133416000528</v>
      </c>
      <c r="T33" s="370">
        <f t="shared" si="9"/>
        <v>-3547.5991328618666</v>
      </c>
      <c r="W33" s="375">
        <f t="shared" si="3"/>
        <v>2035</v>
      </c>
      <c r="X33" s="376">
        <f t="shared" ca="1" si="1"/>
        <v>-8932.1367441753318</v>
      </c>
      <c r="Y33" s="376">
        <f t="shared" ca="1" si="1"/>
        <v>-6054.7357471832465</v>
      </c>
      <c r="Z33" s="376">
        <f t="shared" ca="1" si="1"/>
        <v>3748.9268913317596</v>
      </c>
      <c r="AA33" s="376">
        <f t="shared" ca="1" si="1"/>
        <v>35741.795413904285</v>
      </c>
      <c r="AB33" s="376">
        <f t="shared" ca="1" si="1"/>
        <v>617707.53997605352</v>
      </c>
      <c r="AC33" s="376">
        <f t="shared" ca="1" si="1"/>
        <v>779096.02283893456</v>
      </c>
      <c r="AD33"/>
      <c r="AE33" s="370">
        <f ca="1">IF(VehOp&lt;&gt;"N",SUM($X33:AD33),0)</f>
        <v>1421307.4126288656</v>
      </c>
      <c r="AF33" s="377"/>
      <c r="AG33" s="370">
        <f t="shared" ca="1" si="2"/>
        <v>2366581.3185121994</v>
      </c>
    </row>
    <row r="34" spans="2:33" x14ac:dyDescent="0.25">
      <c r="B34" s="375">
        <f t="shared" si="10"/>
        <v>2033</v>
      </c>
      <c r="C34" s="401">
        <f>MAX(TREND(C24:C25,$B24:$B25,$B34),0)</f>
        <v>819242.5</v>
      </c>
      <c r="D34" s="402">
        <f>MAX(TREND(D24:D25,$B24:$B25,$B34),0)</f>
        <v>836233.25</v>
      </c>
      <c r="E34" s="401">
        <f>MAX(TREND(E24:E25,$B24:$B25,$B34),0)</f>
        <v>19308.5</v>
      </c>
      <c r="F34" s="813">
        <f>MAX(TREND(F24:F25,$B24:$B25,$B34),0)</f>
        <v>19837.75</v>
      </c>
      <c r="G34" s="435">
        <f t="shared" si="4"/>
        <v>42.4</v>
      </c>
      <c r="H34" s="436">
        <f t="shared" si="4"/>
        <v>42.2</v>
      </c>
      <c r="I34" s="401">
        <f>MAX(TREND(I24:I25,$B24:$B25,$B34),0)</f>
        <v>0</v>
      </c>
      <c r="J34" s="813">
        <f>MAX(TREND(J24:J25,$B24:$B25,$B34),0)</f>
        <v>0</v>
      </c>
      <c r="K34" s="402">
        <f>TREND(K24:K25,$B24:$B25,$B34)</f>
        <v>1</v>
      </c>
      <c r="L34" s="816">
        <f>MIN(MAX(TREND(L24:L25,$B24:$B25,$B34),0),1)</f>
        <v>0.24</v>
      </c>
      <c r="M34" s="406">
        <f>MIN(MAX(TREND(M24:M25,$B24:$B25,$B34),0),1)</f>
        <v>0.24</v>
      </c>
      <c r="N34" s="828">
        <f>MAX(TREND(N24:N25,$B24:$B25,$B34),0)</f>
        <v>0</v>
      </c>
      <c r="O34" s="829">
        <f>MAX(TREND(O24:O25,$B24:$B25,$B34),0)</f>
        <v>0</v>
      </c>
      <c r="P34" s="399">
        <f t="shared" si="5"/>
        <v>-2067.1897931999956</v>
      </c>
      <c r="Q34" s="706">
        <f t="shared" si="6"/>
        <v>-6391.2405199999894</v>
      </c>
      <c r="R34" s="400">
        <f t="shared" si="7"/>
        <v>0</v>
      </c>
      <c r="S34" s="369">
        <f t="shared" si="8"/>
        <v>-8458.4303131999841</v>
      </c>
      <c r="T34" s="370">
        <f t="shared" si="9"/>
        <v>-5494.4350424114291</v>
      </c>
      <c r="W34" s="375">
        <f t="shared" si="3"/>
        <v>2036</v>
      </c>
      <c r="X34" s="376">
        <f t="shared" ca="1" si="1"/>
        <v>-10440.623162039443</v>
      </c>
      <c r="Y34" s="376">
        <f t="shared" ca="1" si="1"/>
        <v>-5916.5208316963863</v>
      </c>
      <c r="Z34" s="376">
        <f t="shared" ca="1" si="1"/>
        <v>3661.0551427065029</v>
      </c>
      <c r="AA34" s="376">
        <f t="shared" ca="1" si="1"/>
        <v>34770.944533750953</v>
      </c>
      <c r="AB34" s="376">
        <f t="shared" ca="1" si="1"/>
        <v>616053.17406539759</v>
      </c>
      <c r="AC34" s="376">
        <f t="shared" ca="1" si="1"/>
        <v>767125.51021811774</v>
      </c>
      <c r="AD34"/>
      <c r="AE34" s="370">
        <f ca="1">IF(VehOp&lt;&gt;"N",SUM($X34:AD34),0)</f>
        <v>1405253.5399662368</v>
      </c>
      <c r="AF34" s="377"/>
      <c r="AG34" s="370">
        <f t="shared" ca="1" si="2"/>
        <v>2433444.4580699988</v>
      </c>
    </row>
    <row r="35" spans="2:33" x14ac:dyDescent="0.25">
      <c r="B35" s="375">
        <f t="shared" si="10"/>
        <v>2034</v>
      </c>
      <c r="C35" s="401">
        <f>MAX(TREND(C24:C25,$B24:$B25,$B35),0)</f>
        <v>828915</v>
      </c>
      <c r="D35" s="402">
        <f>MAX(TREND(D24:D25,$B24:$B25,$B35),0)</f>
        <v>852348</v>
      </c>
      <c r="E35" s="401">
        <f>MAX(TREND(E24:E25,$B24:$B25,$B35),0)</f>
        <v>19564</v>
      </c>
      <c r="F35" s="813">
        <f>MAX(TREND(F24:F25,$B24:$B25,$B35),0)</f>
        <v>20221</v>
      </c>
      <c r="G35" s="435">
        <f t="shared" si="4"/>
        <v>42.4</v>
      </c>
      <c r="H35" s="436">
        <f t="shared" si="4"/>
        <v>42.2</v>
      </c>
      <c r="I35" s="401">
        <f>MAX(TREND(I24:I25,$B24:$B25,$B35),0)</f>
        <v>0</v>
      </c>
      <c r="J35" s="813">
        <f>MAX(TREND(J24:J25,$B24:$B25,$B35),0)</f>
        <v>0</v>
      </c>
      <c r="K35" s="402">
        <f>TREND(K24:K25,$B24:$B25,$B35)</f>
        <v>1</v>
      </c>
      <c r="L35" s="816">
        <f>MIN(MAX(TREND(L24:L25,$B24:$B25,$B35),0),1)</f>
        <v>0.24</v>
      </c>
      <c r="M35" s="406">
        <f>MIN(MAX(TREND(M24:M25,$B24:$B25,$B35),0),1)</f>
        <v>0.24</v>
      </c>
      <c r="N35" s="828">
        <f>MAX(TREND(N24:N25,$B24:$B25,$B35),0)</f>
        <v>0</v>
      </c>
      <c r="O35" s="829">
        <f>MAX(TREND(O24:O25,$B24:$B25,$B35),0)</f>
        <v>0</v>
      </c>
      <c r="P35" s="399">
        <f t="shared" si="5"/>
        <v>-2850.9900047999863</v>
      </c>
      <c r="Q35" s="706">
        <f t="shared" si="6"/>
        <v>-8814.5572799999773</v>
      </c>
      <c r="R35" s="400">
        <f t="shared" si="7"/>
        <v>0</v>
      </c>
      <c r="S35" s="369">
        <f t="shared" si="8"/>
        <v>-11665.547284799963</v>
      </c>
      <c r="T35" s="370">
        <f t="shared" si="9"/>
        <v>-7286.2664158227963</v>
      </c>
      <c r="W35" s="375">
        <f t="shared" si="3"/>
        <v>2037</v>
      </c>
      <c r="X35" s="376">
        <f t="shared" ca="1" si="1"/>
        <v>-11819.858943109002</v>
      </c>
      <c r="Y35" s="376">
        <f t="shared" ca="1" si="1"/>
        <v>-5779.9811231002705</v>
      </c>
      <c r="Z35" s="376">
        <f t="shared" ca="1" si="1"/>
        <v>3574.3970095208924</v>
      </c>
      <c r="AA35" s="376">
        <f t="shared" ca="1" si="1"/>
        <v>33650.262619283043</v>
      </c>
      <c r="AB35" s="376">
        <f t="shared" ca="1" si="1"/>
        <v>613612.29852068587</v>
      </c>
      <c r="AC35" s="376">
        <f t="shared" ca="1" si="1"/>
        <v>754923.29735091666</v>
      </c>
      <c r="AD35"/>
      <c r="AE35" s="370">
        <f ca="1">IF(VehOp&lt;&gt;"N",SUM($X35:AD35),0)</f>
        <v>1388160.4154341971</v>
      </c>
      <c r="AF35" s="377"/>
      <c r="AG35" s="370">
        <f t="shared" ca="1" si="2"/>
        <v>2499998.4847780005</v>
      </c>
    </row>
    <row r="36" spans="2:33" x14ac:dyDescent="0.25">
      <c r="B36" s="375">
        <f t="shared" si="10"/>
        <v>2035</v>
      </c>
      <c r="C36" s="401">
        <f>MAX(TREND(C24:C25,$B24:$B25,$B36),0)</f>
        <v>838587.5</v>
      </c>
      <c r="D36" s="402">
        <f>MAX(TREND(D24:D25,$B24:$B25,$B36),0)</f>
        <v>868462.75</v>
      </c>
      <c r="E36" s="401">
        <f>MAX(TREND(E24:E25,$B24:$B25,$B36),0)</f>
        <v>19819.5</v>
      </c>
      <c r="F36" s="813">
        <f>MAX(TREND(F24:F25,$B24:$B25,$B36),0)</f>
        <v>20604.25</v>
      </c>
      <c r="G36" s="435">
        <f t="shared" si="4"/>
        <v>42.3</v>
      </c>
      <c r="H36" s="436">
        <f t="shared" si="4"/>
        <v>42.1</v>
      </c>
      <c r="I36" s="401">
        <f>MAX(TREND(I24:I25,$B24:$B25,$B36),0)</f>
        <v>0</v>
      </c>
      <c r="J36" s="813">
        <f>MAX(TREND(J24:J25,$B24:$B25,$B36),0)</f>
        <v>0</v>
      </c>
      <c r="K36" s="402">
        <f>TREND(K24:K25,$B24:$B25,$B36)</f>
        <v>1</v>
      </c>
      <c r="L36" s="816">
        <f>MIN(MAX(TREND(L24:L25,$B24:$B25,$B36),0),1)</f>
        <v>0.24</v>
      </c>
      <c r="M36" s="406">
        <f>MIN(MAX(TREND(M24:M25,$B24:$B25,$B36),0),1)</f>
        <v>0.24</v>
      </c>
      <c r="N36" s="828">
        <f>MAX(TREND(N24:N25,$B24:$B25,$B36),0)</f>
        <v>0</v>
      </c>
      <c r="O36" s="829">
        <f>MAX(TREND(O24:O25,$B24:$B25,$B36),0)</f>
        <v>0</v>
      </c>
      <c r="P36" s="399">
        <f t="shared" si="5"/>
        <v>-3634.7902163999988</v>
      </c>
      <c r="Q36" s="706">
        <f t="shared" si="6"/>
        <v>-11237.874040000021</v>
      </c>
      <c r="R36" s="400">
        <f t="shared" si="7"/>
        <v>0</v>
      </c>
      <c r="S36" s="369">
        <f t="shared" si="8"/>
        <v>-14872.664256400019</v>
      </c>
      <c r="T36" s="370">
        <f t="shared" si="9"/>
        <v>-8932.1367441753318</v>
      </c>
      <c r="W36" s="375">
        <f t="shared" si="3"/>
        <v>2038</v>
      </c>
      <c r="X36" s="376">
        <f t="shared" ca="1" si="1"/>
        <v>-13077.554955276712</v>
      </c>
      <c r="Y36" s="376">
        <f t="shared" ca="1" si="1"/>
        <v>-5645.1922192605089</v>
      </c>
      <c r="Z36" s="376">
        <f t="shared" ca="1" si="1"/>
        <v>3488.9891245349008</v>
      </c>
      <c r="AA36" s="376">
        <f t="shared" ca="1" si="1"/>
        <v>32727.527559305981</v>
      </c>
      <c r="AB36" s="376">
        <f t="shared" ca="1" si="1"/>
        <v>610447.86136984872</v>
      </c>
      <c r="AC36" s="376">
        <f t="shared" ca="1" si="1"/>
        <v>742524.91519211151</v>
      </c>
      <c r="AD36"/>
      <c r="AE36" s="370">
        <f ca="1">IF(VehOp&lt;&gt;"N",SUM($X36:AD36),0)</f>
        <v>1370466.546071264</v>
      </c>
      <c r="AF36" s="377"/>
      <c r="AG36" s="370">
        <f t="shared" ca="1" si="2"/>
        <v>2566858.1386880004</v>
      </c>
    </row>
    <row r="37" spans="2:33" x14ac:dyDescent="0.25">
      <c r="B37" s="375">
        <f t="shared" si="10"/>
        <v>2036</v>
      </c>
      <c r="C37" s="401">
        <f>MAX(TREND(C24:C25,$B24:$B25,$B37),0)</f>
        <v>848260</v>
      </c>
      <c r="D37" s="402">
        <f>MAX(TREND(D24:D25,$B24:$B25,$B37),0)</f>
        <v>884577.5</v>
      </c>
      <c r="E37" s="401">
        <f>MAX(TREND(E24:E25,$B24:$B25,$B37),0)</f>
        <v>20075</v>
      </c>
      <c r="F37" s="813">
        <f>MAX(TREND(F24:F25,$B24:$B25,$B37),0)</f>
        <v>20987.5</v>
      </c>
      <c r="G37" s="435">
        <f t="shared" si="4"/>
        <v>42.3</v>
      </c>
      <c r="H37" s="436">
        <f t="shared" si="4"/>
        <v>42.1</v>
      </c>
      <c r="I37" s="401">
        <f>MAX(TREND(I24:I25,$B24:$B25,$B37),0)</f>
        <v>0</v>
      </c>
      <c r="J37" s="813">
        <f>MAX(TREND(J24:J25,$B24:$B25,$B37),0)</f>
        <v>0</v>
      </c>
      <c r="K37" s="402">
        <f>TREND(K24:K25,$B24:$B25,$B37)</f>
        <v>1</v>
      </c>
      <c r="L37" s="816">
        <f>MIN(MAX(TREND(L24:L25,$B24:$B25,$B37),0),1)</f>
        <v>0.24</v>
      </c>
      <c r="M37" s="406">
        <f>MIN(MAX(TREND(M24:M25,$B24:$B25,$B37),0),1)</f>
        <v>0.24</v>
      </c>
      <c r="N37" s="828">
        <f>MAX(TREND(N24:N25,$B24:$B25,$B37),0)</f>
        <v>0</v>
      </c>
      <c r="O37" s="829">
        <f>MAX(TREND(O24:O25,$B24:$B25,$B37),0)</f>
        <v>0</v>
      </c>
      <c r="P37" s="399">
        <f t="shared" si="5"/>
        <v>-4418.5904279999995</v>
      </c>
      <c r="Q37" s="706">
        <f t="shared" si="6"/>
        <v>-13661.190800000022</v>
      </c>
      <c r="R37" s="400">
        <f t="shared" si="7"/>
        <v>0</v>
      </c>
      <c r="S37" s="369">
        <f t="shared" si="8"/>
        <v>-18079.781228000022</v>
      </c>
      <c r="T37" s="370">
        <f t="shared" si="9"/>
        <v>-10440.623162039443</v>
      </c>
      <c r="W37" s="375">
        <f t="shared" si="3"/>
        <v>2039</v>
      </c>
      <c r="X37" s="376">
        <f t="shared" ca="1" si="1"/>
        <v>-14221.020121918045</v>
      </c>
      <c r="Y37" s="376">
        <f t="shared" ca="1" si="1"/>
        <v>-5512.221424705589</v>
      </c>
      <c r="Z37" s="376">
        <f t="shared" ca="1" si="1"/>
        <v>3404.8635073148062</v>
      </c>
      <c r="AA37" s="376">
        <f t="shared" ca="1" si="1"/>
        <v>31825.993624328228</v>
      </c>
      <c r="AB37" s="376">
        <f t="shared" ca="1" si="1"/>
        <v>606619.13196061319</v>
      </c>
      <c r="AC37" s="376">
        <f t="shared" ca="1" si="1"/>
        <v>729963.50429796218</v>
      </c>
      <c r="AD37"/>
      <c r="AE37" s="370">
        <f ca="1">IF(VehOp&lt;&gt;"N",SUM($X37:AD37),0)</f>
        <v>1352080.2518435947</v>
      </c>
      <c r="AF37" s="377"/>
      <c r="AG37" s="370">
        <f t="shared" ca="1" si="2"/>
        <v>2633717.7925980003</v>
      </c>
    </row>
    <row r="38" spans="2:33" x14ac:dyDescent="0.25">
      <c r="B38" s="375">
        <f t="shared" si="10"/>
        <v>2037</v>
      </c>
      <c r="C38" s="401">
        <f>MAX(TREND(C24:C25,$B24:$B25,$B38),0)</f>
        <v>857932.5</v>
      </c>
      <c r="D38" s="402">
        <f>MAX(TREND(D24:D25,$B24:$B25,$B38),0)</f>
        <v>900692.25</v>
      </c>
      <c r="E38" s="401">
        <f>MAX(TREND(E24:E25,$B24:$B25,$B38),0)</f>
        <v>20330.5</v>
      </c>
      <c r="F38" s="813">
        <f>MAX(TREND(F24:F25,$B24:$B25,$B38),0)</f>
        <v>21370.75</v>
      </c>
      <c r="G38" s="435">
        <f t="shared" si="4"/>
        <v>42.2</v>
      </c>
      <c r="H38" s="436">
        <f t="shared" si="4"/>
        <v>42.1</v>
      </c>
      <c r="I38" s="401">
        <f>MAX(TREND(I24:I25,$B24:$B25,$B38),0)</f>
        <v>0</v>
      </c>
      <c r="J38" s="813">
        <f>MAX(TREND(J24:J25,$B24:$B25,$B38),0)</f>
        <v>0</v>
      </c>
      <c r="K38" s="402">
        <f>TREND(K24:K25,$B24:$B25,$B38)</f>
        <v>1</v>
      </c>
      <c r="L38" s="816">
        <f>MIN(MAX(TREND(L24:L25,$B24:$B25,$B38),0),1)</f>
        <v>0.24</v>
      </c>
      <c r="M38" s="406">
        <f>MIN(MAX(TREND(M24:M25,$B24:$B25,$B38),0),1)</f>
        <v>0.24</v>
      </c>
      <c r="N38" s="828">
        <f>MAX(TREND(N24:N25,$B24:$B25,$B38),0)</f>
        <v>0</v>
      </c>
      <c r="O38" s="829">
        <f>MAX(TREND(O24:O25,$B24:$B25,$B38),0)</f>
        <v>0</v>
      </c>
      <c r="P38" s="399">
        <f t="shared" si="5"/>
        <v>-5202.3906396000002</v>
      </c>
      <c r="Q38" s="706">
        <f t="shared" si="6"/>
        <v>-16084.507560000009</v>
      </c>
      <c r="R38" s="400">
        <f t="shared" si="7"/>
        <v>0</v>
      </c>
      <c r="S38" s="369">
        <f t="shared" si="8"/>
        <v>-21286.898199600008</v>
      </c>
      <c r="T38" s="370">
        <f t="shared" si="9"/>
        <v>-11819.858943109002</v>
      </c>
      <c r="W38" s="375">
        <f t="shared" si="3"/>
        <v>2040</v>
      </c>
      <c r="X38" s="376">
        <f t="shared" ca="1" si="1"/>
        <v>-15257.180934090982</v>
      </c>
      <c r="Y38" s="376">
        <f t="shared" ca="1" si="1"/>
        <v>-5381.1282767447692</v>
      </c>
      <c r="Z38" s="376">
        <f t="shared" ca="1" si="1"/>
        <v>3322.0478649037436</v>
      </c>
      <c r="AA38" s="376">
        <f t="shared" ca="1" si="1"/>
        <v>30945.394951272832</v>
      </c>
      <c r="AB38" s="376">
        <f t="shared" ca="1" si="1"/>
        <v>602181.89081751695</v>
      </c>
      <c r="AC38" s="376">
        <f t="shared" ca="1" si="1"/>
        <v>717269.94614242739</v>
      </c>
      <c r="AD38"/>
      <c r="AE38" s="370">
        <f ca="1">IF(VehOp&lt;&gt;"N",SUM($X38:AD38),0)</f>
        <v>1333080.9705652851</v>
      </c>
      <c r="AF38" s="377"/>
      <c r="AG38" s="370">
        <f t="shared" ca="1" si="2"/>
        <v>2700577.4465079987</v>
      </c>
    </row>
    <row r="39" spans="2:33" x14ac:dyDescent="0.25">
      <c r="B39" s="375">
        <f t="shared" si="10"/>
        <v>2038</v>
      </c>
      <c r="C39" s="401">
        <f>MAX(TREND(C24:C25,$B24:$B25,$B39),0)</f>
        <v>867605</v>
      </c>
      <c r="D39" s="402">
        <f>MAX(TREND(D24:D25,$B24:$B25,$B39),0)</f>
        <v>916807</v>
      </c>
      <c r="E39" s="401">
        <f>MAX(TREND(E24:E25,$B24:$B25,$B39),0)</f>
        <v>20586</v>
      </c>
      <c r="F39" s="813">
        <f>MAX(TREND(F24:F25,$B24:$B25,$B39),0)</f>
        <v>21754</v>
      </c>
      <c r="G39" s="435">
        <f t="shared" si="4"/>
        <v>42.1</v>
      </c>
      <c r="H39" s="436">
        <f t="shared" si="4"/>
        <v>42.1</v>
      </c>
      <c r="I39" s="401">
        <f>MAX(TREND(I24:I25,$B24:$B25,$B39),0)</f>
        <v>0</v>
      </c>
      <c r="J39" s="813">
        <f>MAX(TREND(J24:J25,$B24:$B25,$B39),0)</f>
        <v>0</v>
      </c>
      <c r="K39" s="402">
        <f>TREND(K24:K25,$B24:$B25,$B39)</f>
        <v>1</v>
      </c>
      <c r="L39" s="816">
        <f>MIN(MAX(TREND(L24:L25,$B24:$B25,$B39),0),1)</f>
        <v>0.24</v>
      </c>
      <c r="M39" s="406">
        <f>MIN(MAX(TREND(M24:M25,$B24:$B25,$B39),0),1)</f>
        <v>0.24</v>
      </c>
      <c r="N39" s="828">
        <f>MAX(TREND(N24:N25,$B24:$B25,$B39),0)</f>
        <v>0</v>
      </c>
      <c r="O39" s="829">
        <f>MAX(TREND(O24:O25,$B24:$B25,$B39),0)</f>
        <v>0</v>
      </c>
      <c r="P39" s="399">
        <f t="shared" si="5"/>
        <v>-5986.1908512000018</v>
      </c>
      <c r="Q39" s="706">
        <f t="shared" si="6"/>
        <v>-18507.824320000011</v>
      </c>
      <c r="R39" s="400">
        <f t="shared" si="7"/>
        <v>0</v>
      </c>
      <c r="S39" s="369">
        <f t="shared" si="8"/>
        <v>-24494.015171200012</v>
      </c>
      <c r="T39" s="370">
        <f t="shared" si="9"/>
        <v>-13077.554955276712</v>
      </c>
      <c r="W39" s="375">
        <f t="shared" si="3"/>
        <v>2041</v>
      </c>
      <c r="X39" s="376">
        <f t="shared" ca="1" si="1"/>
        <v>-16192.600056389803</v>
      </c>
      <c r="Y39" s="376">
        <f t="shared" ca="1" si="1"/>
        <v>-6286.9235761752398</v>
      </c>
      <c r="Z39" s="376">
        <f t="shared" ca="1" si="1"/>
        <v>3240.5658761880286</v>
      </c>
      <c r="AA39" s="376">
        <f t="shared" ca="1" si="1"/>
        <v>30085.454765457933</v>
      </c>
      <c r="AB39" s="376">
        <f t="shared" ca="1" si="1"/>
        <v>597188.61033637519</v>
      </c>
      <c r="AC39" s="376">
        <f t="shared" ca="1" si="1"/>
        <v>704472.98786823847</v>
      </c>
      <c r="AD39"/>
      <c r="AE39" s="370">
        <f ca="1">IF(VehOp&lt;&gt;"N",SUM($X39:AD39),0)</f>
        <v>1312508.0952136945</v>
      </c>
      <c r="AF39" s="377"/>
      <c r="AG39" s="370">
        <f t="shared" ca="1" si="2"/>
        <v>2765256.5988859991</v>
      </c>
    </row>
    <row r="40" spans="2:33" x14ac:dyDescent="0.25">
      <c r="B40" s="375">
        <f t="shared" si="10"/>
        <v>2039</v>
      </c>
      <c r="C40" s="401">
        <f>MAX(TREND(C24:C25,$B24:$B25,$B40),0)</f>
        <v>877277.5</v>
      </c>
      <c r="D40" s="402">
        <f>MAX(TREND(D24:D25,$B24:$B25,$B40),0)</f>
        <v>932921.75</v>
      </c>
      <c r="E40" s="401">
        <f>MAX(TREND(E24:E25,$B24:$B25,$B40),0)</f>
        <v>20841.5</v>
      </c>
      <c r="F40" s="813">
        <f>MAX(TREND(F24:F25,$B24:$B25,$B40),0)</f>
        <v>22137.25</v>
      </c>
      <c r="G40" s="435">
        <f t="shared" si="4"/>
        <v>42.1</v>
      </c>
      <c r="H40" s="436">
        <f t="shared" si="4"/>
        <v>42.1</v>
      </c>
      <c r="I40" s="401">
        <f>MAX(TREND(I24:I25,$B24:$B25,$B40),0)</f>
        <v>0</v>
      </c>
      <c r="J40" s="813">
        <f>MAX(TREND(J24:J25,$B24:$B25,$B40),0)</f>
        <v>0</v>
      </c>
      <c r="K40" s="402">
        <f>TREND(K24:K25,$B24:$B25,$B40)</f>
        <v>1</v>
      </c>
      <c r="L40" s="816">
        <f>MIN(MAX(TREND(L24:L25,$B24:$B25,$B40),0),1)</f>
        <v>0.24</v>
      </c>
      <c r="M40" s="406">
        <f>MIN(MAX(TREND(M24:M25,$B24:$B25,$B40),0),1)</f>
        <v>0.24</v>
      </c>
      <c r="N40" s="828">
        <f>MAX(TREND(N24:N25,$B24:$B25,$B40),0)</f>
        <v>0</v>
      </c>
      <c r="O40" s="829">
        <f>MAX(TREND(O24:O25,$B24:$B25,$B40),0)</f>
        <v>0</v>
      </c>
      <c r="P40" s="399">
        <f t="shared" si="5"/>
        <v>-6769.9910628000143</v>
      </c>
      <c r="Q40" s="706">
        <f t="shared" si="6"/>
        <v>-20931.141079999998</v>
      </c>
      <c r="R40" s="400">
        <f t="shared" si="7"/>
        <v>0</v>
      </c>
      <c r="S40" s="369">
        <f t="shared" si="8"/>
        <v>-27701.132142800012</v>
      </c>
      <c r="T40" s="370">
        <f t="shared" si="9"/>
        <v>-14221.020121918045</v>
      </c>
      <c r="W40" s="375">
        <f t="shared" si="3"/>
        <v>2042</v>
      </c>
      <c r="X40" s="376">
        <f t="shared" ca="1" si="1"/>
        <v>-17033.494067307543</v>
      </c>
      <c r="Y40" s="376">
        <f t="shared" ca="1" si="1"/>
        <v>-6134.7491496031189</v>
      </c>
      <c r="Z40" s="376">
        <f t="shared" ca="1" si="1"/>
        <v>3160.4374607686646</v>
      </c>
      <c r="AA40" s="376">
        <f t="shared" ca="1" si="1"/>
        <v>29245.886613239338</v>
      </c>
      <c r="AB40" s="376">
        <f t="shared" ca="1" si="1"/>
        <v>591688.62674014689</v>
      </c>
      <c r="AC40" s="376">
        <f t="shared" ca="1" si="1"/>
        <v>691599.36078356975</v>
      </c>
      <c r="AD40"/>
      <c r="AE40" s="370">
        <f ca="1">IF(VehOp&lt;&gt;"N",SUM($X40:AD40),0)</f>
        <v>1292526.068380814</v>
      </c>
      <c r="AF40" s="377"/>
      <c r="AG40" s="370">
        <f t="shared" ca="1" si="2"/>
        <v>2832083.7814032002</v>
      </c>
    </row>
    <row r="41" spans="2:33" x14ac:dyDescent="0.25">
      <c r="B41" s="375">
        <f t="shared" si="10"/>
        <v>2040</v>
      </c>
      <c r="C41" s="401">
        <f>MAX(TREND(C24:C25,$B24:$B25,$B41),0)</f>
        <v>886950</v>
      </c>
      <c r="D41" s="402">
        <f>MAX(TREND(D24:D25,$B24:$B25,$B41),0)</f>
        <v>949036.5</v>
      </c>
      <c r="E41" s="401">
        <f>MAX(TREND(E24:E25,$B24:$B25,$B41),0)</f>
        <v>21097</v>
      </c>
      <c r="F41" s="813">
        <f>MAX(TREND(F24:F25,$B24:$B25,$B41),0)</f>
        <v>22520.5</v>
      </c>
      <c r="G41" s="435">
        <f t="shared" si="4"/>
        <v>42</v>
      </c>
      <c r="H41" s="436">
        <f t="shared" si="4"/>
        <v>42.1</v>
      </c>
      <c r="I41" s="401">
        <f>MAX(TREND(I24:I25,$B24:$B25,$B41),0)</f>
        <v>0</v>
      </c>
      <c r="J41" s="813">
        <f>MAX(TREND(J24:J25,$B24:$B25,$B41),0)</f>
        <v>0</v>
      </c>
      <c r="K41" s="402">
        <f>TREND(K24:K25,$B24:$B25,$B41)</f>
        <v>1</v>
      </c>
      <c r="L41" s="816">
        <f>MIN(MAX(TREND(L24:L25,$B24:$B25,$B41),0),1)</f>
        <v>0.24</v>
      </c>
      <c r="M41" s="406">
        <f>MIN(MAX(TREND(M24:M25,$B24:$B25,$B41),0),1)</f>
        <v>0.24</v>
      </c>
      <c r="N41" s="828">
        <f>MAX(TREND(N24:N25,$B24:$B25,$B41),0)</f>
        <v>0</v>
      </c>
      <c r="O41" s="829">
        <f>MAX(TREND(O24:O25,$B24:$B25,$B41),0)</f>
        <v>0</v>
      </c>
      <c r="P41" s="399">
        <f t="shared" si="5"/>
        <v>-7553.7912743999941</v>
      </c>
      <c r="Q41" s="706">
        <f t="shared" si="6"/>
        <v>-23354.457839999988</v>
      </c>
      <c r="R41" s="400">
        <f t="shared" si="7"/>
        <v>0</v>
      </c>
      <c r="S41" s="369">
        <f t="shared" si="8"/>
        <v>-30908.249114399983</v>
      </c>
      <c r="T41" s="370">
        <f t="shared" si="9"/>
        <v>-15257.180934090982</v>
      </c>
      <c r="W41" s="375">
        <f t="shared" si="3"/>
        <v>2043</v>
      </c>
      <c r="X41" s="376">
        <f t="shared" ca="1" si="1"/>
        <v>-17785.750373159979</v>
      </c>
      <c r="Y41" s="376">
        <f t="shared" ca="1" si="1"/>
        <v>-5984.9802653469551</v>
      </c>
      <c r="Z41" s="376">
        <f t="shared" ca="1" si="1"/>
        <v>3081.6790331090624</v>
      </c>
      <c r="AA41" s="376">
        <f t="shared" ca="1" si="1"/>
        <v>28426.395515976194</v>
      </c>
      <c r="AB41" s="376">
        <f t="shared" ca="1" si="1"/>
        <v>585728.3037011188</v>
      </c>
      <c r="AC41" s="376">
        <f t="shared" ca="1" si="1"/>
        <v>678673.89290087461</v>
      </c>
      <c r="AD41"/>
      <c r="AE41" s="370">
        <f ca="1">IF(VehOp&lt;&gt;"N",SUM($X41:AD41),0)</f>
        <v>1272139.5405125716</v>
      </c>
      <c r="AF41" s="377"/>
      <c r="AG41" s="370">
        <f t="shared" ca="1" si="2"/>
        <v>2898910.9639203986</v>
      </c>
    </row>
    <row r="42" spans="2:33" x14ac:dyDescent="0.25">
      <c r="B42" s="375">
        <f t="shared" si="10"/>
        <v>2041</v>
      </c>
      <c r="C42" s="401">
        <f>MAX(TREND(C24:C25,$B24:$B25,$B42),0)</f>
        <v>896622.5</v>
      </c>
      <c r="D42" s="402">
        <f>MAX(TREND(D24:D25,$B24:$B25,$B42),0)</f>
        <v>965151.25</v>
      </c>
      <c r="E42" s="401">
        <f>MAX(TREND(E24:E25,$B24:$B25,$B42),0)</f>
        <v>21352.5</v>
      </c>
      <c r="F42" s="813">
        <f>MAX(TREND(F24:F25,$B24:$B25,$B42),0)</f>
        <v>22903.75</v>
      </c>
      <c r="G42" s="435">
        <f t="shared" si="4"/>
        <v>42</v>
      </c>
      <c r="H42" s="436">
        <f t="shared" si="4"/>
        <v>42.1</v>
      </c>
      <c r="I42" s="401">
        <f>MAX(TREND(I24:I25,$B24:$B25,$B42),0)</f>
        <v>0</v>
      </c>
      <c r="J42" s="813">
        <f>MAX(TREND(J24:J25,$B24:$B25,$B42),0)</f>
        <v>0</v>
      </c>
      <c r="K42" s="402">
        <f>TREND(K24:K25,$B24:$B25,$B42)</f>
        <v>1</v>
      </c>
      <c r="L42" s="816">
        <f>MIN(MAX(TREND(L24:L25,$B24:$B25,$B42),0),1)</f>
        <v>0.24</v>
      </c>
      <c r="M42" s="406">
        <f>MIN(MAX(TREND(M24:M25,$B24:$B25,$B42),0),1)</f>
        <v>0.24</v>
      </c>
      <c r="N42" s="828">
        <f>MAX(TREND(N24:N25,$B24:$B25,$B42),0)</f>
        <v>0</v>
      </c>
      <c r="O42" s="829">
        <f>MAX(TREND(O24:O25,$B24:$B25,$B42),0)</f>
        <v>0</v>
      </c>
      <c r="P42" s="399">
        <f t="shared" si="5"/>
        <v>-8337.5914859999939</v>
      </c>
      <c r="Q42" s="706">
        <f t="shared" si="6"/>
        <v>-25777.77459999999</v>
      </c>
      <c r="R42" s="400">
        <f t="shared" si="7"/>
        <v>0</v>
      </c>
      <c r="S42" s="369">
        <f t="shared" si="8"/>
        <v>-34115.36608599998</v>
      </c>
      <c r="T42" s="370">
        <f t="shared" si="9"/>
        <v>-16192.600056389803</v>
      </c>
      <c r="W42" s="375">
        <f t="shared" si="3"/>
        <v>2044</v>
      </c>
      <c r="X42" s="376">
        <f t="shared" ca="1" si="1"/>
        <v>-18454.943332900537</v>
      </c>
      <c r="Y42" s="376">
        <f t="shared" ca="1" si="1"/>
        <v>-5837.6569917885736</v>
      </c>
      <c r="Z42" s="376">
        <f t="shared" ca="1" si="1"/>
        <v>3004.3037426943588</v>
      </c>
      <c r="AA42" s="376">
        <f t="shared" ca="1" si="1"/>
        <v>27626.67904954802</v>
      </c>
      <c r="AB42" s="376">
        <f t="shared" ca="1" si="1"/>
        <v>579351.18801606947</v>
      </c>
      <c r="AC42" s="376">
        <f t="shared" ca="1" si="1"/>
        <v>665719.61580089678</v>
      </c>
      <c r="AD42"/>
      <c r="AE42" s="370">
        <f ca="1">IF(VehOp&lt;&gt;"N",SUM($X42:AD42),0)</f>
        <v>1251409.1862845195</v>
      </c>
      <c r="AF42" s="377"/>
      <c r="AG42" s="370">
        <f t="shared" ca="1" si="2"/>
        <v>2965738.1464375998</v>
      </c>
    </row>
    <row r="43" spans="2:33" x14ac:dyDescent="0.25">
      <c r="B43" s="375">
        <f t="shared" si="10"/>
        <v>2042</v>
      </c>
      <c r="C43" s="401">
        <f>MAX(TREND(C24:C25,$B24:$B25,$B43),0)</f>
        <v>906295</v>
      </c>
      <c r="D43" s="402">
        <f>MAX(TREND(D24:D25,$B24:$B25,$B43),0)</f>
        <v>981266</v>
      </c>
      <c r="E43" s="401">
        <f>MAX(TREND(E24:E25,$B24:$B25,$B43),0)</f>
        <v>21608</v>
      </c>
      <c r="F43" s="813">
        <f>MAX(TREND(F24:F25,$B24:$B25,$B43),0)</f>
        <v>23287</v>
      </c>
      <c r="G43" s="435">
        <f t="shared" ref="G43:H46" si="11">IF(E43=0,55,MAX(5,ROUND(C43/E43,1)))</f>
        <v>41.9</v>
      </c>
      <c r="H43" s="436">
        <f t="shared" si="11"/>
        <v>42.1</v>
      </c>
      <c r="I43" s="401">
        <f>MAX(TREND(I24:I25,$B24:$B25,$B43),0)</f>
        <v>0</v>
      </c>
      <c r="J43" s="813">
        <f>MAX(TREND(J24:J25,$B24:$B25,$B43),0)</f>
        <v>0</v>
      </c>
      <c r="K43" s="402">
        <f>TREND(K24:K25,$B24:$B25,$B43)</f>
        <v>1</v>
      </c>
      <c r="L43" s="816">
        <f>MIN(MAX(TREND(L24:L25,$B24:$B25,$B43),0),1)</f>
        <v>0.24</v>
      </c>
      <c r="M43" s="406">
        <f>MIN(MAX(TREND(M24:M25,$B24:$B25,$B43),0),1)</f>
        <v>0.24</v>
      </c>
      <c r="N43" s="828">
        <f>MAX(TREND(N24:N25,$B24:$B25,$B43),0)</f>
        <v>0</v>
      </c>
      <c r="O43" s="829">
        <f>MAX(TREND(O24:O25,$B24:$B25,$B43),0)</f>
        <v>0</v>
      </c>
      <c r="P43" s="399">
        <f t="shared" si="5"/>
        <v>-9121.3916976000073</v>
      </c>
      <c r="Q43" s="706">
        <f t="shared" si="6"/>
        <v>-28201.091360000031</v>
      </c>
      <c r="R43" s="400">
        <f t="shared" si="7"/>
        <v>0</v>
      </c>
      <c r="S43" s="369">
        <f t="shared" si="8"/>
        <v>-37322.483057600039</v>
      </c>
      <c r="T43" s="370">
        <f t="shared" si="9"/>
        <v>-17033.494067307543</v>
      </c>
      <c r="W43" s="375">
        <f t="shared" si="3"/>
        <v>2045</v>
      </c>
      <c r="X43" s="376">
        <f t="shared" ca="1" si="1"/>
        <v>-19046.34962950553</v>
      </c>
      <c r="Y43" s="376">
        <f t="shared" ca="1" si="1"/>
        <v>-5692.8127566321336</v>
      </c>
      <c r="Z43" s="376">
        <f t="shared" ca="1" si="1"/>
        <v>2928.3217009016066</v>
      </c>
      <c r="AA43" s="376">
        <f t="shared" ca="1" si="1"/>
        <v>26846.428353442818</v>
      </c>
      <c r="AB43" s="376">
        <f t="shared" ca="1" si="1"/>
        <v>572598.15770368488</v>
      </c>
      <c r="AC43" s="376">
        <f t="shared" ca="1" si="1"/>
        <v>652757.86609189212</v>
      </c>
      <c r="AD43"/>
      <c r="AE43" s="370">
        <f ca="1">IF(VehOp&lt;&gt;"N",SUM($X43:AD43),0)</f>
        <v>1230391.6114637838</v>
      </c>
      <c r="AF43" s="377"/>
      <c r="AG43" s="370">
        <f t="shared" ca="1" si="2"/>
        <v>3032565.3289548</v>
      </c>
    </row>
    <row r="44" spans="2:33" x14ac:dyDescent="0.25">
      <c r="B44" s="375">
        <f t="shared" si="10"/>
        <v>2043</v>
      </c>
      <c r="C44" s="401">
        <f>MAX(TREND(C24:C25,$B24:$B25,$B44),0)</f>
        <v>915967.5</v>
      </c>
      <c r="D44" s="402">
        <f>MAX(TREND(D24:D25,$B24:$B25,$B44),0)</f>
        <v>997380.75</v>
      </c>
      <c r="E44" s="401">
        <f>MAX(TREND(E24:E25,$B24:$B25,$B44),0)</f>
        <v>21863.5</v>
      </c>
      <c r="F44" s="813">
        <f>MAX(TREND(F24:F25,$B24:$B25,$B44),0)</f>
        <v>23670.25</v>
      </c>
      <c r="G44" s="435">
        <f t="shared" si="11"/>
        <v>41.9</v>
      </c>
      <c r="H44" s="436">
        <f t="shared" si="11"/>
        <v>42.1</v>
      </c>
      <c r="I44" s="401">
        <f>MAX(TREND(I24:I25,$B24:$B25,$B44),0)</f>
        <v>0</v>
      </c>
      <c r="J44" s="813">
        <f>MAX(TREND(J24:J25,$B24:$B25,$B44),0)</f>
        <v>0</v>
      </c>
      <c r="K44" s="402">
        <f>TREND(K24:K25,$B24:$B25,$B44)</f>
        <v>1</v>
      </c>
      <c r="L44" s="816">
        <f>MIN(MAX(TREND(L24:L25,$B24:$B25,$B44),0),1)</f>
        <v>0.24</v>
      </c>
      <c r="M44" s="406">
        <f>MIN(MAX(TREND(M24:M25,$B24:$B25,$B44),0),1)</f>
        <v>0.24</v>
      </c>
      <c r="N44" s="828">
        <f>MAX(TREND(N24:N25,$B24:$B25,$B44),0)</f>
        <v>0</v>
      </c>
      <c r="O44" s="829">
        <f>MAX(TREND(O24:O25,$B24:$B25,$B44),0)</f>
        <v>0</v>
      </c>
      <c r="P44" s="399">
        <f t="shared" si="5"/>
        <v>-9905.1919092000062</v>
      </c>
      <c r="Q44" s="706">
        <f t="shared" si="6"/>
        <v>-30624.408119999993</v>
      </c>
      <c r="R44" s="400">
        <f t="shared" si="7"/>
        <v>0</v>
      </c>
      <c r="S44" s="369">
        <f t="shared" si="8"/>
        <v>-40529.600029199995</v>
      </c>
      <c r="T44" s="370">
        <f t="shared" si="9"/>
        <v>-17785.750373159979</v>
      </c>
      <c r="W44" s="385"/>
      <c r="X44" s="389"/>
      <c r="Y44" s="389"/>
      <c r="Z44" s="389"/>
      <c r="AA44" s="389"/>
      <c r="AB44" s="389"/>
      <c r="AC44" s="389"/>
      <c r="AD44"/>
      <c r="AE44" s="389"/>
      <c r="AF44" s="390"/>
      <c r="AG44" s="389"/>
    </row>
    <row r="45" spans="2:33" x14ac:dyDescent="0.25">
      <c r="B45" s="375">
        <f t="shared" si="10"/>
        <v>2044</v>
      </c>
      <c r="C45" s="401">
        <f>MAX(TREND(C24:C25,$B24:$B25,$B45),0)</f>
        <v>925640</v>
      </c>
      <c r="D45" s="402">
        <f>MAX(TREND(D24:D25,$B24:$B25,$B45),0)</f>
        <v>1013495.5</v>
      </c>
      <c r="E45" s="401">
        <f>MAX(TREND(E24:E25,$B24:$B25,$B45),0)</f>
        <v>22119</v>
      </c>
      <c r="F45" s="813">
        <f>MAX(TREND(F24:F25,$B24:$B25,$B45),0)</f>
        <v>24053.5</v>
      </c>
      <c r="G45" s="435">
        <f t="shared" si="11"/>
        <v>41.8</v>
      </c>
      <c r="H45" s="436">
        <f t="shared" si="11"/>
        <v>42.1</v>
      </c>
      <c r="I45" s="401">
        <f>MAX(TREND(I24:I25,$B24:$B25,$B45),0)</f>
        <v>0</v>
      </c>
      <c r="J45" s="813">
        <f>MAX(TREND(J24:J25,$B24:$B25,$B45),0)</f>
        <v>0</v>
      </c>
      <c r="K45" s="402">
        <f>TREND(K24:K25,$B24:$B25,$B45)</f>
        <v>1</v>
      </c>
      <c r="L45" s="816">
        <f>MIN(MAX(TREND(L24:L25,$B24:$B25,$B45),0),1)</f>
        <v>0.24</v>
      </c>
      <c r="M45" s="406">
        <f>MIN(MAX(TREND(M24:M25,$B24:$B25,$B45),0),1)</f>
        <v>0.24</v>
      </c>
      <c r="N45" s="828">
        <f>MAX(TREND(N24:N25,$B24:$B25,$B45),0)</f>
        <v>0</v>
      </c>
      <c r="O45" s="829">
        <f>MAX(TREND(O24:O25,$B24:$B25,$B45),0)</f>
        <v>0</v>
      </c>
      <c r="P45" s="399">
        <f t="shared" si="5"/>
        <v>-10688.992120799987</v>
      </c>
      <c r="Q45" s="706">
        <f t="shared" si="6"/>
        <v>-33047.724879999965</v>
      </c>
      <c r="R45" s="400">
        <f t="shared" si="7"/>
        <v>0</v>
      </c>
      <c r="S45" s="369">
        <f t="shared" si="8"/>
        <v>-43736.717000799952</v>
      </c>
      <c r="T45" s="370">
        <f t="shared" si="9"/>
        <v>-18454.943332900537</v>
      </c>
      <c r="W45" s="407" t="s">
        <v>56</v>
      </c>
      <c r="X45" s="408">
        <f t="shared" ref="X45:AC45" ca="1" si="12">SUM(X24:X43)</f>
        <v>-149043.31617212127</v>
      </c>
      <c r="Y45" s="408">
        <f t="shared" ca="1" si="12"/>
        <v>-117603.71068491948</v>
      </c>
      <c r="Z45" s="408">
        <f t="shared" ca="1" si="12"/>
        <v>72041.431686922166</v>
      </c>
      <c r="AA45" s="408">
        <f t="shared" ca="1" si="12"/>
        <v>710952.59040874813</v>
      </c>
      <c r="AB45" s="408">
        <f t="shared" ca="1" si="12"/>
        <v>12060688.223162111</v>
      </c>
      <c r="AC45" s="408">
        <f t="shared" ca="1" si="12"/>
        <v>15375328.423026307</v>
      </c>
      <c r="AD45"/>
      <c r="AE45" s="409">
        <f ca="1">SUM(AE24:AE43)</f>
        <v>27952363.641427055</v>
      </c>
      <c r="AF45" s="410"/>
      <c r="AG45" s="409">
        <f ca="1">SUM(AG24:AG43)</f>
        <v>47992787.438207</v>
      </c>
    </row>
    <row r="46" spans="2:33" x14ac:dyDescent="0.25">
      <c r="B46" s="375">
        <f t="shared" si="10"/>
        <v>2045</v>
      </c>
      <c r="C46" s="401">
        <f>MAX(TREND(C24:C25,$B24:$B25,$B46),0)</f>
        <v>935312.5</v>
      </c>
      <c r="D46" s="402">
        <f>MAX(TREND(D24:D25,$B24:$B25,$B46),0)</f>
        <v>1029610.25</v>
      </c>
      <c r="E46" s="401">
        <f>MAX(TREND(E24:E25,$B24:$B25,$B46),0)</f>
        <v>22374.5</v>
      </c>
      <c r="F46" s="813">
        <f>MAX(TREND(F24:F25,$B24:$B25,$B46),0)</f>
        <v>24436.75</v>
      </c>
      <c r="G46" s="435">
        <f t="shared" si="11"/>
        <v>41.8</v>
      </c>
      <c r="H46" s="436">
        <f t="shared" si="11"/>
        <v>42.1</v>
      </c>
      <c r="I46" s="401">
        <f>MAX(TREND(I24:I25,$B24:$B25,$B46),0)</f>
        <v>0</v>
      </c>
      <c r="J46" s="813">
        <f>MAX(TREND(J24:J25,$B24:$B25,$B46),0)</f>
        <v>0</v>
      </c>
      <c r="K46" s="402">
        <f>TREND(K24:K25,$B24:$B25,$B46)</f>
        <v>1</v>
      </c>
      <c r="L46" s="816">
        <f>MIN(MAX(TREND(L24:L25,$B24:$B25,$B46),0),1)</f>
        <v>0.24</v>
      </c>
      <c r="M46" s="406">
        <f>MIN(MAX(TREND(M24:M25,$B24:$B25,$B46),0),1)</f>
        <v>0.24</v>
      </c>
      <c r="N46" s="828">
        <f>MAX(TREND(N24:N25,$B24:$B25,$B46),0)</f>
        <v>0</v>
      </c>
      <c r="O46" s="829">
        <f>MAX(TREND(O24:O25,$B24:$B25,$B46),0)</f>
        <v>0</v>
      </c>
      <c r="P46" s="399">
        <f t="shared" si="5"/>
        <v>-11472.7923324</v>
      </c>
      <c r="Q46" s="706">
        <f t="shared" si="6"/>
        <v>-35471.04164000001</v>
      </c>
      <c r="R46" s="400">
        <f t="shared" si="7"/>
        <v>0</v>
      </c>
      <c r="S46" s="369">
        <f t="shared" si="8"/>
        <v>-46943.833972400011</v>
      </c>
      <c r="T46" s="370">
        <f t="shared" si="9"/>
        <v>-19046.34962950553</v>
      </c>
      <c r="X46" s="1"/>
      <c r="Y46" s="1"/>
      <c r="Z46" s="1"/>
      <c r="AA46" s="1"/>
      <c r="AB46" s="1"/>
      <c r="AC46" s="1"/>
      <c r="AD46"/>
      <c r="AE46" s="1" t="b">
        <f ca="1">AE45=AE76+AE107+AE138</f>
        <v>0</v>
      </c>
      <c r="AG46" s="1" t="b">
        <f ca="1">AG45=AG76+AG107+AG138</f>
        <v>1</v>
      </c>
    </row>
    <row r="47" spans="2:33" ht="15.75" x14ac:dyDescent="0.25">
      <c r="B47" s="385"/>
      <c r="C47" s="386"/>
      <c r="D47" s="386"/>
      <c r="E47" s="386"/>
      <c r="F47" s="386"/>
      <c r="G47" s="388"/>
      <c r="H47" s="388"/>
      <c r="I47" s="388"/>
      <c r="J47" s="388"/>
      <c r="K47" s="388"/>
      <c r="L47" s="388"/>
      <c r="M47" s="388"/>
      <c r="N47" s="388"/>
      <c r="O47" s="388"/>
      <c r="P47" s="388"/>
      <c r="Q47" s="388"/>
      <c r="R47" s="388"/>
      <c r="S47" s="388"/>
      <c r="T47" s="389"/>
      <c r="W47" s="412" t="str">
        <f>IF(VehOp&lt;&gt;"N","","* Vehicle Operating Cost Savings Not Counted")</f>
        <v/>
      </c>
      <c r="X47" s="1"/>
      <c r="Y47" s="1"/>
      <c r="Z47" s="1"/>
      <c r="AA47" s="1"/>
      <c r="AB47" s="1"/>
      <c r="AC47" s="1"/>
      <c r="AD47"/>
      <c r="AG47" s="437"/>
    </row>
    <row r="48" spans="2:33" x14ac:dyDescent="0.25">
      <c r="B48" s="407" t="s">
        <v>56</v>
      </c>
      <c r="C48" s="413"/>
      <c r="D48" s="414"/>
      <c r="E48" s="414"/>
      <c r="F48" s="414"/>
      <c r="G48" s="414"/>
      <c r="H48" s="414"/>
      <c r="I48" s="414"/>
      <c r="J48" s="414"/>
      <c r="K48" s="414"/>
      <c r="L48" s="414"/>
      <c r="M48" s="414"/>
      <c r="N48" s="414"/>
      <c r="O48" s="414"/>
      <c r="P48" s="414"/>
      <c r="Q48" s="415"/>
      <c r="R48" s="415"/>
      <c r="S48" s="414"/>
      <c r="T48" s="409">
        <f>SUM(T27:T46)</f>
        <v>-149043.31617212127</v>
      </c>
      <c r="X48" s="1"/>
      <c r="Y48" s="1"/>
      <c r="Z48" s="1"/>
      <c r="AA48" s="1"/>
      <c r="AB48" s="1"/>
      <c r="AC48" s="1"/>
      <c r="AD48"/>
    </row>
    <row r="49" spans="1:33" ht="18" x14ac:dyDescent="0.25">
      <c r="B49" s="2"/>
      <c r="C49" s="418"/>
      <c r="D49" s="2"/>
      <c r="E49" s="2"/>
      <c r="F49" s="2"/>
      <c r="G49" s="2"/>
      <c r="H49" s="2"/>
      <c r="I49" s="2"/>
      <c r="J49" s="2"/>
      <c r="K49" s="2"/>
      <c r="L49" s="2"/>
      <c r="M49" s="2"/>
      <c r="N49" s="2"/>
      <c r="O49" s="2"/>
      <c r="P49" s="2"/>
      <c r="Q49" s="2"/>
      <c r="R49" s="2"/>
      <c r="S49" s="2"/>
      <c r="T49" s="2"/>
      <c r="W49" s="316" t="s">
        <v>285</v>
      </c>
      <c r="X49" s="1"/>
      <c r="Y49" s="1"/>
      <c r="Z49" s="1"/>
      <c r="AA49" s="1"/>
      <c r="AB49" s="1"/>
      <c r="AC49" s="1"/>
      <c r="AD49"/>
    </row>
    <row r="50" spans="1:33" x14ac:dyDescent="0.25">
      <c r="A50" s="1">
        <f>MAX($A$1:A49)+1</f>
        <v>2</v>
      </c>
      <c r="B50" s="319" t="str">
        <f>IF(ISBLANK(INDEX(ModelGroup,A50,1)),"Not Used",INDEX(ModelGroup,A50,1))</f>
        <v>SB On-ramp from Ave 280</v>
      </c>
      <c r="C50" s="2"/>
      <c r="D50" s="2"/>
      <c r="E50" s="2"/>
      <c r="F50" s="2"/>
      <c r="G50" s="2"/>
      <c r="H50" s="320"/>
      <c r="I50" s="320"/>
      <c r="J50" s="320"/>
      <c r="K50" s="320"/>
      <c r="L50" s="320"/>
      <c r="M50" s="320"/>
      <c r="N50" s="320"/>
      <c r="O50" s="320"/>
      <c r="P50" s="320"/>
      <c r="Q50" s="2"/>
      <c r="R50" s="2"/>
      <c r="S50" s="2"/>
      <c r="T50" s="2"/>
      <c r="X50" s="1"/>
      <c r="Y50" s="1"/>
      <c r="Z50" s="1"/>
      <c r="AA50" s="1"/>
      <c r="AB50" s="1"/>
      <c r="AC50" s="1"/>
      <c r="AD50"/>
    </row>
    <row r="51" spans="1:33" x14ac:dyDescent="0.25">
      <c r="B51" s="2"/>
      <c r="C51" s="2"/>
      <c r="D51" s="321"/>
      <c r="E51" s="321"/>
      <c r="F51" s="321"/>
      <c r="G51" s="2"/>
      <c r="H51" s="2"/>
      <c r="I51" s="2"/>
      <c r="J51" s="2"/>
      <c r="K51" s="2"/>
      <c r="L51" s="2"/>
      <c r="M51" s="2"/>
      <c r="N51" s="2"/>
      <c r="O51" s="2"/>
      <c r="P51" s="2"/>
      <c r="Q51" s="2"/>
      <c r="R51" s="2"/>
      <c r="S51" s="2"/>
      <c r="T51" s="149"/>
      <c r="W51" s="322"/>
      <c r="X51" s="52">
        <v>1</v>
      </c>
      <c r="Y51" s="52">
        <v>2</v>
      </c>
      <c r="Z51" s="52">
        <v>3</v>
      </c>
      <c r="AA51" s="52">
        <v>4</v>
      </c>
      <c r="AB51" s="52">
        <v>5</v>
      </c>
      <c r="AC51" s="52">
        <v>6</v>
      </c>
      <c r="AD51"/>
      <c r="AE51" s="333" t="s">
        <v>39</v>
      </c>
      <c r="AF51" s="334"/>
      <c r="AG51" s="333"/>
    </row>
    <row r="52" spans="1:33" ht="15.75" x14ac:dyDescent="0.25">
      <c r="B52" s="322"/>
      <c r="C52" s="325" t="s">
        <v>271</v>
      </c>
      <c r="D52" s="326"/>
      <c r="E52" s="325" t="s">
        <v>190</v>
      </c>
      <c r="F52" s="776"/>
      <c r="G52" s="325" t="s">
        <v>272</v>
      </c>
      <c r="H52" s="324"/>
      <c r="I52" s="325" t="str">
        <f>IF(INDEX(HwyTransitModelGroup,A50,1)=Hwy,"TOTAL VEHICLE TRIPS","TOTAL PERSON TRIPS")</f>
        <v>TOTAL VEHICLE TRIPS</v>
      </c>
      <c r="J52" s="324"/>
      <c r="K52" s="427"/>
      <c r="L52" s="323" t="s">
        <v>192</v>
      </c>
      <c r="M52" s="326"/>
      <c r="N52" s="323" t="s">
        <v>228</v>
      </c>
      <c r="O52" s="776"/>
      <c r="P52" s="325" t="s">
        <v>273</v>
      </c>
      <c r="Q52" s="323"/>
      <c r="R52" s="876"/>
      <c r="S52" s="329"/>
      <c r="T52" s="330"/>
      <c r="W52" s="335"/>
      <c r="X52" s="1777" t="str">
        <f t="shared" ref="X52:AC52" si="13">IF(ISBLANK(INDEX(ModelGroup,X51,1)),"Not Used",INDEX(ModelGroup,X51,1))</f>
        <v>SB Off-ramp to Ave 280</v>
      </c>
      <c r="Y52" s="1777" t="str">
        <f t="shared" si="13"/>
        <v>SB On-ramp from Ave 280</v>
      </c>
      <c r="Z52" s="1777" t="str">
        <f t="shared" si="13"/>
        <v>NB Off-ramp to Ave 280</v>
      </c>
      <c r="AA52" s="1777" t="str">
        <f t="shared" si="13"/>
        <v>NB On-ramp from Ave 280</v>
      </c>
      <c r="AB52" s="1777" t="str">
        <f t="shared" si="13"/>
        <v>NB Mainline</v>
      </c>
      <c r="AC52" s="1777" t="str">
        <f t="shared" si="13"/>
        <v>SB Mainline</v>
      </c>
      <c r="AD52"/>
      <c r="AE52" s="347" t="s">
        <v>204</v>
      </c>
      <c r="AF52" s="334"/>
      <c r="AG52" s="347"/>
    </row>
    <row r="53" spans="1:33" x14ac:dyDescent="0.25">
      <c r="B53" s="335"/>
      <c r="C53" s="338" t="s">
        <v>274</v>
      </c>
      <c r="D53" s="339"/>
      <c r="E53" s="338" t="s">
        <v>275</v>
      </c>
      <c r="F53" s="336"/>
      <c r="G53" s="338" t="s">
        <v>276</v>
      </c>
      <c r="H53" s="337"/>
      <c r="I53" s="817" t="s">
        <v>199</v>
      </c>
      <c r="J53" s="337"/>
      <c r="K53" s="428"/>
      <c r="L53" s="336" t="s">
        <v>277</v>
      </c>
      <c r="M53" s="339"/>
      <c r="N53" s="336" t="s">
        <v>230</v>
      </c>
      <c r="O53" s="336"/>
      <c r="P53" s="340" t="s">
        <v>203</v>
      </c>
      <c r="Q53" s="838"/>
      <c r="R53" s="341"/>
      <c r="S53" s="342"/>
      <c r="T53" s="343"/>
      <c r="W53" s="77" t="s">
        <v>34</v>
      </c>
      <c r="X53" s="1778"/>
      <c r="Y53" s="1778"/>
      <c r="Z53" s="1778"/>
      <c r="AA53" s="1778"/>
      <c r="AB53" s="1778"/>
      <c r="AC53" s="1778"/>
      <c r="AD53"/>
      <c r="AE53" s="347" t="s">
        <v>282</v>
      </c>
      <c r="AF53" s="334"/>
      <c r="AG53" s="347" t="s">
        <v>208</v>
      </c>
    </row>
    <row r="54" spans="1:33" x14ac:dyDescent="0.25">
      <c r="B54" s="77" t="s">
        <v>34</v>
      </c>
      <c r="C54" s="348"/>
      <c r="D54" s="349"/>
      <c r="E54" s="348"/>
      <c r="F54" s="781"/>
      <c r="G54" s="723"/>
      <c r="H54" s="349"/>
      <c r="I54" s="723"/>
      <c r="J54" s="781"/>
      <c r="K54" s="349" t="s">
        <v>278</v>
      </c>
      <c r="L54" s="348"/>
      <c r="M54" s="349"/>
      <c r="N54" s="348"/>
      <c r="O54" s="781"/>
      <c r="P54" s="350" t="s">
        <v>279</v>
      </c>
      <c r="Q54" s="839" t="s">
        <v>280</v>
      </c>
      <c r="R54" s="349" t="s">
        <v>281</v>
      </c>
      <c r="S54" s="351" t="s">
        <v>208</v>
      </c>
      <c r="T54" s="347" t="s">
        <v>39</v>
      </c>
      <c r="W54" s="355"/>
      <c r="X54" s="1779"/>
      <c r="Y54" s="1779"/>
      <c r="Z54" s="1779"/>
      <c r="AA54" s="1779"/>
      <c r="AB54" s="1779"/>
      <c r="AC54" s="1779"/>
      <c r="AD54"/>
      <c r="AE54" s="360" t="str">
        <f>IF(VehOp&lt;&gt;"N","Benefits","Benefits*")</f>
        <v>Benefits</v>
      </c>
      <c r="AF54" s="334"/>
      <c r="AG54" s="360" t="s">
        <v>48</v>
      </c>
    </row>
    <row r="55" spans="1:33" x14ac:dyDescent="0.25">
      <c r="B55" s="355"/>
      <c r="C55" s="356" t="s">
        <v>74</v>
      </c>
      <c r="D55" s="357" t="s">
        <v>125</v>
      </c>
      <c r="E55" s="356" t="s">
        <v>74</v>
      </c>
      <c r="F55" s="783" t="s">
        <v>125</v>
      </c>
      <c r="G55" s="724" t="s">
        <v>74</v>
      </c>
      <c r="H55" s="357" t="s">
        <v>125</v>
      </c>
      <c r="I55" s="724" t="s">
        <v>74</v>
      </c>
      <c r="J55" s="783" t="s">
        <v>125</v>
      </c>
      <c r="K55" s="357" t="s">
        <v>125</v>
      </c>
      <c r="L55" s="356" t="s">
        <v>74</v>
      </c>
      <c r="M55" s="357" t="s">
        <v>125</v>
      </c>
      <c r="N55" s="356" t="s">
        <v>74</v>
      </c>
      <c r="O55" s="783" t="s">
        <v>125</v>
      </c>
      <c r="P55" s="358" t="s">
        <v>283</v>
      </c>
      <c r="Q55" s="840" t="s">
        <v>283</v>
      </c>
      <c r="R55" s="357" t="s">
        <v>284</v>
      </c>
      <c r="S55" s="359" t="s">
        <v>48</v>
      </c>
      <c r="T55" s="360" t="s">
        <v>49</v>
      </c>
      <c r="W55" s="375">
        <f>YearOpen</f>
        <v>2026</v>
      </c>
      <c r="X55" s="376">
        <f t="shared" ref="X55:X74" ca="1" si="14">OFFSET($P9,MATCH(X$20,$A:$A),0)</f>
        <v>3419.411687999991</v>
      </c>
      <c r="Y55" s="376">
        <f t="shared" ref="Y55:AC64" ca="1" si="15">OFFSET($P9,MATCH(Y$20,$A:$A),0)</f>
        <v>-3072.9799680000037</v>
      </c>
      <c r="Z55" s="376">
        <f t="shared" ca="1" si="15"/>
        <v>1336.4913000000038</v>
      </c>
      <c r="AA55" s="376">
        <f t="shared" ca="1" si="15"/>
        <v>-7329.6593160000193</v>
      </c>
      <c r="AB55" s="376">
        <f t="shared" ca="1" si="15"/>
        <v>202261.56720000011</v>
      </c>
      <c r="AC55" s="376">
        <f t="shared" ca="1" si="15"/>
        <v>300654.41280000028</v>
      </c>
      <c r="AD55"/>
      <c r="AE55" s="370">
        <f t="shared" ref="AE55:AE74" ca="1" si="16">$AG55/(1+DiscRate)^($W55-YearCurrent)</f>
        <v>425067.83358836157</v>
      </c>
      <c r="AF55" s="377"/>
      <c r="AG55" s="370">
        <f ca="1">IF(VehOp&lt;&gt;"N",SUM($X55:AD55),0)</f>
        <v>497269.24370400037</v>
      </c>
    </row>
    <row r="56" spans="1:33" x14ac:dyDescent="0.25">
      <c r="B56" s="363">
        <f>YearFirst</f>
        <v>2026</v>
      </c>
      <c r="C56" s="364">
        <f>INDEX(ModelData1NB,A50,2)*AnnualFactor</f>
        <v>542390</v>
      </c>
      <c r="D56" s="365">
        <f>INDEX(ModelData1B,A50,2)*AnnualFactor</f>
        <v>552975</v>
      </c>
      <c r="E56" s="364">
        <f>IF(INDEX(HwyTransitModelGroup,A50,1)=Hwy,INDEX(ModelData1NB,A50,3),0)*AnnualFactor</f>
        <v>10220</v>
      </c>
      <c r="F56" s="365">
        <f>IF(INDEX(HwyTransitModelGroup,A50,1)=Hwy,INDEX(ModelData1B,A50,3),0)*AnnualFactor</f>
        <v>10220</v>
      </c>
      <c r="G56" s="429">
        <f>IF(E56=0,55,MAX(5,ROUND(C56/E56,1)))</f>
        <v>53.1</v>
      </c>
      <c r="H56" s="430">
        <f>IF(F56=0,55,MAX(5,ROUND(D56/F56,1)))</f>
        <v>54.1</v>
      </c>
      <c r="I56" s="364">
        <f>INDEX(ModelData1NB,A50,1)*AnnualFactor</f>
        <v>0</v>
      </c>
      <c r="J56" s="914">
        <f>INDEX(ModelData1B,A50,1)*AnnualFactor</f>
        <v>0</v>
      </c>
      <c r="K56" s="918">
        <f>'Travel Time'!O56</f>
        <v>1</v>
      </c>
      <c r="L56" s="818">
        <f>INDEX(ModelData1NB,A50,9)</f>
        <v>0.24</v>
      </c>
      <c r="M56" s="819">
        <f>INDEX(ModelData1B,A50,9)</f>
        <v>0.24</v>
      </c>
      <c r="N56" s="822">
        <f>INDEX(ModelData1NB,A50,6)</f>
        <v>0</v>
      </c>
      <c r="O56" s="823">
        <f>INDEX(ModelData1B,A50,6)</f>
        <v>0</v>
      </c>
      <c r="P56" s="367">
        <f>(C56*(1-L56)*VLOOKUP(G56,FuelCon,2)-D56*(1-M56)*VLOOKUP(H56,FuelCon,2))*FuelAuto+(C56*L56*VLOOKUP(G56,FuelCon,3)-D56*M56*VLOOKUP(H56,FuelCon,3))*FuelTruck</f>
        <v>-3072.9799680000037</v>
      </c>
      <c r="Q56" s="701">
        <f>(C56*(1-L56)-D56*(1-M56))*NonFuelAuto+(C56*L56-D56*M56)*NonFuelTruck</f>
        <v>-3981.6535999999955</v>
      </c>
      <c r="R56" s="368">
        <f>I56*N56-K56*O56</f>
        <v>0</v>
      </c>
      <c r="S56" s="369">
        <f>SUM(P56:R56)</f>
        <v>-7054.6335679999993</v>
      </c>
      <c r="T56" s="370">
        <f>S56/(1+DiscRate)^(B56-YearCurrent)</f>
        <v>-6030.3303401053863</v>
      </c>
      <c r="W56" s="375">
        <f>W55+1</f>
        <v>2027</v>
      </c>
      <c r="X56" s="376">
        <f t="shared" ca="1" si="14"/>
        <v>2635.6114763999958</v>
      </c>
      <c r="Y56" s="376">
        <f t="shared" ca="1" si="15"/>
        <v>-3131.6260656000072</v>
      </c>
      <c r="Z56" s="376">
        <f t="shared" ca="1" si="15"/>
        <v>1360.8148854000003</v>
      </c>
      <c r="AA56" s="376">
        <f t="shared" ca="1" si="15"/>
        <v>-7419.8160533999999</v>
      </c>
      <c r="AB56" s="376">
        <f t="shared" ca="1" si="15"/>
        <v>213579.33827999994</v>
      </c>
      <c r="AC56" s="376">
        <f t="shared" ca="1" si="15"/>
        <v>309868.29467999993</v>
      </c>
      <c r="AD56"/>
      <c r="AE56" s="370">
        <f t="shared" ca="1" si="16"/>
        <v>424848.05336276634</v>
      </c>
      <c r="AF56" s="377"/>
      <c r="AG56" s="370">
        <f ca="1">IF(VehOp&lt;&gt;"N",SUM($X56:AD56),0)</f>
        <v>516892.61720279988</v>
      </c>
    </row>
    <row r="57" spans="1:33" x14ac:dyDescent="0.25">
      <c r="B57" s="379">
        <f>YearLast</f>
        <v>2046</v>
      </c>
      <c r="C57" s="380">
        <f>INDEX(ModelData20NB,A50,2)*AnnualFactor</f>
        <v>750440</v>
      </c>
      <c r="D57" s="381">
        <f>INDEX(ModelData20B,A50,2)*AnnualFactor</f>
        <v>765040</v>
      </c>
      <c r="E57" s="380">
        <f>IF(INDEX(HwyTransitModelGroup,A50,1)=Hwy,INDEX(ModelData20NB,A50,3),0)*AnnualFactor</f>
        <v>14235</v>
      </c>
      <c r="F57" s="381">
        <f>IF(INDEX(HwyTransitModelGroup,A50,1)=Hwy,INDEX(ModelData20B,A50,3),0)*AnnualFactor</f>
        <v>13870</v>
      </c>
      <c r="G57" s="432">
        <f>IF(E57=0,55,MAX(5,ROUND(C57/E57,1)))</f>
        <v>52.7</v>
      </c>
      <c r="H57" s="433">
        <f>IF(F57=0,55,MAX(5,ROUND(D57/F57,1)))</f>
        <v>55.2</v>
      </c>
      <c r="I57" s="380">
        <f>INDEX(ModelData20NB,A50,1)*AnnualFactor</f>
        <v>0</v>
      </c>
      <c r="J57" s="381">
        <f>INDEX(ModelData20B,A50,1)*AnnualFactor</f>
        <v>0</v>
      </c>
      <c r="K57" s="917">
        <f>'Travel Time'!O57</f>
        <v>1</v>
      </c>
      <c r="L57" s="820">
        <f>INDEX(ModelData20NB,A50,9)</f>
        <v>0.24</v>
      </c>
      <c r="M57" s="821">
        <f>INDEX(ModelData20B,A50,9)</f>
        <v>0.24</v>
      </c>
      <c r="N57" s="824">
        <f>INDEX(ModelData20NB,A50,6)</f>
        <v>0</v>
      </c>
      <c r="O57" s="825">
        <f>INDEX(ModelData20B,A50,6)</f>
        <v>0</v>
      </c>
      <c r="P57" s="383">
        <f>(C57*(1-L57)*VLOOKUP(G57,FuelCon,2)-D57*(1-M57)*VLOOKUP(H57,FuelCon,2))*FuelAuto+(C57*L57*VLOOKUP(G57,FuelCon,3)-D57*M57*VLOOKUP(H57,FuelCon,3))*FuelTruck</f>
        <v>-8735.6191680000084</v>
      </c>
      <c r="Q57" s="702">
        <f>(C57*(1-L57)-D57*(1-M57))*NonFuelAuto+(C57*L57-D57*M57)*NonFuelTruck</f>
        <v>-5491.9359999999997</v>
      </c>
      <c r="R57" s="384">
        <f>I57*N57-K57*O57</f>
        <v>0</v>
      </c>
      <c r="S57" s="369">
        <f>SUM(P57:R57)</f>
        <v>-14227.555168000008</v>
      </c>
      <c r="T57" s="370">
        <f>S57/(1+DiscRate)^(B57-YearCurrent)</f>
        <v>-5550.4747984525011</v>
      </c>
      <c r="W57" s="375">
        <f t="shared" ref="W57:W74" si="17">W56+1</f>
        <v>2028</v>
      </c>
      <c r="X57" s="376">
        <f t="shared" ca="1" si="14"/>
        <v>1851.8112648000106</v>
      </c>
      <c r="Y57" s="376">
        <f t="shared" ca="1" si="15"/>
        <v>-3190.2721632000048</v>
      </c>
      <c r="Z57" s="376">
        <f t="shared" ca="1" si="15"/>
        <v>1385.1384708000021</v>
      </c>
      <c r="AA57" s="376">
        <f t="shared" ca="1" si="15"/>
        <v>-7509.9727908000013</v>
      </c>
      <c r="AB57" s="376">
        <f t="shared" ca="1" si="15"/>
        <v>224897.10935999994</v>
      </c>
      <c r="AC57" s="376">
        <f t="shared" ca="1" si="15"/>
        <v>319082.17656000005</v>
      </c>
      <c r="AD57"/>
      <c r="AE57" s="370">
        <f t="shared" ca="1" si="16"/>
        <v>424016.38073797425</v>
      </c>
      <c r="AF57" s="377"/>
      <c r="AG57" s="370">
        <f ca="1">IF(VehOp&lt;&gt;"N",SUM($X57:AD57),0)</f>
        <v>536515.99070159998</v>
      </c>
    </row>
    <row r="58" spans="1:33" x14ac:dyDescent="0.25">
      <c r="B58" s="385"/>
      <c r="C58" s="388"/>
      <c r="D58" s="388"/>
      <c r="E58" s="388"/>
      <c r="F58" s="388"/>
      <c r="G58" s="814"/>
      <c r="H58" s="815"/>
      <c r="I58" s="814"/>
      <c r="J58" s="434"/>
      <c r="K58" s="916"/>
      <c r="L58" s="434"/>
      <c r="M58" s="434"/>
      <c r="N58" s="434"/>
      <c r="O58" s="434"/>
      <c r="P58" s="388"/>
      <c r="Q58" s="388"/>
      <c r="R58" s="388"/>
      <c r="S58" s="388"/>
      <c r="T58" s="389"/>
      <c r="W58" s="375">
        <f t="shared" si="17"/>
        <v>2029</v>
      </c>
      <c r="X58" s="376">
        <f t="shared" ca="1" si="14"/>
        <v>1068.0110531999926</v>
      </c>
      <c r="Y58" s="376">
        <f t="shared" ca="1" si="15"/>
        <v>-3248.9182608000083</v>
      </c>
      <c r="Z58" s="376">
        <f t="shared" ca="1" si="15"/>
        <v>1409.462056199998</v>
      </c>
      <c r="AA58" s="376">
        <f t="shared" ca="1" si="15"/>
        <v>-7600.1295282000137</v>
      </c>
      <c r="AB58" s="376">
        <f t="shared" ca="1" si="15"/>
        <v>236214.88044000012</v>
      </c>
      <c r="AC58" s="376">
        <f t="shared" ca="1" si="15"/>
        <v>328296.0584400004</v>
      </c>
      <c r="AD58"/>
      <c r="AE58" s="370">
        <f t="shared" ca="1" si="16"/>
        <v>422620.20947875408</v>
      </c>
      <c r="AF58" s="377"/>
      <c r="AG58" s="370">
        <f ca="1">IF(VehOp&lt;&gt;"N",SUM($X58:AD58),0)</f>
        <v>556139.36420040042</v>
      </c>
    </row>
    <row r="59" spans="1:33" x14ac:dyDescent="0.25">
      <c r="B59" s="375">
        <f>YearOpen</f>
        <v>2026</v>
      </c>
      <c r="C59" s="401">
        <f>MAX(TREND(C56:C57,$B56:$B57,$B59),0)</f>
        <v>542390</v>
      </c>
      <c r="D59" s="402">
        <f>MAX(TREND(D56:D57,$B56:$B57,$B59),0)</f>
        <v>552975</v>
      </c>
      <c r="E59" s="401">
        <f>MAX(TREND(E56:E57,$B56:$B57,$B59),0)</f>
        <v>10220</v>
      </c>
      <c r="F59" s="813">
        <f>MAX(TREND(F56:F57,$B56:$B57,$B59),0)</f>
        <v>10220</v>
      </c>
      <c r="G59" s="435">
        <f t="shared" ref="G59:G78" si="18">IF(E59=0,55,MAX(5,ROUND(C59/E59,1)))</f>
        <v>53.1</v>
      </c>
      <c r="H59" s="436">
        <f t="shared" ref="H59:H78" si="19">IF(F59=0,55,MAX(5,ROUND(D59/F59,1)))</f>
        <v>54.1</v>
      </c>
      <c r="I59" s="393">
        <f>MAX(TREND(I56:I57,$B56:$B57,$B59),0)</f>
        <v>0</v>
      </c>
      <c r="J59" s="915">
        <f>MAX(TREND(J56:J57,$B56:$B57,$B59),0)</f>
        <v>0</v>
      </c>
      <c r="K59" s="394">
        <f>TREND(K56:K57,$B56:$B57,$B59)</f>
        <v>1</v>
      </c>
      <c r="L59" s="816">
        <f>MIN(MAX(TREND(L56:L57,$B56:$B57,$B59),0),1)</f>
        <v>0.24</v>
      </c>
      <c r="M59" s="406">
        <f>MIN(MAX(TREND(M56:M57,$B56:$B57,$B59),0),1)</f>
        <v>0.24</v>
      </c>
      <c r="N59" s="826">
        <f>MAX(TREND(N56:N57,$B56:$B57,$B59),0)</f>
        <v>0</v>
      </c>
      <c r="O59" s="827">
        <f>MAX(TREND(O56:O57,$B56:$B57,$B59),0)</f>
        <v>0</v>
      </c>
      <c r="P59" s="367">
        <f t="shared" ref="P59:P78" si="20">(C59*(1-L59)*VLOOKUP(G59,FuelCon,2)-D59*(1-M59)*VLOOKUP(H59,FuelCon,2))*FuelAuto+(C59*L59*VLOOKUP(G59,FuelCon,3)-D59*M59*VLOOKUP(H59,FuelCon,3))*FuelTruck</f>
        <v>-3072.9799680000037</v>
      </c>
      <c r="Q59" s="701">
        <f t="shared" ref="Q59:Q78" si="21">(C59*(1-L59)-D59*(1-M59))*NonFuelAuto+(C59*L59-D59*M59)*NonFuelTruck</f>
        <v>-3981.6535999999955</v>
      </c>
      <c r="R59" s="368">
        <f t="shared" ref="R59:R78" si="22">I59*N59-K59*O59</f>
        <v>0</v>
      </c>
      <c r="S59" s="369">
        <f t="shared" ref="S59:S78" si="23">SUM(P59:R59)</f>
        <v>-7054.6335679999993</v>
      </c>
      <c r="T59" s="370">
        <f t="shared" ref="T59:T78" si="24">S59/(1+DiscRate)^(B59-YearCurrent)</f>
        <v>-6030.3303401053863</v>
      </c>
      <c r="W59" s="375">
        <f t="shared" si="17"/>
        <v>2030</v>
      </c>
      <c r="X59" s="376">
        <f t="shared" ca="1" si="14"/>
        <v>284.2108416000076</v>
      </c>
      <c r="Y59" s="376">
        <f t="shared" ca="1" si="15"/>
        <v>-3307.5643583999959</v>
      </c>
      <c r="Z59" s="376">
        <f t="shared" ca="1" si="15"/>
        <v>1433.7856415999945</v>
      </c>
      <c r="AA59" s="376">
        <f t="shared" ca="1" si="15"/>
        <v>-7690.2862656000152</v>
      </c>
      <c r="AB59" s="376">
        <f t="shared" ca="1" si="15"/>
        <v>247532.65151999996</v>
      </c>
      <c r="AC59" s="376">
        <f t="shared" ca="1" si="15"/>
        <v>337509.94031999982</v>
      </c>
      <c r="AD59"/>
      <c r="AE59" s="370">
        <f t="shared" ca="1" si="16"/>
        <v>420704.19284193165</v>
      </c>
      <c r="AF59" s="377"/>
      <c r="AG59" s="370">
        <f ca="1">IF(VehOp&lt;&gt;"N",SUM($X59:AD59),0)</f>
        <v>575762.7376991997</v>
      </c>
    </row>
    <row r="60" spans="1:33" x14ac:dyDescent="0.25">
      <c r="B60" s="375">
        <f>B59+1</f>
        <v>2027</v>
      </c>
      <c r="C60" s="401">
        <f>MAX(TREND(C56:C57,$B56:$B57,$B60),0)</f>
        <v>552792.5</v>
      </c>
      <c r="D60" s="402">
        <f>MAX(TREND(D56:D57,$B56:$B57,$B60),0)</f>
        <v>563578.25</v>
      </c>
      <c r="E60" s="401">
        <f>MAX(TREND(E56:E57,$B56:$B57,$B60),0)</f>
        <v>10420.75</v>
      </c>
      <c r="F60" s="813">
        <f>MAX(TREND(F56:F57,$B56:$B57,$B60),0)</f>
        <v>10402.5</v>
      </c>
      <c r="G60" s="435">
        <f t="shared" si="18"/>
        <v>53</v>
      </c>
      <c r="H60" s="436">
        <f t="shared" si="19"/>
        <v>54.2</v>
      </c>
      <c r="I60" s="401">
        <f>MAX(TREND(I56:I57,$B56:$B57,$B60),0)</f>
        <v>0</v>
      </c>
      <c r="J60" s="813">
        <f>MAX(TREND(J56:J57,$B56:$B57,$B60),0)</f>
        <v>0</v>
      </c>
      <c r="K60" s="402">
        <f>TREND(K56:K57,$B56:$B57,$B60)</f>
        <v>1</v>
      </c>
      <c r="L60" s="816">
        <f>MIN(MAX(TREND(L56:L57,$B56:$B57,$B60),0),1)</f>
        <v>0.24</v>
      </c>
      <c r="M60" s="406">
        <f>MIN(MAX(TREND(M56:M57,$B56:$B57,$B60),0),1)</f>
        <v>0.24</v>
      </c>
      <c r="N60" s="828">
        <f>MAX(TREND(N56:N57,$B56:$B57,$B60),0)</f>
        <v>0</v>
      </c>
      <c r="O60" s="829">
        <f>MAX(TREND(O56:O57,$B56:$B57,$B60),0)</f>
        <v>0</v>
      </c>
      <c r="P60" s="399">
        <f t="shared" si="20"/>
        <v>-3131.6260656000072</v>
      </c>
      <c r="Q60" s="706">
        <f t="shared" si="21"/>
        <v>-4057.1677200000217</v>
      </c>
      <c r="R60" s="400">
        <f t="shared" si="22"/>
        <v>0</v>
      </c>
      <c r="S60" s="369">
        <f t="shared" si="23"/>
        <v>-7188.793785600029</v>
      </c>
      <c r="T60" s="370">
        <f t="shared" si="24"/>
        <v>-5908.6644772878381</v>
      </c>
      <c r="W60" s="375">
        <f t="shared" si="17"/>
        <v>2031</v>
      </c>
      <c r="X60" s="376">
        <f t="shared" ca="1" si="14"/>
        <v>-499.58936999999355</v>
      </c>
      <c r="Y60" s="376">
        <f t="shared" ca="1" si="15"/>
        <v>-3366.2104559999934</v>
      </c>
      <c r="Z60" s="376">
        <f t="shared" ca="1" si="15"/>
        <v>2110.7609819999989</v>
      </c>
      <c r="AA60" s="376">
        <f t="shared" ca="1" si="15"/>
        <v>-7780.4430030000058</v>
      </c>
      <c r="AB60" s="376">
        <f t="shared" ca="1" si="15"/>
        <v>258850.42260000028</v>
      </c>
      <c r="AC60" s="376">
        <f t="shared" ca="1" si="15"/>
        <v>346723.82220000017</v>
      </c>
      <c r="AD60"/>
      <c r="AE60" s="370">
        <f t="shared" ca="1" si="16"/>
        <v>418768.92874159297</v>
      </c>
      <c r="AF60" s="377"/>
      <c r="AG60" s="370">
        <f ca="1">IF(VehOp&lt;&gt;"N",SUM($X60:AD60),0)</f>
        <v>596038.76295300049</v>
      </c>
    </row>
    <row r="61" spans="1:33" x14ac:dyDescent="0.25">
      <c r="B61" s="375">
        <f t="shared" ref="B61:B78" si="25">B60+1</f>
        <v>2028</v>
      </c>
      <c r="C61" s="401">
        <f>MAX(TREND(C56:C57,$B56:$B57,$B61),0)</f>
        <v>563195</v>
      </c>
      <c r="D61" s="402">
        <f>MAX(TREND(D56:D57,$B56:$B57,$B61),0)</f>
        <v>574181.5</v>
      </c>
      <c r="E61" s="401">
        <f>MAX(TREND(E56:E57,$B56:$B57,$B61),0)</f>
        <v>10621.5</v>
      </c>
      <c r="F61" s="813">
        <f>MAX(TREND(F56:F57,$B56:$B57,$B61),0)</f>
        <v>10585</v>
      </c>
      <c r="G61" s="435">
        <f t="shared" si="18"/>
        <v>53</v>
      </c>
      <c r="H61" s="436">
        <f t="shared" si="19"/>
        <v>54.2</v>
      </c>
      <c r="I61" s="401">
        <f>MAX(TREND(I56:I57,$B56:$B57,$B61),0)</f>
        <v>0</v>
      </c>
      <c r="J61" s="813">
        <f>MAX(TREND(J56:J57,$B56:$B57,$B61),0)</f>
        <v>0</v>
      </c>
      <c r="K61" s="402">
        <f>TREND(K56:K57,$B56:$B57,$B61)</f>
        <v>1</v>
      </c>
      <c r="L61" s="816">
        <f>MIN(MAX(TREND(L56:L57,$B56:$B57,$B61),0),1)</f>
        <v>0.24</v>
      </c>
      <c r="M61" s="406">
        <f>MIN(MAX(TREND(M56:M57,$B56:$B57,$B61),0),1)</f>
        <v>0.24</v>
      </c>
      <c r="N61" s="828">
        <f>MAX(TREND(N56:N57,$B56:$B57,$B61),0)</f>
        <v>0</v>
      </c>
      <c r="O61" s="829">
        <f>MAX(TREND(O56:O57,$B56:$B57,$B61),0)</f>
        <v>0</v>
      </c>
      <c r="P61" s="399">
        <f t="shared" si="20"/>
        <v>-3190.2721632000048</v>
      </c>
      <c r="Q61" s="706">
        <f t="shared" si="21"/>
        <v>-4132.6818400000011</v>
      </c>
      <c r="R61" s="400">
        <f t="shared" si="22"/>
        <v>0</v>
      </c>
      <c r="S61" s="369">
        <f t="shared" si="23"/>
        <v>-7322.9540032000059</v>
      </c>
      <c r="T61" s="370">
        <f t="shared" si="24"/>
        <v>-5787.4369199826842</v>
      </c>
      <c r="W61" s="375">
        <f t="shared" si="17"/>
        <v>2032</v>
      </c>
      <c r="X61" s="376">
        <f t="shared" ca="1" si="14"/>
        <v>-1283.3895816000106</v>
      </c>
      <c r="Y61" s="376">
        <f t="shared" ca="1" si="15"/>
        <v>-5155.082697600008</v>
      </c>
      <c r="Z61" s="376">
        <f t="shared" ca="1" si="15"/>
        <v>2146.5008183999907</v>
      </c>
      <c r="AA61" s="376">
        <f t="shared" ca="1" si="15"/>
        <v>-7870.5997404000072</v>
      </c>
      <c r="AB61" s="376">
        <f t="shared" ca="1" si="15"/>
        <v>270168.19368000026</v>
      </c>
      <c r="AC61" s="376">
        <f t="shared" ca="1" si="15"/>
        <v>355937.70408000029</v>
      </c>
      <c r="AD61"/>
      <c r="AE61" s="370">
        <f t="shared" ca="1" si="16"/>
        <v>414758.11311284191</v>
      </c>
      <c r="AF61" s="377"/>
      <c r="AG61" s="370">
        <f ca="1">IF(VehOp&lt;&gt;"N",SUM($X61:AD61),0)</f>
        <v>613943.32655880053</v>
      </c>
    </row>
    <row r="62" spans="1:33" x14ac:dyDescent="0.25">
      <c r="B62" s="375">
        <f t="shared" si="25"/>
        <v>2029</v>
      </c>
      <c r="C62" s="401">
        <f>MAX(TREND(C56:C57,$B56:$B57,$B62),0)</f>
        <v>573597.5</v>
      </c>
      <c r="D62" s="402">
        <f>MAX(TREND(D56:D57,$B56:$B57,$B62),0)</f>
        <v>584784.75</v>
      </c>
      <c r="E62" s="401">
        <f>MAX(TREND(E56:E57,$B56:$B57,$B62),0)</f>
        <v>10822.25</v>
      </c>
      <c r="F62" s="813">
        <f>MAX(TREND(F56:F57,$B56:$B57,$B62),0)</f>
        <v>10767.5</v>
      </c>
      <c r="G62" s="435">
        <f t="shared" si="18"/>
        <v>53</v>
      </c>
      <c r="H62" s="436">
        <f t="shared" si="19"/>
        <v>54.3</v>
      </c>
      <c r="I62" s="401">
        <f>MAX(TREND(I56:I57,$B56:$B57,$B62),0)</f>
        <v>0</v>
      </c>
      <c r="J62" s="813">
        <f>MAX(TREND(J56:J57,$B56:$B57,$B62),0)</f>
        <v>0</v>
      </c>
      <c r="K62" s="402">
        <f>TREND(K56:K57,$B56:$B57,$B62)</f>
        <v>1</v>
      </c>
      <c r="L62" s="816">
        <f>MIN(MAX(TREND(L56:L57,$B56:$B57,$B62),0),1)</f>
        <v>0.24</v>
      </c>
      <c r="M62" s="406">
        <f>MIN(MAX(TREND(M56:M57,$B56:$B57,$B62),0),1)</f>
        <v>0.24</v>
      </c>
      <c r="N62" s="828">
        <f>MAX(TREND(N56:N57,$B56:$B57,$B62),0)</f>
        <v>0</v>
      </c>
      <c r="O62" s="829">
        <f>MAX(TREND(O56:O57,$B56:$B57,$B62),0)</f>
        <v>0</v>
      </c>
      <c r="P62" s="399">
        <f t="shared" si="20"/>
        <v>-3248.9182608000083</v>
      </c>
      <c r="Q62" s="706">
        <f t="shared" si="21"/>
        <v>-4208.1959600000209</v>
      </c>
      <c r="R62" s="400">
        <f t="shared" si="22"/>
        <v>0</v>
      </c>
      <c r="S62" s="369">
        <f t="shared" si="23"/>
        <v>-7457.1142208000292</v>
      </c>
      <c r="T62" s="370">
        <f t="shared" si="24"/>
        <v>-5666.7939314683663</v>
      </c>
      <c r="W62" s="375">
        <f t="shared" si="17"/>
        <v>2033</v>
      </c>
      <c r="X62" s="376">
        <f t="shared" ca="1" si="14"/>
        <v>-2067.1897931999956</v>
      </c>
      <c r="Y62" s="376">
        <f t="shared" ca="1" si="15"/>
        <v>-5243.4882672000122</v>
      </c>
      <c r="Z62" s="376">
        <f t="shared" ca="1" si="15"/>
        <v>2182.2406547999981</v>
      </c>
      <c r="AA62" s="376">
        <f t="shared" ca="1" si="15"/>
        <v>-7960.7564778000196</v>
      </c>
      <c r="AB62" s="376">
        <f t="shared" ca="1" si="15"/>
        <v>281485.96475999994</v>
      </c>
      <c r="AC62" s="376">
        <f t="shared" ca="1" si="15"/>
        <v>365151.58595999994</v>
      </c>
      <c r="AD62"/>
      <c r="AE62" s="370">
        <f t="shared" ca="1" si="16"/>
        <v>411540.93182429619</v>
      </c>
      <c r="AF62" s="377"/>
      <c r="AG62" s="370">
        <f ca="1">IF(VehOp&lt;&gt;"N",SUM($X62:AD62),0)</f>
        <v>633548.35683659988</v>
      </c>
    </row>
    <row r="63" spans="1:33" x14ac:dyDescent="0.25">
      <c r="B63" s="375">
        <f t="shared" si="25"/>
        <v>2030</v>
      </c>
      <c r="C63" s="401">
        <f>MAX(TREND(C56:C57,$B56:$B57,$B63),0)</f>
        <v>584000</v>
      </c>
      <c r="D63" s="402">
        <f>MAX(TREND(D56:D57,$B56:$B57,$B63),0)</f>
        <v>595388</v>
      </c>
      <c r="E63" s="401">
        <f>MAX(TREND(E56:E57,$B56:$B57,$B63),0)</f>
        <v>11023</v>
      </c>
      <c r="F63" s="813">
        <f>MAX(TREND(F56:F57,$B56:$B57,$B63),0)</f>
        <v>10950</v>
      </c>
      <c r="G63" s="435">
        <f t="shared" si="18"/>
        <v>53</v>
      </c>
      <c r="H63" s="436">
        <f t="shared" si="19"/>
        <v>54.4</v>
      </c>
      <c r="I63" s="401">
        <f>MAX(TREND(I56:I57,$B56:$B57,$B63),0)</f>
        <v>0</v>
      </c>
      <c r="J63" s="813">
        <f>MAX(TREND(J56:J57,$B56:$B57,$B63),0)</f>
        <v>0</v>
      </c>
      <c r="K63" s="402">
        <f>TREND(K56:K57,$B56:$B57,$B63)</f>
        <v>1</v>
      </c>
      <c r="L63" s="816">
        <f>MIN(MAX(TREND(L56:L57,$B56:$B57,$B63),0),1)</f>
        <v>0.24</v>
      </c>
      <c r="M63" s="406">
        <f>MIN(MAX(TREND(M56:M57,$B56:$B57,$B63),0),1)</f>
        <v>0.24</v>
      </c>
      <c r="N63" s="828">
        <f>MAX(TREND(N56:N57,$B56:$B57,$B63),0)</f>
        <v>0</v>
      </c>
      <c r="O63" s="829">
        <f>MAX(TREND(O56:O57,$B56:$B57,$B63),0)</f>
        <v>0</v>
      </c>
      <c r="P63" s="399">
        <f t="shared" si="20"/>
        <v>-3307.5643583999959</v>
      </c>
      <c r="Q63" s="706">
        <f t="shared" si="21"/>
        <v>-4283.7100799999998</v>
      </c>
      <c r="R63" s="400">
        <f t="shared" si="22"/>
        <v>0</v>
      </c>
      <c r="S63" s="369">
        <f t="shared" si="23"/>
        <v>-7591.2744383999961</v>
      </c>
      <c r="T63" s="370">
        <f t="shared" si="24"/>
        <v>-5546.8698756208123</v>
      </c>
      <c r="W63" s="375">
        <f t="shared" si="17"/>
        <v>2034</v>
      </c>
      <c r="X63" s="376">
        <f t="shared" ca="1" si="14"/>
        <v>-2850.9900047999863</v>
      </c>
      <c r="Y63" s="376">
        <f t="shared" ca="1" si="15"/>
        <v>-5331.8938368000054</v>
      </c>
      <c r="Z63" s="376">
        <f t="shared" ca="1" si="15"/>
        <v>2217.9804912</v>
      </c>
      <c r="AA63" s="376">
        <f t="shared" ca="1" si="15"/>
        <v>-8050.9132152000002</v>
      </c>
      <c r="AB63" s="376">
        <f t="shared" ca="1" si="15"/>
        <v>292803.73583999998</v>
      </c>
      <c r="AC63" s="376">
        <f t="shared" ca="1" si="15"/>
        <v>374365.46784000017</v>
      </c>
      <c r="AD63"/>
      <c r="AE63" s="370">
        <f t="shared" ca="1" si="16"/>
        <v>407957.67851488048</v>
      </c>
      <c r="AF63" s="377"/>
      <c r="AG63" s="370">
        <f ca="1">IF(VehOp&lt;&gt;"N",SUM($X63:AD63),0)</f>
        <v>653153.38711440016</v>
      </c>
    </row>
    <row r="64" spans="1:33" x14ac:dyDescent="0.25">
      <c r="B64" s="375">
        <f t="shared" si="25"/>
        <v>2031</v>
      </c>
      <c r="C64" s="401">
        <f>MAX(TREND(C56:C57,$B56:$B57,$B64),0)</f>
        <v>594402.5</v>
      </c>
      <c r="D64" s="402">
        <f>MAX(TREND(D56:D57,$B56:$B57,$B64),0)</f>
        <v>605991.25</v>
      </c>
      <c r="E64" s="401">
        <f>MAX(TREND(E56:E57,$B56:$B57,$B64),0)</f>
        <v>11223.75</v>
      </c>
      <c r="F64" s="813">
        <f>MAX(TREND(F56:F57,$B56:$B57,$B64),0)</f>
        <v>11132.5</v>
      </c>
      <c r="G64" s="435">
        <f t="shared" si="18"/>
        <v>53</v>
      </c>
      <c r="H64" s="436">
        <f t="shared" si="19"/>
        <v>54.4</v>
      </c>
      <c r="I64" s="401">
        <f>MAX(TREND(I56:I57,$B56:$B57,$B64),0)</f>
        <v>0</v>
      </c>
      <c r="J64" s="813">
        <f>MAX(TREND(J56:J57,$B56:$B57,$B64),0)</f>
        <v>0</v>
      </c>
      <c r="K64" s="402">
        <f>TREND(K56:K57,$B56:$B57,$B64)</f>
        <v>1</v>
      </c>
      <c r="L64" s="816">
        <f>MIN(MAX(TREND(L56:L57,$B56:$B57,$B64),0),1)</f>
        <v>0.24</v>
      </c>
      <c r="M64" s="406">
        <f>MIN(MAX(TREND(M56:M57,$B56:$B57,$B64),0),1)</f>
        <v>0.24</v>
      </c>
      <c r="N64" s="828">
        <f>MAX(TREND(N56:N57,$B56:$B57,$B64),0)</f>
        <v>0</v>
      </c>
      <c r="O64" s="829">
        <f>MAX(TREND(O56:O57,$B56:$B57,$B64),0)</f>
        <v>0</v>
      </c>
      <c r="P64" s="399">
        <f t="shared" si="20"/>
        <v>-3366.2104559999934</v>
      </c>
      <c r="Q64" s="706">
        <f t="shared" si="21"/>
        <v>-4359.2241999999787</v>
      </c>
      <c r="R64" s="400">
        <f t="shared" si="22"/>
        <v>0</v>
      </c>
      <c r="S64" s="369">
        <f t="shared" si="23"/>
        <v>-7725.4346559999722</v>
      </c>
      <c r="T64" s="370">
        <f t="shared" si="24"/>
        <v>-5427.7879158865853</v>
      </c>
      <c r="W64" s="375">
        <f t="shared" si="17"/>
        <v>2035</v>
      </c>
      <c r="X64" s="376">
        <f t="shared" ca="1" si="14"/>
        <v>-3634.7902163999988</v>
      </c>
      <c r="Y64" s="376">
        <f t="shared" ca="1" si="15"/>
        <v>-5420.2994064000086</v>
      </c>
      <c r="Z64" s="376">
        <f t="shared" ca="1" si="15"/>
        <v>2253.7203275999968</v>
      </c>
      <c r="AA64" s="376">
        <f t="shared" ca="1" si="15"/>
        <v>-8141.0699526000126</v>
      </c>
      <c r="AB64" s="376">
        <f t="shared" ca="1" si="15"/>
        <v>304121.50691999978</v>
      </c>
      <c r="AC64" s="376">
        <f t="shared" ca="1" si="15"/>
        <v>383579.34971999982</v>
      </c>
      <c r="AD64"/>
      <c r="AE64" s="370">
        <f t="shared" ca="1" si="16"/>
        <v>404041.27171473257</v>
      </c>
      <c r="AF64" s="377"/>
      <c r="AG64" s="370">
        <f ca="1">IF(VehOp&lt;&gt;"N",SUM($X64:AD64),0)</f>
        <v>672758.41739219963</v>
      </c>
    </row>
    <row r="65" spans="2:33" x14ac:dyDescent="0.25">
      <c r="B65" s="375">
        <f t="shared" si="25"/>
        <v>2032</v>
      </c>
      <c r="C65" s="401">
        <f>MAX(TREND(C56:C57,$B56:$B57,$B65),0)</f>
        <v>604805</v>
      </c>
      <c r="D65" s="402">
        <f>MAX(TREND(D56:D57,$B56:$B57,$B65),0)</f>
        <v>616594.5</v>
      </c>
      <c r="E65" s="401">
        <f>MAX(TREND(E56:E57,$B56:$B57,$B65),0)</f>
        <v>11424.5</v>
      </c>
      <c r="F65" s="813">
        <f>MAX(TREND(F56:F57,$B56:$B57,$B65),0)</f>
        <v>11315</v>
      </c>
      <c r="G65" s="435">
        <f t="shared" si="18"/>
        <v>52.9</v>
      </c>
      <c r="H65" s="436">
        <f t="shared" si="19"/>
        <v>54.5</v>
      </c>
      <c r="I65" s="401">
        <f>MAX(TREND(I56:I57,$B56:$B57,$B65),0)</f>
        <v>0</v>
      </c>
      <c r="J65" s="813">
        <f>MAX(TREND(J56:J57,$B56:$B57,$B65),0)</f>
        <v>0</v>
      </c>
      <c r="K65" s="402">
        <f>TREND(K56:K57,$B56:$B57,$B65)</f>
        <v>1</v>
      </c>
      <c r="L65" s="816">
        <f>MIN(MAX(TREND(L56:L57,$B56:$B57,$B65),0),1)</f>
        <v>0.24</v>
      </c>
      <c r="M65" s="406">
        <f>MIN(MAX(TREND(M56:M57,$B56:$B57,$B65),0),1)</f>
        <v>0.24</v>
      </c>
      <c r="N65" s="828">
        <f>MAX(TREND(N56:N57,$B56:$B57,$B65),0)</f>
        <v>0</v>
      </c>
      <c r="O65" s="829">
        <f>MAX(TREND(O56:O57,$B56:$B57,$B65),0)</f>
        <v>0</v>
      </c>
      <c r="P65" s="399">
        <f t="shared" si="20"/>
        <v>-5155.082697600008</v>
      </c>
      <c r="Q65" s="706">
        <f t="shared" si="21"/>
        <v>-4434.7383200000113</v>
      </c>
      <c r="R65" s="400">
        <f t="shared" si="22"/>
        <v>0</v>
      </c>
      <c r="S65" s="369">
        <f t="shared" si="23"/>
        <v>-9589.8210176000193</v>
      </c>
      <c r="T65" s="370">
        <f t="shared" si="24"/>
        <v>-6478.539464943131</v>
      </c>
      <c r="W65" s="375">
        <f t="shared" si="17"/>
        <v>2036</v>
      </c>
      <c r="X65" s="376">
        <f t="shared" ca="1" si="14"/>
        <v>-4418.5904279999995</v>
      </c>
      <c r="Y65" s="376">
        <f t="shared" ref="Y65:AC74" ca="1" si="26">OFFSET($P19,MATCH(Y$20,$A:$A),0)</f>
        <v>-5508.7049760000027</v>
      </c>
      <c r="Z65" s="376">
        <f t="shared" ca="1" si="26"/>
        <v>2289.4601639999887</v>
      </c>
      <c r="AA65" s="376">
        <f t="shared" ca="1" si="26"/>
        <v>-8231.2266899999922</v>
      </c>
      <c r="AB65" s="376">
        <f t="shared" ca="1" si="26"/>
        <v>315439.27799999982</v>
      </c>
      <c r="AC65" s="376">
        <f t="shared" ca="1" si="26"/>
        <v>392793.23159999959</v>
      </c>
      <c r="AD65"/>
      <c r="AE65" s="370">
        <f t="shared" ca="1" si="16"/>
        <v>399822.63928602391</v>
      </c>
      <c r="AF65" s="377"/>
      <c r="AG65" s="370">
        <f ca="1">IF(VehOp&lt;&gt;"N",SUM($X65:AD65),0)</f>
        <v>692363.44766999944</v>
      </c>
    </row>
    <row r="66" spans="2:33" x14ac:dyDescent="0.25">
      <c r="B66" s="375">
        <f t="shared" si="25"/>
        <v>2033</v>
      </c>
      <c r="C66" s="401">
        <f>MAX(TREND(C56:C57,$B56:$B57,$B66),0)</f>
        <v>615207.5</v>
      </c>
      <c r="D66" s="402">
        <f>MAX(TREND(D56:D57,$B56:$B57,$B66),0)</f>
        <v>627197.75</v>
      </c>
      <c r="E66" s="401">
        <f>MAX(TREND(E56:E57,$B56:$B57,$B66),0)</f>
        <v>11625.25</v>
      </c>
      <c r="F66" s="813">
        <f>MAX(TREND(F56:F57,$B56:$B57,$B66),0)</f>
        <v>11497.5</v>
      </c>
      <c r="G66" s="435">
        <f t="shared" si="18"/>
        <v>52.9</v>
      </c>
      <c r="H66" s="436">
        <f t="shared" si="19"/>
        <v>54.6</v>
      </c>
      <c r="I66" s="401">
        <f>MAX(TREND(I56:I57,$B56:$B57,$B66),0)</f>
        <v>0</v>
      </c>
      <c r="J66" s="813">
        <f>MAX(TREND(J56:J57,$B56:$B57,$B66),0)</f>
        <v>0</v>
      </c>
      <c r="K66" s="402">
        <f>TREND(K56:K57,$B56:$B57,$B66)</f>
        <v>1</v>
      </c>
      <c r="L66" s="816">
        <f>MIN(MAX(TREND(L56:L57,$B56:$B57,$B66),0),1)</f>
        <v>0.24</v>
      </c>
      <c r="M66" s="406">
        <f>MIN(MAX(TREND(M56:M57,$B56:$B57,$B66),0),1)</f>
        <v>0.24</v>
      </c>
      <c r="N66" s="828">
        <f>MAX(TREND(N56:N57,$B56:$B57,$B66),0)</f>
        <v>0</v>
      </c>
      <c r="O66" s="829">
        <f>MAX(TREND(O56:O57,$B56:$B57,$B66),0)</f>
        <v>0</v>
      </c>
      <c r="P66" s="399">
        <f t="shared" si="20"/>
        <v>-5243.4882672000122</v>
      </c>
      <c r="Q66" s="706">
        <f t="shared" si="21"/>
        <v>-4510.2524399999902</v>
      </c>
      <c r="R66" s="400">
        <f t="shared" si="22"/>
        <v>0</v>
      </c>
      <c r="S66" s="369">
        <f t="shared" si="23"/>
        <v>-9753.7407072000024</v>
      </c>
      <c r="T66" s="370">
        <f t="shared" si="24"/>
        <v>-6335.8439748095452</v>
      </c>
      <c r="W66" s="375">
        <f t="shared" si="17"/>
        <v>2037</v>
      </c>
      <c r="X66" s="376">
        <f t="shared" ca="1" si="14"/>
        <v>-5202.3906396000002</v>
      </c>
      <c r="Y66" s="376">
        <f t="shared" ca="1" si="26"/>
        <v>-5597.1105456000059</v>
      </c>
      <c r="Z66" s="376">
        <f t="shared" ca="1" si="26"/>
        <v>2325.200000399996</v>
      </c>
      <c r="AA66" s="376">
        <f t="shared" ca="1" si="26"/>
        <v>-8630.4962772000072</v>
      </c>
      <c r="AB66" s="376">
        <f t="shared" ca="1" si="26"/>
        <v>326757.04908000026</v>
      </c>
      <c r="AC66" s="376">
        <f t="shared" ca="1" si="26"/>
        <v>402007.11348000029</v>
      </c>
      <c r="AD66"/>
      <c r="AE66" s="370">
        <f t="shared" ca="1" si="16"/>
        <v>395159.18346238614</v>
      </c>
      <c r="AF66" s="377"/>
      <c r="AG66" s="370">
        <f ca="1">IF(VehOp&lt;&gt;"N",SUM($X66:AD66),0)</f>
        <v>711659.3650980005</v>
      </c>
    </row>
    <row r="67" spans="2:33" x14ac:dyDescent="0.25">
      <c r="B67" s="375">
        <f t="shared" si="25"/>
        <v>2034</v>
      </c>
      <c r="C67" s="401">
        <f>MAX(TREND(C56:C57,$B56:$B57,$B67),0)</f>
        <v>625610</v>
      </c>
      <c r="D67" s="402">
        <f>MAX(TREND(D56:D57,$B56:$B57,$B67),0)</f>
        <v>637801</v>
      </c>
      <c r="E67" s="401">
        <f>MAX(TREND(E56:E57,$B56:$B57,$B67),0)</f>
        <v>11826</v>
      </c>
      <c r="F67" s="813">
        <f>MAX(TREND(F56:F57,$B56:$B57,$B67),0)</f>
        <v>11680</v>
      </c>
      <c r="G67" s="435">
        <f t="shared" si="18"/>
        <v>52.9</v>
      </c>
      <c r="H67" s="436">
        <f t="shared" si="19"/>
        <v>54.6</v>
      </c>
      <c r="I67" s="401">
        <f>MAX(TREND(I56:I57,$B56:$B57,$B67),0)</f>
        <v>0</v>
      </c>
      <c r="J67" s="813">
        <f>MAX(TREND(J56:J57,$B56:$B57,$B67),0)</f>
        <v>0</v>
      </c>
      <c r="K67" s="402">
        <f>TREND(K56:K57,$B56:$B57,$B67)</f>
        <v>1</v>
      </c>
      <c r="L67" s="816">
        <f>MIN(MAX(TREND(L56:L57,$B56:$B57,$B67),0),1)</f>
        <v>0.24</v>
      </c>
      <c r="M67" s="406">
        <f>MIN(MAX(TREND(M56:M57,$B56:$B57,$B67),0),1)</f>
        <v>0.24</v>
      </c>
      <c r="N67" s="828">
        <f>MAX(TREND(N56:N57,$B56:$B57,$B67),0)</f>
        <v>0</v>
      </c>
      <c r="O67" s="829">
        <f>MAX(TREND(O56:O57,$B56:$B57,$B67),0)</f>
        <v>0</v>
      </c>
      <c r="P67" s="399">
        <f t="shared" si="20"/>
        <v>-5331.8938368000054</v>
      </c>
      <c r="Q67" s="706">
        <f t="shared" si="21"/>
        <v>-4585.76656000001</v>
      </c>
      <c r="R67" s="400">
        <f t="shared" si="22"/>
        <v>0</v>
      </c>
      <c r="S67" s="369">
        <f t="shared" si="23"/>
        <v>-9917.6603968000163</v>
      </c>
      <c r="T67" s="370">
        <f t="shared" si="24"/>
        <v>-6194.5414225783479</v>
      </c>
      <c r="W67" s="375">
        <f t="shared" si="17"/>
        <v>2038</v>
      </c>
      <c r="X67" s="376">
        <f t="shared" ca="1" si="14"/>
        <v>-5986.1908512000018</v>
      </c>
      <c r="Y67" s="376">
        <f t="shared" ca="1" si="26"/>
        <v>-5685.5161152000092</v>
      </c>
      <c r="Z67" s="376">
        <f t="shared" ca="1" si="26"/>
        <v>2360.9398367999984</v>
      </c>
      <c r="AA67" s="376">
        <f t="shared" ca="1" si="26"/>
        <v>-8724.1386624000115</v>
      </c>
      <c r="AB67" s="376">
        <f t="shared" ca="1" si="26"/>
        <v>338074.82016000029</v>
      </c>
      <c r="AC67" s="376">
        <f t="shared" ca="1" si="26"/>
        <v>411220.99535999994</v>
      </c>
      <c r="AD67"/>
      <c r="AE67" s="370">
        <f t="shared" ca="1" si="16"/>
        <v>390426.17826324509</v>
      </c>
      <c r="AF67" s="377"/>
      <c r="AG67" s="370">
        <f ca="1">IF(VehOp&lt;&gt;"N",SUM($X67:AD67),0)</f>
        <v>731260.90972800017</v>
      </c>
    </row>
    <row r="68" spans="2:33" x14ac:dyDescent="0.25">
      <c r="B68" s="375">
        <f t="shared" si="25"/>
        <v>2035</v>
      </c>
      <c r="C68" s="401">
        <f>MAX(TREND(C56:C57,$B56:$B57,$B68),0)</f>
        <v>636012.5</v>
      </c>
      <c r="D68" s="402">
        <f>MAX(TREND(D56:D57,$B56:$B57,$B68),0)</f>
        <v>648404.25</v>
      </c>
      <c r="E68" s="401">
        <f>MAX(TREND(E56:E57,$B56:$B57,$B68),0)</f>
        <v>12026.75</v>
      </c>
      <c r="F68" s="813">
        <f>MAX(TREND(F56:F57,$B56:$B57,$B68),0)</f>
        <v>11862.5</v>
      </c>
      <c r="G68" s="435">
        <f t="shared" si="18"/>
        <v>52.9</v>
      </c>
      <c r="H68" s="436">
        <f t="shared" si="19"/>
        <v>54.7</v>
      </c>
      <c r="I68" s="401">
        <f>MAX(TREND(I56:I57,$B56:$B57,$B68),0)</f>
        <v>0</v>
      </c>
      <c r="J68" s="813">
        <f>MAX(TREND(J56:J57,$B56:$B57,$B68),0)</f>
        <v>0</v>
      </c>
      <c r="K68" s="402">
        <f>TREND(K56:K57,$B56:$B57,$B68)</f>
        <v>1</v>
      </c>
      <c r="L68" s="816">
        <f>MIN(MAX(TREND(L56:L57,$B56:$B57,$B68),0),1)</f>
        <v>0.24</v>
      </c>
      <c r="M68" s="406">
        <f>MIN(MAX(TREND(M56:M57,$B56:$B57,$B68),0),1)</f>
        <v>0.24</v>
      </c>
      <c r="N68" s="828">
        <f>MAX(TREND(N56:N57,$B56:$B57,$B68),0)</f>
        <v>0</v>
      </c>
      <c r="O68" s="829">
        <f>MAX(TREND(O56:O57,$B56:$B57,$B68),0)</f>
        <v>0</v>
      </c>
      <c r="P68" s="399">
        <f t="shared" si="20"/>
        <v>-5420.2994064000086</v>
      </c>
      <c r="Q68" s="706">
        <f t="shared" si="21"/>
        <v>-4661.2806799999889</v>
      </c>
      <c r="R68" s="400">
        <f t="shared" si="22"/>
        <v>0</v>
      </c>
      <c r="S68" s="369">
        <f t="shared" si="23"/>
        <v>-10081.580086399998</v>
      </c>
      <c r="T68" s="370">
        <f t="shared" si="24"/>
        <v>-6054.7357471832465</v>
      </c>
      <c r="W68" s="375">
        <f t="shared" si="17"/>
        <v>2039</v>
      </c>
      <c r="X68" s="376">
        <f t="shared" ca="1" si="14"/>
        <v>-6769.9910628000143</v>
      </c>
      <c r="Y68" s="376">
        <f t="shared" ca="1" si="26"/>
        <v>-5773.9216847999924</v>
      </c>
      <c r="Z68" s="376">
        <f t="shared" ca="1" si="26"/>
        <v>2396.6796732000003</v>
      </c>
      <c r="AA68" s="376">
        <f t="shared" ca="1" si="26"/>
        <v>-8817.781047600005</v>
      </c>
      <c r="AB68" s="376">
        <f t="shared" ca="1" si="26"/>
        <v>349392.59123999998</v>
      </c>
      <c r="AC68" s="376">
        <f t="shared" ca="1" si="26"/>
        <v>420434.87724000006</v>
      </c>
      <c r="AD68"/>
      <c r="AE68" s="370">
        <f t="shared" ca="1" si="16"/>
        <v>385472.6953819932</v>
      </c>
      <c r="AF68" s="377"/>
      <c r="AG68" s="370">
        <f ca="1">IF(VehOp&lt;&gt;"N",SUM($X68:AD68),0)</f>
        <v>750862.45435800008</v>
      </c>
    </row>
    <row r="69" spans="2:33" x14ac:dyDescent="0.25">
      <c r="B69" s="375">
        <f t="shared" si="25"/>
        <v>2036</v>
      </c>
      <c r="C69" s="401">
        <f>MAX(TREND(C56:C57,$B56:$B57,$B69),0)</f>
        <v>646415</v>
      </c>
      <c r="D69" s="402">
        <f>MAX(TREND(D56:D57,$B56:$B57,$B69),0)</f>
        <v>659007.5</v>
      </c>
      <c r="E69" s="401">
        <f>MAX(TREND(E56:E57,$B56:$B57,$B69),0)</f>
        <v>12227.5</v>
      </c>
      <c r="F69" s="813">
        <f>MAX(TREND(F56:F57,$B56:$B57,$B69),0)</f>
        <v>12045</v>
      </c>
      <c r="G69" s="435">
        <f t="shared" si="18"/>
        <v>52.9</v>
      </c>
      <c r="H69" s="436">
        <f t="shared" si="19"/>
        <v>54.7</v>
      </c>
      <c r="I69" s="401">
        <f>MAX(TREND(I56:I57,$B56:$B57,$B69),0)</f>
        <v>0</v>
      </c>
      <c r="J69" s="813">
        <f>MAX(TREND(J56:J57,$B56:$B57,$B69),0)</f>
        <v>0</v>
      </c>
      <c r="K69" s="402">
        <f>TREND(K56:K57,$B56:$B57,$B69)</f>
        <v>1</v>
      </c>
      <c r="L69" s="816">
        <f>MIN(MAX(TREND(L56:L57,$B56:$B57,$B69),0),1)</f>
        <v>0.24</v>
      </c>
      <c r="M69" s="406">
        <f>MIN(MAX(TREND(M56:M57,$B56:$B57,$B69),0),1)</f>
        <v>0.24</v>
      </c>
      <c r="N69" s="828">
        <f>MAX(TREND(N56:N57,$B56:$B57,$B69),0)</f>
        <v>0</v>
      </c>
      <c r="O69" s="829">
        <f>MAX(TREND(O56:O57,$B56:$B57,$B69),0)</f>
        <v>0</v>
      </c>
      <c r="P69" s="399">
        <f t="shared" si="20"/>
        <v>-5508.7049760000027</v>
      </c>
      <c r="Q69" s="706">
        <f t="shared" si="21"/>
        <v>-4736.7947999999878</v>
      </c>
      <c r="R69" s="400">
        <f t="shared" si="22"/>
        <v>0</v>
      </c>
      <c r="S69" s="369">
        <f t="shared" si="23"/>
        <v>-10245.49977599999</v>
      </c>
      <c r="T69" s="370">
        <f t="shared" si="24"/>
        <v>-5916.5208316963863</v>
      </c>
      <c r="W69" s="375">
        <f t="shared" si="17"/>
        <v>2040</v>
      </c>
      <c r="X69" s="376">
        <f t="shared" ca="1" si="14"/>
        <v>-7553.7912743999941</v>
      </c>
      <c r="Y69" s="376">
        <f t="shared" ca="1" si="26"/>
        <v>-5862.327254400001</v>
      </c>
      <c r="Z69" s="376">
        <f t="shared" ca="1" si="26"/>
        <v>2432.4195095999967</v>
      </c>
      <c r="AA69" s="376">
        <f t="shared" ca="1" si="26"/>
        <v>-8911.4234328000093</v>
      </c>
      <c r="AB69" s="376">
        <f t="shared" ca="1" si="26"/>
        <v>360710.36231999949</v>
      </c>
      <c r="AC69" s="376">
        <f t="shared" ca="1" si="26"/>
        <v>429648.75912000018</v>
      </c>
      <c r="AD69"/>
      <c r="AE69" s="370">
        <f t="shared" ca="1" si="16"/>
        <v>380322.69612731191</v>
      </c>
      <c r="AF69" s="377"/>
      <c r="AG69" s="370">
        <f ca="1">IF(VehOp&lt;&gt;"N",SUM($X69:AD69),0)</f>
        <v>770463.99898799974</v>
      </c>
    </row>
    <row r="70" spans="2:33" x14ac:dyDescent="0.25">
      <c r="B70" s="375">
        <f t="shared" si="25"/>
        <v>2037</v>
      </c>
      <c r="C70" s="401">
        <f>MAX(TREND(C56:C57,$B56:$B57,$B70),0)</f>
        <v>656817.5</v>
      </c>
      <c r="D70" s="402">
        <f>MAX(TREND(D56:D57,$B56:$B57,$B70),0)</f>
        <v>669610.75</v>
      </c>
      <c r="E70" s="401">
        <f>MAX(TREND(E56:E57,$B56:$B57,$B70),0)</f>
        <v>12428.25</v>
      </c>
      <c r="F70" s="813">
        <f>MAX(TREND(F56:F57,$B56:$B57,$B70),0)</f>
        <v>12227.5</v>
      </c>
      <c r="G70" s="435">
        <f t="shared" si="18"/>
        <v>52.8</v>
      </c>
      <c r="H70" s="436">
        <f t="shared" si="19"/>
        <v>54.8</v>
      </c>
      <c r="I70" s="401">
        <f>MAX(TREND(I56:I57,$B56:$B57,$B70),0)</f>
        <v>0</v>
      </c>
      <c r="J70" s="813">
        <f>MAX(TREND(J56:J57,$B56:$B57,$B70),0)</f>
        <v>0</v>
      </c>
      <c r="K70" s="402">
        <f>TREND(K56:K57,$B56:$B57,$B70)</f>
        <v>1</v>
      </c>
      <c r="L70" s="816">
        <f>MIN(MAX(TREND(L56:L57,$B56:$B57,$B70),0),1)</f>
        <v>0.24</v>
      </c>
      <c r="M70" s="406">
        <f>MIN(MAX(TREND(M56:M57,$B56:$B57,$B70),0),1)</f>
        <v>0.24</v>
      </c>
      <c r="N70" s="828">
        <f>MAX(TREND(N56:N57,$B56:$B57,$B70),0)</f>
        <v>0</v>
      </c>
      <c r="O70" s="829">
        <f>MAX(TREND(O56:O57,$B56:$B57,$B70),0)</f>
        <v>0</v>
      </c>
      <c r="P70" s="399">
        <f t="shared" si="20"/>
        <v>-5597.1105456000059</v>
      </c>
      <c r="Q70" s="706">
        <f t="shared" si="21"/>
        <v>-4812.3089200000004</v>
      </c>
      <c r="R70" s="400">
        <f t="shared" si="22"/>
        <v>0</v>
      </c>
      <c r="S70" s="369">
        <f t="shared" si="23"/>
        <v>-10409.419465600007</v>
      </c>
      <c r="T70" s="370">
        <f t="shared" si="24"/>
        <v>-5779.9811231002705</v>
      </c>
      <c r="W70" s="375">
        <f t="shared" si="17"/>
        <v>2041</v>
      </c>
      <c r="X70" s="376">
        <f t="shared" ca="1" si="14"/>
        <v>-8337.5914859999939</v>
      </c>
      <c r="Y70" s="376">
        <f t="shared" ca="1" si="26"/>
        <v>-8131.2343560000099</v>
      </c>
      <c r="Z70" s="376">
        <f t="shared" ca="1" si="26"/>
        <v>2468.1593459999885</v>
      </c>
      <c r="AA70" s="376">
        <f t="shared" ca="1" si="26"/>
        <v>-9005.0658180000009</v>
      </c>
      <c r="AB70" s="376">
        <f t="shared" ca="1" si="26"/>
        <v>372028.13339999993</v>
      </c>
      <c r="AC70" s="376">
        <f t="shared" ca="1" si="26"/>
        <v>438862.64099999983</v>
      </c>
      <c r="AD70"/>
      <c r="AE70" s="370">
        <f t="shared" ca="1" si="16"/>
        <v>373963.66624791815</v>
      </c>
      <c r="AF70" s="377"/>
      <c r="AG70" s="370">
        <f ca="1">IF(VehOp&lt;&gt;"N",SUM($X70:AD70),0)</f>
        <v>787885.04208599974</v>
      </c>
    </row>
    <row r="71" spans="2:33" x14ac:dyDescent="0.25">
      <c r="B71" s="375">
        <f t="shared" si="25"/>
        <v>2038</v>
      </c>
      <c r="C71" s="401">
        <f>MAX(TREND(C56:C57,$B56:$B57,$B71),0)</f>
        <v>667220</v>
      </c>
      <c r="D71" s="402">
        <f>MAX(TREND(D56:D57,$B56:$B57,$B71),0)</f>
        <v>680214</v>
      </c>
      <c r="E71" s="401">
        <f>MAX(TREND(E56:E57,$B56:$B57,$B71),0)</f>
        <v>12629</v>
      </c>
      <c r="F71" s="813">
        <f>MAX(TREND(F56:F57,$B56:$B57,$B71),0)</f>
        <v>12410</v>
      </c>
      <c r="G71" s="435">
        <f t="shared" si="18"/>
        <v>52.8</v>
      </c>
      <c r="H71" s="436">
        <f t="shared" si="19"/>
        <v>54.8</v>
      </c>
      <c r="I71" s="401">
        <f>MAX(TREND(I56:I57,$B56:$B57,$B71),0)</f>
        <v>0</v>
      </c>
      <c r="J71" s="813">
        <f>MAX(TREND(J56:J57,$B56:$B57,$B71),0)</f>
        <v>0</v>
      </c>
      <c r="K71" s="402">
        <f>TREND(K56:K57,$B56:$B57,$B71)</f>
        <v>1</v>
      </c>
      <c r="L71" s="816">
        <f>MIN(MAX(TREND(L56:L57,$B56:$B57,$B71),0),1)</f>
        <v>0.24</v>
      </c>
      <c r="M71" s="406">
        <f>MIN(MAX(TREND(M56:M57,$B56:$B57,$B71),0),1)</f>
        <v>0.24</v>
      </c>
      <c r="N71" s="828">
        <f>MAX(TREND(N56:N57,$B56:$B57,$B71),0)</f>
        <v>0</v>
      </c>
      <c r="O71" s="829">
        <f>MAX(TREND(O56:O57,$B56:$B57,$B71),0)</f>
        <v>0</v>
      </c>
      <c r="P71" s="399">
        <f t="shared" si="20"/>
        <v>-5685.5161152000092</v>
      </c>
      <c r="Q71" s="706">
        <f t="shared" si="21"/>
        <v>-4887.8230399999993</v>
      </c>
      <c r="R71" s="400">
        <f t="shared" si="22"/>
        <v>0</v>
      </c>
      <c r="S71" s="369">
        <f t="shared" si="23"/>
        <v>-10573.339155200008</v>
      </c>
      <c r="T71" s="370">
        <f t="shared" si="24"/>
        <v>-5645.1922192605089</v>
      </c>
      <c r="W71" s="375">
        <f t="shared" si="17"/>
        <v>2042</v>
      </c>
      <c r="X71" s="376">
        <f t="shared" ca="1" si="14"/>
        <v>-9121.3916976000073</v>
      </c>
      <c r="Y71" s="376">
        <f t="shared" ca="1" si="26"/>
        <v>-8252.1113184000042</v>
      </c>
      <c r="Z71" s="376">
        <f t="shared" ca="1" si="26"/>
        <v>2503.8991823999904</v>
      </c>
      <c r="AA71" s="376">
        <f t="shared" ca="1" si="26"/>
        <v>-9098.7082031999944</v>
      </c>
      <c r="AB71" s="376">
        <f t="shared" ca="1" si="26"/>
        <v>383345.90447999979</v>
      </c>
      <c r="AC71" s="376">
        <f t="shared" ca="1" si="26"/>
        <v>448076.52288000006</v>
      </c>
      <c r="AD71"/>
      <c r="AE71" s="370">
        <f t="shared" ca="1" si="16"/>
        <v>368511.51789002109</v>
      </c>
      <c r="AF71" s="377"/>
      <c r="AG71" s="370">
        <f ca="1">IF(VehOp&lt;&gt;"N",SUM($X71:AD71),0)</f>
        <v>807454.11532319989</v>
      </c>
    </row>
    <row r="72" spans="2:33" x14ac:dyDescent="0.25">
      <c r="B72" s="375">
        <f t="shared" si="25"/>
        <v>2039</v>
      </c>
      <c r="C72" s="401">
        <f>MAX(TREND(C56:C57,$B56:$B57,$B72),0)</f>
        <v>677622.5</v>
      </c>
      <c r="D72" s="402">
        <f>MAX(TREND(D56:D57,$B56:$B57,$B72),0)</f>
        <v>690817.25</v>
      </c>
      <c r="E72" s="401">
        <f>MAX(TREND(E56:E57,$B56:$B57,$B72),0)</f>
        <v>12829.75</v>
      </c>
      <c r="F72" s="813">
        <f>MAX(TREND(F56:F57,$B56:$B57,$B72),0)</f>
        <v>12592.5</v>
      </c>
      <c r="G72" s="435">
        <f t="shared" si="18"/>
        <v>52.8</v>
      </c>
      <c r="H72" s="436">
        <f t="shared" si="19"/>
        <v>54.9</v>
      </c>
      <c r="I72" s="401">
        <f>MAX(TREND(I56:I57,$B56:$B57,$B72),0)</f>
        <v>0</v>
      </c>
      <c r="J72" s="813">
        <f>MAX(TREND(J56:J57,$B56:$B57,$B72),0)</f>
        <v>0</v>
      </c>
      <c r="K72" s="402">
        <f>TREND(K56:K57,$B56:$B57,$B72)</f>
        <v>1</v>
      </c>
      <c r="L72" s="816">
        <f>MIN(MAX(TREND(L56:L57,$B56:$B57,$B72),0),1)</f>
        <v>0.24</v>
      </c>
      <c r="M72" s="406">
        <f>MIN(MAX(TREND(M56:M57,$B56:$B57,$B72),0),1)</f>
        <v>0.24</v>
      </c>
      <c r="N72" s="828">
        <f>MAX(TREND(N56:N57,$B56:$B57,$B72),0)</f>
        <v>0</v>
      </c>
      <c r="O72" s="829">
        <f>MAX(TREND(O56:O57,$B56:$B57,$B72),0)</f>
        <v>0</v>
      </c>
      <c r="P72" s="399">
        <f t="shared" si="20"/>
        <v>-5773.9216847999924</v>
      </c>
      <c r="Q72" s="706">
        <f t="shared" si="21"/>
        <v>-4963.3371599999782</v>
      </c>
      <c r="R72" s="400">
        <f t="shared" si="22"/>
        <v>0</v>
      </c>
      <c r="S72" s="369">
        <f t="shared" si="23"/>
        <v>-10737.25884479997</v>
      </c>
      <c r="T72" s="370">
        <f t="shared" si="24"/>
        <v>-5512.221424705589</v>
      </c>
      <c r="W72" s="375">
        <f t="shared" si="17"/>
        <v>2043</v>
      </c>
      <c r="X72" s="376">
        <f t="shared" ca="1" si="14"/>
        <v>-9905.1919092000062</v>
      </c>
      <c r="Y72" s="376">
        <f t="shared" ca="1" si="26"/>
        <v>-8372.9882808000148</v>
      </c>
      <c r="Z72" s="376">
        <f t="shared" ca="1" si="26"/>
        <v>2539.6390187999828</v>
      </c>
      <c r="AA72" s="376">
        <f t="shared" ca="1" si="26"/>
        <v>-9192.3505884000078</v>
      </c>
      <c r="AB72" s="376">
        <f t="shared" ca="1" si="26"/>
        <v>394663.67555999965</v>
      </c>
      <c r="AC72" s="376">
        <f t="shared" ca="1" si="26"/>
        <v>457290.40476000024</v>
      </c>
      <c r="AD72"/>
      <c r="AE72" s="370">
        <f t="shared" ca="1" si="16"/>
        <v>362925.56486993865</v>
      </c>
      <c r="AF72" s="377"/>
      <c r="AG72" s="370">
        <f ca="1">IF(VehOp&lt;&gt;"N",SUM($X72:AD72),0)</f>
        <v>827023.18856039993</v>
      </c>
    </row>
    <row r="73" spans="2:33" x14ac:dyDescent="0.25">
      <c r="B73" s="375">
        <f t="shared" si="25"/>
        <v>2040</v>
      </c>
      <c r="C73" s="401">
        <f>MAX(TREND(C56:C57,$B56:$B57,$B73),0)</f>
        <v>688025</v>
      </c>
      <c r="D73" s="402">
        <f>MAX(TREND(D56:D57,$B56:$B57,$B73),0)</f>
        <v>701420.5</v>
      </c>
      <c r="E73" s="401">
        <f>MAX(TREND(E56:E57,$B56:$B57,$B73),0)</f>
        <v>13030.5</v>
      </c>
      <c r="F73" s="813">
        <f>MAX(TREND(F56:F57,$B56:$B57,$B73),0)</f>
        <v>12775</v>
      </c>
      <c r="G73" s="435">
        <f t="shared" si="18"/>
        <v>52.8</v>
      </c>
      <c r="H73" s="436">
        <f t="shared" si="19"/>
        <v>54.9</v>
      </c>
      <c r="I73" s="401">
        <f>MAX(TREND(I56:I57,$B56:$B57,$B73),0)</f>
        <v>0</v>
      </c>
      <c r="J73" s="813">
        <f>MAX(TREND(J56:J57,$B56:$B57,$B73),0)</f>
        <v>0</v>
      </c>
      <c r="K73" s="402">
        <f>TREND(K56:K57,$B56:$B57,$B73)</f>
        <v>1</v>
      </c>
      <c r="L73" s="816">
        <f>MIN(MAX(TREND(L56:L57,$B56:$B57,$B73),0),1)</f>
        <v>0.24</v>
      </c>
      <c r="M73" s="406">
        <f>MIN(MAX(TREND(M56:M57,$B56:$B57,$B73),0),1)</f>
        <v>0.24</v>
      </c>
      <c r="N73" s="828">
        <f>MAX(TREND(N56:N57,$B56:$B57,$B73),0)</f>
        <v>0</v>
      </c>
      <c r="O73" s="829">
        <f>MAX(TREND(O56:O57,$B56:$B57,$B73),0)</f>
        <v>0</v>
      </c>
      <c r="P73" s="399">
        <f t="shared" si="20"/>
        <v>-5862.327254400001</v>
      </c>
      <c r="Q73" s="706">
        <f t="shared" si="21"/>
        <v>-5038.8512799999771</v>
      </c>
      <c r="R73" s="400">
        <f t="shared" si="22"/>
        <v>0</v>
      </c>
      <c r="S73" s="369">
        <f t="shared" si="23"/>
        <v>-10901.178534399978</v>
      </c>
      <c r="T73" s="370">
        <f t="shared" si="24"/>
        <v>-5381.1282767447692</v>
      </c>
      <c r="W73" s="375">
        <f t="shared" si="17"/>
        <v>2044</v>
      </c>
      <c r="X73" s="376">
        <f t="shared" ca="1" si="14"/>
        <v>-10688.992120799987</v>
      </c>
      <c r="Y73" s="376">
        <f t="shared" ca="1" si="26"/>
        <v>-8493.8652432000054</v>
      </c>
      <c r="Z73" s="376">
        <f t="shared" ca="1" si="26"/>
        <v>2575.3788551999901</v>
      </c>
      <c r="AA73" s="376">
        <f t="shared" ca="1" si="26"/>
        <v>-9285.9929736000231</v>
      </c>
      <c r="AB73" s="376">
        <f t="shared" ca="1" si="26"/>
        <v>405981.44663999981</v>
      </c>
      <c r="AC73" s="376">
        <f t="shared" ca="1" si="26"/>
        <v>466504.28664000006</v>
      </c>
      <c r="AD73"/>
      <c r="AE73" s="370">
        <f t="shared" ca="1" si="16"/>
        <v>357224.1651622146</v>
      </c>
      <c r="AF73" s="377"/>
      <c r="AG73" s="370">
        <f ca="1">IF(VehOp&lt;&gt;"N",SUM($X73:AD73),0)</f>
        <v>846592.26179759984</v>
      </c>
    </row>
    <row r="74" spans="2:33" x14ac:dyDescent="0.25">
      <c r="B74" s="375">
        <f t="shared" si="25"/>
        <v>2041</v>
      </c>
      <c r="C74" s="401">
        <f>MAX(TREND(C56:C57,$B56:$B57,$B74),0)</f>
        <v>698427.5</v>
      </c>
      <c r="D74" s="402">
        <f>MAX(TREND(D56:D57,$B56:$B57,$B74),0)</f>
        <v>712023.75</v>
      </c>
      <c r="E74" s="401">
        <f>MAX(TREND(E56:E57,$B56:$B57,$B74),0)</f>
        <v>13231.25</v>
      </c>
      <c r="F74" s="813">
        <f>MAX(TREND(F56:F57,$B56:$B57,$B74),0)</f>
        <v>12957.5</v>
      </c>
      <c r="G74" s="435">
        <f t="shared" si="18"/>
        <v>52.8</v>
      </c>
      <c r="H74" s="436">
        <f t="shared" si="19"/>
        <v>55</v>
      </c>
      <c r="I74" s="401">
        <f>MAX(TREND(I56:I57,$B56:$B57,$B74),0)</f>
        <v>0</v>
      </c>
      <c r="J74" s="813">
        <f>MAX(TREND(J56:J57,$B56:$B57,$B74),0)</f>
        <v>0</v>
      </c>
      <c r="K74" s="402">
        <f>TREND(K56:K57,$B56:$B57,$B74)</f>
        <v>1</v>
      </c>
      <c r="L74" s="816">
        <f>MIN(MAX(TREND(L56:L57,$B56:$B57,$B74),0),1)</f>
        <v>0.24</v>
      </c>
      <c r="M74" s="406">
        <f>MIN(MAX(TREND(M56:M57,$B56:$B57,$B74),0),1)</f>
        <v>0.24</v>
      </c>
      <c r="N74" s="828">
        <f>MAX(TREND(N56:N57,$B56:$B57,$B74),0)</f>
        <v>0</v>
      </c>
      <c r="O74" s="829">
        <f>MAX(TREND(O56:O57,$B56:$B57,$B74),0)</f>
        <v>0</v>
      </c>
      <c r="P74" s="399">
        <f t="shared" si="20"/>
        <v>-8131.2343560000099</v>
      </c>
      <c r="Q74" s="706">
        <f t="shared" si="21"/>
        <v>-5114.3653999999979</v>
      </c>
      <c r="R74" s="400">
        <f t="shared" si="22"/>
        <v>0</v>
      </c>
      <c r="S74" s="369">
        <f t="shared" si="23"/>
        <v>-13245.599756000007</v>
      </c>
      <c r="T74" s="370">
        <f t="shared" si="24"/>
        <v>-6286.9235761752398</v>
      </c>
      <c r="W74" s="375">
        <f t="shared" si="17"/>
        <v>2045</v>
      </c>
      <c r="X74" s="376">
        <f t="shared" ca="1" si="14"/>
        <v>-11472.7923324</v>
      </c>
      <c r="Y74" s="376">
        <f t="shared" ca="1" si="26"/>
        <v>-8614.742205600025</v>
      </c>
      <c r="Z74" s="376">
        <f t="shared" ca="1" si="26"/>
        <v>2611.118691599992</v>
      </c>
      <c r="AA74" s="376">
        <f t="shared" ca="1" si="26"/>
        <v>-9379.6353587999947</v>
      </c>
      <c r="AB74" s="376">
        <f t="shared" ca="1" si="26"/>
        <v>417299.21771999996</v>
      </c>
      <c r="AC74" s="376">
        <f t="shared" ca="1" si="26"/>
        <v>475718.16851999983</v>
      </c>
      <c r="AD74"/>
      <c r="AE74" s="370">
        <f t="shared" ca="1" si="16"/>
        <v>351424.46252539544</v>
      </c>
      <c r="AF74" s="377"/>
      <c r="AG74" s="370">
        <f ca="1">IF(VehOp&lt;&gt;"N",SUM($X74:AD74),0)</f>
        <v>866161.33503479976</v>
      </c>
    </row>
    <row r="75" spans="2:33" x14ac:dyDescent="0.25">
      <c r="B75" s="375">
        <f t="shared" si="25"/>
        <v>2042</v>
      </c>
      <c r="C75" s="401">
        <f>MAX(TREND(C56:C57,$B56:$B57,$B75),0)</f>
        <v>708830</v>
      </c>
      <c r="D75" s="402">
        <f>MAX(TREND(D56:D57,$B56:$B57,$B75),0)</f>
        <v>722627</v>
      </c>
      <c r="E75" s="401">
        <f>MAX(TREND(E56:E57,$B56:$B57,$B75),0)</f>
        <v>13432</v>
      </c>
      <c r="F75" s="813">
        <f>MAX(TREND(F56:F57,$B56:$B57,$B75),0)</f>
        <v>13140</v>
      </c>
      <c r="G75" s="435">
        <f t="shared" si="18"/>
        <v>52.8</v>
      </c>
      <c r="H75" s="436">
        <f t="shared" si="19"/>
        <v>55</v>
      </c>
      <c r="I75" s="401">
        <f>MAX(TREND(I56:I57,$B56:$B57,$B75),0)</f>
        <v>0</v>
      </c>
      <c r="J75" s="813">
        <f>MAX(TREND(J56:J57,$B56:$B57,$B75),0)</f>
        <v>0</v>
      </c>
      <c r="K75" s="402">
        <f>TREND(K56:K57,$B56:$B57,$B75)</f>
        <v>1</v>
      </c>
      <c r="L75" s="816">
        <f>MIN(MAX(TREND(L56:L57,$B56:$B57,$B75),0),1)</f>
        <v>0.24</v>
      </c>
      <c r="M75" s="406">
        <f>MIN(MAX(TREND(M56:M57,$B56:$B57,$B75),0),1)</f>
        <v>0.24</v>
      </c>
      <c r="N75" s="828">
        <f>MAX(TREND(N56:N57,$B56:$B57,$B75),0)</f>
        <v>0</v>
      </c>
      <c r="O75" s="829">
        <f>MAX(TREND(O56:O57,$B56:$B57,$B75),0)</f>
        <v>0</v>
      </c>
      <c r="P75" s="399">
        <f t="shared" si="20"/>
        <v>-8252.1113184000042</v>
      </c>
      <c r="Q75" s="706">
        <f t="shared" si="21"/>
        <v>-5189.8795199999895</v>
      </c>
      <c r="R75" s="400">
        <f t="shared" si="22"/>
        <v>0</v>
      </c>
      <c r="S75" s="369">
        <f t="shared" si="23"/>
        <v>-13441.990838399994</v>
      </c>
      <c r="T75" s="370">
        <f t="shared" si="24"/>
        <v>-6134.7491496031189</v>
      </c>
      <c r="W75" s="385"/>
      <c r="X75" s="389"/>
      <c r="Y75" s="389"/>
      <c r="Z75" s="389"/>
      <c r="AA75" s="389"/>
      <c r="AB75" s="389"/>
      <c r="AC75" s="389"/>
      <c r="AD75"/>
      <c r="AE75" s="389"/>
      <c r="AF75" s="390"/>
      <c r="AG75" s="389"/>
    </row>
    <row r="76" spans="2:33" x14ac:dyDescent="0.25">
      <c r="B76" s="375">
        <f t="shared" si="25"/>
        <v>2043</v>
      </c>
      <c r="C76" s="401">
        <f>MAX(TREND(C56:C57,$B56:$B57,$B76),0)</f>
        <v>719232.5</v>
      </c>
      <c r="D76" s="402">
        <f>MAX(TREND(D56:D57,$B56:$B57,$B76),0)</f>
        <v>733230.25</v>
      </c>
      <c r="E76" s="401">
        <f>MAX(TREND(E56:E57,$B56:$B57,$B76),0)</f>
        <v>13632.75</v>
      </c>
      <c r="F76" s="813">
        <f>MAX(TREND(F56:F57,$B56:$B57,$B76),0)</f>
        <v>13322.5</v>
      </c>
      <c r="G76" s="435">
        <f t="shared" si="18"/>
        <v>52.8</v>
      </c>
      <c r="H76" s="436">
        <f t="shared" si="19"/>
        <v>55</v>
      </c>
      <c r="I76" s="401">
        <f>MAX(TREND(I56:I57,$B56:$B57,$B76),0)</f>
        <v>0</v>
      </c>
      <c r="J76" s="813">
        <f>MAX(TREND(J56:J57,$B56:$B57,$B76),0)</f>
        <v>0</v>
      </c>
      <c r="K76" s="402">
        <f>TREND(K56:K57,$B56:$B57,$B76)</f>
        <v>1</v>
      </c>
      <c r="L76" s="816">
        <f>MIN(MAX(TREND(L56:L57,$B56:$B57,$B76),0),1)</f>
        <v>0.24</v>
      </c>
      <c r="M76" s="406">
        <f>MIN(MAX(TREND(M56:M57,$B56:$B57,$B76),0),1)</f>
        <v>0.24</v>
      </c>
      <c r="N76" s="828">
        <f>MAX(TREND(N56:N57,$B56:$B57,$B76),0)</f>
        <v>0</v>
      </c>
      <c r="O76" s="829">
        <f>MAX(TREND(O56:O57,$B56:$B57,$B76),0)</f>
        <v>0</v>
      </c>
      <c r="P76" s="399">
        <f t="shared" si="20"/>
        <v>-8372.9882808000148</v>
      </c>
      <c r="Q76" s="706">
        <f t="shared" si="21"/>
        <v>-5265.3936400000093</v>
      </c>
      <c r="R76" s="400">
        <f t="shared" si="22"/>
        <v>0</v>
      </c>
      <c r="S76" s="369">
        <f t="shared" si="23"/>
        <v>-13638.381920800024</v>
      </c>
      <c r="T76" s="370">
        <f t="shared" si="24"/>
        <v>-5984.9802653469551</v>
      </c>
      <c r="W76" s="407" t="s">
        <v>56</v>
      </c>
      <c r="X76" s="408">
        <f t="shared" ref="X76:AC76" ca="1" si="27">SUM(X55:X74)</f>
        <v>-80533.806443999987</v>
      </c>
      <c r="Y76" s="408">
        <f t="shared" ca="1" si="27"/>
        <v>-110760.85746000012</v>
      </c>
      <c r="Z76" s="408">
        <f t="shared" ca="1" si="27"/>
        <v>42339.789905999918</v>
      </c>
      <c r="AA76" s="408">
        <f t="shared" ca="1" si="27"/>
        <v>-166630.46539500015</v>
      </c>
      <c r="AB76" s="408">
        <f t="shared" ca="1" si="27"/>
        <v>6195607.8491999991</v>
      </c>
      <c r="AC76" s="408">
        <f t="shared" ca="1" si="27"/>
        <v>7763725.8132000007</v>
      </c>
      <c r="AD76"/>
      <c r="AE76" s="409">
        <f ca="1">SUM(AE55:AE74)</f>
        <v>7939576.3631345807</v>
      </c>
      <c r="AF76" s="410"/>
      <c r="AG76" s="409">
        <f ca="1">SUM(AG55:AG74)</f>
        <v>13643748.323006999</v>
      </c>
    </row>
    <row r="77" spans="2:33" x14ac:dyDescent="0.25">
      <c r="B77" s="375">
        <f t="shared" si="25"/>
        <v>2044</v>
      </c>
      <c r="C77" s="401">
        <f>MAX(TREND(C56:C57,$B56:$B57,$B77),0)</f>
        <v>729635</v>
      </c>
      <c r="D77" s="402">
        <f>MAX(TREND(D56:D57,$B56:$B57,$B77),0)</f>
        <v>743833.5</v>
      </c>
      <c r="E77" s="401">
        <f>MAX(TREND(E56:E57,$B56:$B57,$B77),0)</f>
        <v>13833.5</v>
      </c>
      <c r="F77" s="813">
        <f>MAX(TREND(F56:F57,$B56:$B57,$B77),0)</f>
        <v>13505</v>
      </c>
      <c r="G77" s="435">
        <f t="shared" si="18"/>
        <v>52.7</v>
      </c>
      <c r="H77" s="436">
        <f t="shared" si="19"/>
        <v>55.1</v>
      </c>
      <c r="I77" s="401">
        <f>MAX(TREND(I56:I57,$B56:$B57,$B77),0)</f>
        <v>0</v>
      </c>
      <c r="J77" s="813">
        <f>MAX(TREND(J56:J57,$B56:$B57,$B77),0)</f>
        <v>0</v>
      </c>
      <c r="K77" s="402">
        <f>TREND(K56:K57,$B56:$B57,$B77)</f>
        <v>1</v>
      </c>
      <c r="L77" s="816">
        <f>MIN(MAX(TREND(L56:L57,$B56:$B57,$B77),0),1)</f>
        <v>0.24</v>
      </c>
      <c r="M77" s="406">
        <f>MIN(MAX(TREND(M56:M57,$B56:$B57,$B77),0),1)</f>
        <v>0.24</v>
      </c>
      <c r="N77" s="828">
        <f>MAX(TREND(N56:N57,$B56:$B57,$B77),0)</f>
        <v>0</v>
      </c>
      <c r="O77" s="829">
        <f>MAX(TREND(O56:O57,$B56:$B57,$B77),0)</f>
        <v>0</v>
      </c>
      <c r="P77" s="399">
        <f t="shared" si="20"/>
        <v>-8493.8652432000054</v>
      </c>
      <c r="Q77" s="706">
        <f t="shared" si="21"/>
        <v>-5340.9077599999882</v>
      </c>
      <c r="R77" s="400">
        <f t="shared" si="22"/>
        <v>0</v>
      </c>
      <c r="S77" s="369">
        <f t="shared" si="23"/>
        <v>-13834.773003199993</v>
      </c>
      <c r="T77" s="370">
        <f t="shared" si="24"/>
        <v>-5837.6569917885736</v>
      </c>
      <c r="X77" s="1"/>
      <c r="Y77" s="1"/>
      <c r="Z77" s="1"/>
      <c r="AA77" s="1"/>
      <c r="AB77" s="1"/>
      <c r="AC77" s="1"/>
      <c r="AD77"/>
    </row>
    <row r="78" spans="2:33" x14ac:dyDescent="0.25">
      <c r="B78" s="375">
        <f t="shared" si="25"/>
        <v>2045</v>
      </c>
      <c r="C78" s="401">
        <f>MAX(TREND(C56:C57,$B56:$B57,$B78),0)</f>
        <v>740037.5</v>
      </c>
      <c r="D78" s="402">
        <f>MAX(TREND(D56:D57,$B56:$B57,$B78),0)</f>
        <v>754436.75</v>
      </c>
      <c r="E78" s="401">
        <f>MAX(TREND(E56:E57,$B56:$B57,$B78),0)</f>
        <v>14034.25</v>
      </c>
      <c r="F78" s="813">
        <f>MAX(TREND(F56:F57,$B56:$B57,$B78),0)</f>
        <v>13687.5</v>
      </c>
      <c r="G78" s="435">
        <f t="shared" si="18"/>
        <v>52.7</v>
      </c>
      <c r="H78" s="436">
        <f t="shared" si="19"/>
        <v>55.1</v>
      </c>
      <c r="I78" s="401">
        <f>MAX(TREND(I56:I57,$B56:$B57,$B78),0)</f>
        <v>0</v>
      </c>
      <c r="J78" s="813">
        <f>MAX(TREND(J56:J57,$B56:$B57,$B78),0)</f>
        <v>0</v>
      </c>
      <c r="K78" s="402">
        <f>TREND(K56:K57,$B56:$B57,$B78)</f>
        <v>1</v>
      </c>
      <c r="L78" s="816">
        <f>MIN(MAX(TREND(L56:L57,$B56:$B57,$B78),0),1)</f>
        <v>0.24</v>
      </c>
      <c r="M78" s="406">
        <f>MIN(MAX(TREND(M56:M57,$B56:$B57,$B78),0),1)</f>
        <v>0.24</v>
      </c>
      <c r="N78" s="828">
        <f>MAX(TREND(N56:N57,$B56:$B57,$B78),0)</f>
        <v>0</v>
      </c>
      <c r="O78" s="829">
        <f>MAX(TREND(O56:O57,$B56:$B57,$B78),0)</f>
        <v>0</v>
      </c>
      <c r="P78" s="399">
        <f t="shared" si="20"/>
        <v>-8614.742205600025</v>
      </c>
      <c r="Q78" s="706">
        <f t="shared" si="21"/>
        <v>-5416.4218800000208</v>
      </c>
      <c r="R78" s="400">
        <f t="shared" si="22"/>
        <v>0</v>
      </c>
      <c r="S78" s="369">
        <f t="shared" si="23"/>
        <v>-14031.164085600045</v>
      </c>
      <c r="T78" s="370">
        <f t="shared" si="24"/>
        <v>-5692.8127566321336</v>
      </c>
      <c r="X78" s="1"/>
      <c r="Y78" s="1"/>
      <c r="Z78" s="1"/>
      <c r="AA78" s="1"/>
      <c r="AB78" s="1"/>
      <c r="AC78" s="1"/>
      <c r="AD78"/>
    </row>
    <row r="79" spans="2:33" ht="18" x14ac:dyDescent="0.25">
      <c r="B79" s="385"/>
      <c r="C79" s="386"/>
      <c r="D79" s="386"/>
      <c r="E79" s="386"/>
      <c r="F79" s="386"/>
      <c r="G79" s="388"/>
      <c r="H79" s="388"/>
      <c r="I79" s="388"/>
      <c r="J79" s="388"/>
      <c r="K79" s="388"/>
      <c r="L79" s="388"/>
      <c r="M79" s="388"/>
      <c r="N79" s="388"/>
      <c r="O79" s="388"/>
      <c r="P79" s="388"/>
      <c r="Q79" s="388"/>
      <c r="R79" s="388"/>
      <c r="S79" s="388"/>
      <c r="T79" s="389"/>
      <c r="W79" s="316" t="s">
        <v>286</v>
      </c>
      <c r="X79" s="1"/>
      <c r="Y79" s="1"/>
      <c r="Z79" s="1"/>
      <c r="AA79" s="1"/>
      <c r="AB79" s="1"/>
      <c r="AC79" s="1"/>
      <c r="AD79"/>
    </row>
    <row r="80" spans="2:33" x14ac:dyDescent="0.25">
      <c r="B80" s="407" t="s">
        <v>56</v>
      </c>
      <c r="C80" s="413"/>
      <c r="D80" s="414"/>
      <c r="E80" s="414"/>
      <c r="F80" s="414"/>
      <c r="G80" s="414"/>
      <c r="H80" s="414"/>
      <c r="I80" s="414"/>
      <c r="J80" s="414"/>
      <c r="K80" s="414"/>
      <c r="L80" s="414"/>
      <c r="M80" s="414"/>
      <c r="N80" s="414"/>
      <c r="O80" s="414"/>
      <c r="P80" s="414"/>
      <c r="Q80" s="415"/>
      <c r="R80" s="415"/>
      <c r="S80" s="414"/>
      <c r="T80" s="409">
        <f>SUM(T59:T78)</f>
        <v>-117603.71068491948</v>
      </c>
      <c r="X80" s="1"/>
      <c r="Y80" s="1"/>
      <c r="Z80" s="1"/>
      <c r="AA80" s="1"/>
      <c r="AB80" s="1"/>
      <c r="AC80" s="1"/>
      <c r="AD80"/>
    </row>
    <row r="81" spans="1:33" x14ac:dyDescent="0.25">
      <c r="B81" s="2"/>
      <c r="C81" s="418"/>
      <c r="D81" s="2"/>
      <c r="E81" s="2"/>
      <c r="F81" s="2"/>
      <c r="G81" s="2"/>
      <c r="H81" s="2"/>
      <c r="I81" s="2"/>
      <c r="J81" s="2"/>
      <c r="K81" s="2"/>
      <c r="L81" s="2"/>
      <c r="M81" s="2"/>
      <c r="N81" s="2"/>
      <c r="O81" s="2"/>
      <c r="P81" s="2"/>
      <c r="Q81" s="2"/>
      <c r="R81" s="2"/>
      <c r="S81" s="2"/>
      <c r="T81" s="2"/>
      <c r="X81" s="1"/>
      <c r="Y81" s="1"/>
      <c r="Z81" s="1"/>
      <c r="AA81" s="1"/>
      <c r="AB81" s="1"/>
      <c r="AC81" s="1"/>
      <c r="AD81"/>
    </row>
    <row r="82" spans="1:33" x14ac:dyDescent="0.25">
      <c r="A82" s="1">
        <f>MAX($A$1:A81)+1</f>
        <v>3</v>
      </c>
      <c r="B82" s="319" t="str">
        <f>IF(ISBLANK(INDEX(ModelGroup,A82,1)),"Not Used",INDEX(ModelGroup,A82,1))</f>
        <v>NB Off-ramp to Ave 280</v>
      </c>
      <c r="C82" s="2"/>
      <c r="D82" s="2"/>
      <c r="E82" s="2"/>
      <c r="F82" s="2"/>
      <c r="G82" s="2"/>
      <c r="H82" s="320"/>
      <c r="I82" s="320"/>
      <c r="J82" s="320"/>
      <c r="K82" s="320"/>
      <c r="L82" s="320"/>
      <c r="M82" s="320"/>
      <c r="N82" s="320"/>
      <c r="O82" s="320"/>
      <c r="P82" s="320"/>
      <c r="Q82" s="2"/>
      <c r="R82" s="2"/>
      <c r="S82" s="2"/>
      <c r="T82" s="2"/>
      <c r="W82" s="322"/>
      <c r="X82" s="52">
        <v>1</v>
      </c>
      <c r="Y82" s="52">
        <v>2</v>
      </c>
      <c r="Z82" s="52">
        <v>3</v>
      </c>
      <c r="AA82" s="52">
        <v>4</v>
      </c>
      <c r="AB82" s="52">
        <v>5</v>
      </c>
      <c r="AC82" s="52">
        <v>6</v>
      </c>
      <c r="AD82"/>
      <c r="AE82" s="333" t="s">
        <v>39</v>
      </c>
      <c r="AF82" s="334"/>
      <c r="AG82" s="333"/>
    </row>
    <row r="83" spans="1:33" x14ac:dyDescent="0.25">
      <c r="B83" s="2"/>
      <c r="C83" s="2"/>
      <c r="D83" s="321"/>
      <c r="E83" s="321"/>
      <c r="F83" s="321"/>
      <c r="G83" s="2"/>
      <c r="H83" s="2"/>
      <c r="I83" s="2"/>
      <c r="J83" s="2"/>
      <c r="K83" s="2"/>
      <c r="L83" s="2"/>
      <c r="M83" s="2"/>
      <c r="N83" s="2"/>
      <c r="O83" s="2"/>
      <c r="P83" s="2"/>
      <c r="Q83" s="2"/>
      <c r="R83" s="2"/>
      <c r="S83" s="2"/>
      <c r="T83" s="149"/>
      <c r="W83" s="335"/>
      <c r="X83" s="1777" t="str">
        <f t="shared" ref="X83:AC83" si="28">IF(ISBLANK(INDEX(ModelGroup,X82,1)),"Not Used",INDEX(ModelGroup,X82,1))</f>
        <v>SB Off-ramp to Ave 280</v>
      </c>
      <c r="Y83" s="1777" t="str">
        <f t="shared" si="28"/>
        <v>SB On-ramp from Ave 280</v>
      </c>
      <c r="Z83" s="1777" t="str">
        <f t="shared" si="28"/>
        <v>NB Off-ramp to Ave 280</v>
      </c>
      <c r="AA83" s="1777" t="str">
        <f t="shared" si="28"/>
        <v>NB On-ramp from Ave 280</v>
      </c>
      <c r="AB83" s="1777" t="str">
        <f t="shared" si="28"/>
        <v>NB Mainline</v>
      </c>
      <c r="AC83" s="1777" t="str">
        <f t="shared" si="28"/>
        <v>SB Mainline</v>
      </c>
      <c r="AD83"/>
      <c r="AE83" s="347" t="s">
        <v>204</v>
      </c>
      <c r="AF83" s="334"/>
      <c r="AG83" s="347"/>
    </row>
    <row r="84" spans="1:33" ht="15.75" x14ac:dyDescent="0.25">
      <c r="B84" s="322"/>
      <c r="C84" s="325" t="s">
        <v>271</v>
      </c>
      <c r="D84" s="326"/>
      <c r="E84" s="325" t="s">
        <v>190</v>
      </c>
      <c r="F84" s="776"/>
      <c r="G84" s="325" t="s">
        <v>272</v>
      </c>
      <c r="H84" s="324"/>
      <c r="I84" s="325" t="str">
        <f>IF(INDEX(HwyTransitModelGroup,A82,1)=Hwy,"TOTAL VEHICLE TRIPS","TOTAL PERSON TRIPS")</f>
        <v>TOTAL VEHICLE TRIPS</v>
      </c>
      <c r="J84" s="324"/>
      <c r="K84" s="427"/>
      <c r="L84" s="323" t="s">
        <v>192</v>
      </c>
      <c r="M84" s="326"/>
      <c r="N84" s="323" t="s">
        <v>228</v>
      </c>
      <c r="O84" s="776"/>
      <c r="P84" s="325" t="s">
        <v>273</v>
      </c>
      <c r="Q84" s="323"/>
      <c r="R84" s="876"/>
      <c r="S84" s="329"/>
      <c r="T84" s="330"/>
      <c r="W84" s="77" t="s">
        <v>34</v>
      </c>
      <c r="X84" s="1778"/>
      <c r="Y84" s="1778"/>
      <c r="Z84" s="1778"/>
      <c r="AA84" s="1778"/>
      <c r="AB84" s="1778"/>
      <c r="AC84" s="1778"/>
      <c r="AD84"/>
      <c r="AE84" s="347" t="s">
        <v>282</v>
      </c>
      <c r="AF84" s="334"/>
      <c r="AG84" s="347" t="s">
        <v>208</v>
      </c>
    </row>
    <row r="85" spans="1:33" x14ac:dyDescent="0.25">
      <c r="B85" s="335"/>
      <c r="C85" s="338" t="s">
        <v>274</v>
      </c>
      <c r="D85" s="339"/>
      <c r="E85" s="338" t="s">
        <v>275</v>
      </c>
      <c r="F85" s="336"/>
      <c r="G85" s="338" t="s">
        <v>276</v>
      </c>
      <c r="H85" s="337"/>
      <c r="I85" s="817" t="s">
        <v>199</v>
      </c>
      <c r="J85" s="337"/>
      <c r="K85" s="428"/>
      <c r="L85" s="336" t="s">
        <v>277</v>
      </c>
      <c r="M85" s="339"/>
      <c r="N85" s="336" t="s">
        <v>230</v>
      </c>
      <c r="O85" s="336"/>
      <c r="P85" s="340" t="s">
        <v>203</v>
      </c>
      <c r="Q85" s="838"/>
      <c r="R85" s="341"/>
      <c r="S85" s="342"/>
      <c r="T85" s="343"/>
      <c r="W85" s="355"/>
      <c r="X85" s="1779"/>
      <c r="Y85" s="1779"/>
      <c r="Z85" s="1779"/>
      <c r="AA85" s="1779"/>
      <c r="AB85" s="1779"/>
      <c r="AC85" s="1779"/>
      <c r="AD85"/>
      <c r="AE85" s="360" t="str">
        <f>IF(VehOp&lt;&gt;"N","Benefits","Benefits*")</f>
        <v>Benefits</v>
      </c>
      <c r="AF85" s="334"/>
      <c r="AG85" s="360" t="s">
        <v>48</v>
      </c>
    </row>
    <row r="86" spans="1:33" x14ac:dyDescent="0.25">
      <c r="B86" s="77" t="s">
        <v>34</v>
      </c>
      <c r="C86" s="348"/>
      <c r="D86" s="349"/>
      <c r="E86" s="348"/>
      <c r="F86" s="781"/>
      <c r="G86" s="723"/>
      <c r="H86" s="349"/>
      <c r="I86" s="723"/>
      <c r="J86" s="781"/>
      <c r="K86" s="349" t="s">
        <v>278</v>
      </c>
      <c r="L86" s="348"/>
      <c r="M86" s="349"/>
      <c r="N86" s="348"/>
      <c r="O86" s="781"/>
      <c r="P86" s="350" t="s">
        <v>279</v>
      </c>
      <c r="Q86" s="839" t="s">
        <v>280</v>
      </c>
      <c r="R86" s="349" t="s">
        <v>281</v>
      </c>
      <c r="S86" s="351" t="s">
        <v>208</v>
      </c>
      <c r="T86" s="347" t="s">
        <v>39</v>
      </c>
      <c r="W86" s="375">
        <f>YearOpen</f>
        <v>2026</v>
      </c>
      <c r="X86" s="376">
        <f t="shared" ref="X86:X105" ca="1" si="29">OFFSET($Q9,MATCH(X$20,$A:$A),0)</f>
        <v>10571.97679999998</v>
      </c>
      <c r="Y86" s="376">
        <f t="shared" ref="Y86:AC95" ca="1" si="30">OFFSET($Q9,MATCH(Y$20,$A:$A),0)</f>
        <v>-3981.6535999999955</v>
      </c>
      <c r="Z86" s="376">
        <f t="shared" ca="1" si="30"/>
        <v>3432.4599999999996</v>
      </c>
      <c r="AA86" s="376">
        <f t="shared" ca="1" si="30"/>
        <v>60548.594399999965</v>
      </c>
      <c r="AB86" s="376">
        <f t="shared" ca="1" si="30"/>
        <v>481780.08559999982</v>
      </c>
      <c r="AC86" s="376">
        <f t="shared" ca="1" si="30"/>
        <v>716148.4544000004</v>
      </c>
      <c r="AD86"/>
      <c r="AE86" s="370">
        <f t="shared" ref="AE86:AE105" ca="1" si="31">$AG86/(1+DiscRate)^($W86-YearCurrent)</f>
        <v>1084319.0458853419</v>
      </c>
      <c r="AF86" s="377"/>
      <c r="AG86" s="370">
        <f ca="1">IF(VehOp&lt;&gt;"N",SUM($X86:AD86),0)</f>
        <v>1268499.9176000003</v>
      </c>
    </row>
    <row r="87" spans="1:33" x14ac:dyDescent="0.25">
      <c r="B87" s="355"/>
      <c r="C87" s="356" t="s">
        <v>74</v>
      </c>
      <c r="D87" s="357" t="s">
        <v>125</v>
      </c>
      <c r="E87" s="356" t="s">
        <v>74</v>
      </c>
      <c r="F87" s="783" t="s">
        <v>125</v>
      </c>
      <c r="G87" s="724" t="s">
        <v>74</v>
      </c>
      <c r="H87" s="357" t="s">
        <v>125</v>
      </c>
      <c r="I87" s="724" t="s">
        <v>74</v>
      </c>
      <c r="J87" s="783" t="s">
        <v>125</v>
      </c>
      <c r="K87" s="357" t="s">
        <v>125</v>
      </c>
      <c r="L87" s="356" t="s">
        <v>74</v>
      </c>
      <c r="M87" s="357" t="s">
        <v>125</v>
      </c>
      <c r="N87" s="356" t="s">
        <v>74</v>
      </c>
      <c r="O87" s="783" t="s">
        <v>125</v>
      </c>
      <c r="P87" s="358" t="s">
        <v>283</v>
      </c>
      <c r="Q87" s="840" t="s">
        <v>283</v>
      </c>
      <c r="R87" s="357" t="s">
        <v>284</v>
      </c>
      <c r="S87" s="359" t="s">
        <v>48</v>
      </c>
      <c r="T87" s="360" t="s">
        <v>49</v>
      </c>
      <c r="W87" s="375">
        <f>W86+1</f>
        <v>2027</v>
      </c>
      <c r="X87" s="376">
        <f t="shared" ca="1" si="29"/>
        <v>8148.6600399999788</v>
      </c>
      <c r="Y87" s="376">
        <f t="shared" ca="1" si="30"/>
        <v>-4057.1677200000217</v>
      </c>
      <c r="Z87" s="376">
        <f t="shared" ca="1" si="30"/>
        <v>3494.2442799999985</v>
      </c>
      <c r="AA87" s="376">
        <f t="shared" ca="1" si="30"/>
        <v>61338.060199999985</v>
      </c>
      <c r="AB87" s="376">
        <f t="shared" ca="1" si="30"/>
        <v>508738.62643999979</v>
      </c>
      <c r="AC87" s="376">
        <f t="shared" ca="1" si="30"/>
        <v>738095.60363999964</v>
      </c>
      <c r="AD87"/>
      <c r="AE87" s="370">
        <f t="shared" ca="1" si="31"/>
        <v>1081457.188228871</v>
      </c>
      <c r="AF87" s="377"/>
      <c r="AG87" s="370">
        <f ca="1">IF(VehOp&lt;&gt;"N",SUM($X87:AD87),0)</f>
        <v>1315758.0268799993</v>
      </c>
    </row>
    <row r="88" spans="1:33" x14ac:dyDescent="0.25">
      <c r="B88" s="363">
        <f>YearFirst</f>
        <v>2026</v>
      </c>
      <c r="C88" s="364">
        <f>INDEX(ModelData1NB,A82,2)*AnnualFactor</f>
        <v>556625</v>
      </c>
      <c r="D88" s="365">
        <f>INDEX(ModelData1B,A82,2)*AnnualFactor</f>
        <v>547500</v>
      </c>
      <c r="E88" s="364">
        <f>IF(INDEX(HwyTransitModelGroup,A82,1)=Hwy,INDEX(ModelData1NB,A82,3),0)*AnnualFactor</f>
        <v>14965</v>
      </c>
      <c r="F88" s="365">
        <f>IF(INDEX(HwyTransitModelGroup,A82,1)=Hwy,INDEX(ModelData1B,A82,3),0)*AnnualFactor</f>
        <v>11680</v>
      </c>
      <c r="G88" s="429">
        <f>IF(E88=0,55,MAX(5,ROUND(C88/E88,1)))</f>
        <v>37.200000000000003</v>
      </c>
      <c r="H88" s="430">
        <f>IF(F88=0,55,MAX(5,ROUND(D88/F88,1)))</f>
        <v>46.9</v>
      </c>
      <c r="I88" s="364">
        <f>INDEX(ModelData1NB,A82,1)*AnnualFactor</f>
        <v>0</v>
      </c>
      <c r="J88" s="914">
        <f>INDEX(ModelData1B,A82,1)*AnnualFactor</f>
        <v>0</v>
      </c>
      <c r="K88" s="918">
        <f>'Travel Time'!O88</f>
        <v>1</v>
      </c>
      <c r="L88" s="818">
        <f>INDEX(ModelData1NB,A82,9)</f>
        <v>0.24</v>
      </c>
      <c r="M88" s="819">
        <f>INDEX(ModelData1B,A82,9)</f>
        <v>0.24</v>
      </c>
      <c r="N88" s="822">
        <f>INDEX(ModelData1NB,A82,6)</f>
        <v>0</v>
      </c>
      <c r="O88" s="823">
        <f>INDEX(ModelData1B,A82,6)</f>
        <v>0</v>
      </c>
      <c r="P88" s="367">
        <f>(C88*(1-L88)*VLOOKUP(G88,FuelCon,2)-D88*(1-M88)*VLOOKUP(H88,FuelCon,2))*FuelAuto+(C88*L88*VLOOKUP(G88,FuelCon,3)-D88*M88*VLOOKUP(H88,FuelCon,3))*FuelTruck</f>
        <v>1336.4913000000038</v>
      </c>
      <c r="Q88" s="701">
        <f>(C88*(1-L88)-D88*(1-M88))*NonFuelAuto+(C88*L88-D88*M88)*NonFuelTruck</f>
        <v>3432.4599999999996</v>
      </c>
      <c r="R88" s="368">
        <f>I88*N88-K88*O88</f>
        <v>0</v>
      </c>
      <c r="S88" s="369">
        <f>SUM(P88:R88)</f>
        <v>4768.9513000000034</v>
      </c>
      <c r="T88" s="370">
        <f>S88/(1+DiscRate)^(B88-YearCurrent)</f>
        <v>4076.5195580566615</v>
      </c>
      <c r="W88" s="375">
        <f t="shared" ref="W88:W105" si="32">W87+1</f>
        <v>2028</v>
      </c>
      <c r="X88" s="376">
        <f t="shared" ca="1" si="29"/>
        <v>5725.3432800000191</v>
      </c>
      <c r="Y88" s="376">
        <f t="shared" ca="1" si="30"/>
        <v>-4132.6818400000011</v>
      </c>
      <c r="Z88" s="376">
        <f t="shared" ca="1" si="30"/>
        <v>3556.0285600000097</v>
      </c>
      <c r="AA88" s="376">
        <f t="shared" ca="1" si="30"/>
        <v>62127.525999999998</v>
      </c>
      <c r="AB88" s="376">
        <f t="shared" ca="1" si="30"/>
        <v>535697.16727999994</v>
      </c>
      <c r="AC88" s="376">
        <f t="shared" ca="1" si="30"/>
        <v>760042.75288000004</v>
      </c>
      <c r="AD88"/>
      <c r="AE88" s="370">
        <f t="shared" ca="1" si="31"/>
        <v>1077211.4512118262</v>
      </c>
      <c r="AF88" s="377"/>
      <c r="AG88" s="370">
        <f ca="1">IF(VehOp&lt;&gt;"N",SUM($X88:AD88),0)</f>
        <v>1363016.13616</v>
      </c>
    </row>
    <row r="89" spans="1:33" x14ac:dyDescent="0.25">
      <c r="B89" s="379">
        <f>YearLast</f>
        <v>2046</v>
      </c>
      <c r="C89" s="380">
        <f>INDEX(ModelData20NB,A82,2)*AnnualFactor</f>
        <v>769785</v>
      </c>
      <c r="D89" s="381">
        <f>INDEX(ModelData20B,A82,2)*AnnualFactor</f>
        <v>757375</v>
      </c>
      <c r="E89" s="380">
        <f>IF(INDEX(HwyTransitModelGroup,A82,1)=Hwy,INDEX(ModelData20NB,A82,3),0)*AnnualFactor</f>
        <v>21170</v>
      </c>
      <c r="F89" s="381">
        <f>IF(INDEX(HwyTransitModelGroup,A82,1)=Hwy,INDEX(ModelData20B,A82,3),0)*AnnualFactor</f>
        <v>16060</v>
      </c>
      <c r="G89" s="432">
        <f>IF(E89=0,55,MAX(5,ROUND(C89/E89,1)))</f>
        <v>36.4</v>
      </c>
      <c r="H89" s="433">
        <f>IF(F89=0,55,MAX(5,ROUND(D89/F89,1)))</f>
        <v>47.2</v>
      </c>
      <c r="I89" s="380">
        <f>INDEX(ModelData20NB,A82,1)*AnnualFactor</f>
        <v>0</v>
      </c>
      <c r="J89" s="381">
        <f>INDEX(ModelData20B,A82,1)*AnnualFactor</f>
        <v>0</v>
      </c>
      <c r="K89" s="917">
        <f>'Travel Time'!O89</f>
        <v>1</v>
      </c>
      <c r="L89" s="820">
        <f>INDEX(ModelData20NB,A82,9)</f>
        <v>0.24</v>
      </c>
      <c r="M89" s="821">
        <f>INDEX(ModelData20B,A82,9)</f>
        <v>0.24</v>
      </c>
      <c r="N89" s="824">
        <f>INDEX(ModelData20NB,A82,6)</f>
        <v>0</v>
      </c>
      <c r="O89" s="825">
        <f>INDEX(ModelData20B,A82,6)</f>
        <v>0</v>
      </c>
      <c r="P89" s="383">
        <f>(C89*(1-L89)*VLOOKUP(G89,FuelCon,2)-D89*(1-M89)*VLOOKUP(H89,FuelCon,2))*FuelAuto+(C89*L89*VLOOKUP(G89,FuelCon,3)-D89*M89*VLOOKUP(H89,FuelCon,3))*FuelTruck</f>
        <v>2646.8585279999943</v>
      </c>
      <c r="Q89" s="702">
        <f>(C89*(1-L89)-D89*(1-M89))*NonFuelAuto+(C89*L89-D89*M89)*NonFuelTruck</f>
        <v>4668.1455999999889</v>
      </c>
      <c r="R89" s="384">
        <f>I89*N89-K89*O89</f>
        <v>0</v>
      </c>
      <c r="S89" s="369">
        <f>SUM(P89:R89)</f>
        <v>7315.0041279999832</v>
      </c>
      <c r="T89" s="370">
        <f>S89/(1+DiscRate)^(B89-YearCurrent)</f>
        <v>2853.7401952486948</v>
      </c>
      <c r="W89" s="375">
        <f t="shared" si="32"/>
        <v>2029</v>
      </c>
      <c r="X89" s="376">
        <f t="shared" ca="1" si="29"/>
        <v>3302.0265199999894</v>
      </c>
      <c r="Y89" s="376">
        <f t="shared" ca="1" si="30"/>
        <v>-4208.1959600000209</v>
      </c>
      <c r="Z89" s="376">
        <f t="shared" ca="1" si="30"/>
        <v>3617.8128400000005</v>
      </c>
      <c r="AA89" s="376">
        <f t="shared" ca="1" si="30"/>
        <v>62916.991799999974</v>
      </c>
      <c r="AB89" s="376">
        <f t="shared" ca="1" si="30"/>
        <v>562655.70811999997</v>
      </c>
      <c r="AC89" s="376">
        <f t="shared" ca="1" si="30"/>
        <v>781989.90212000045</v>
      </c>
      <c r="AD89"/>
      <c r="AE89" s="370">
        <f t="shared" ca="1" si="31"/>
        <v>1071692.5206099548</v>
      </c>
      <c r="AF89" s="377"/>
      <c r="AG89" s="370">
        <f ca="1">IF(VehOp&lt;&gt;"N",SUM($X89:AD89),0)</f>
        <v>1410274.2454400002</v>
      </c>
    </row>
    <row r="90" spans="1:33" x14ac:dyDescent="0.25">
      <c r="B90" s="385"/>
      <c r="C90" s="388"/>
      <c r="D90" s="388"/>
      <c r="E90" s="388"/>
      <c r="F90" s="388"/>
      <c r="G90" s="814"/>
      <c r="H90" s="815"/>
      <c r="I90" s="814"/>
      <c r="J90" s="434"/>
      <c r="K90" s="916"/>
      <c r="L90" s="434"/>
      <c r="M90" s="434"/>
      <c r="N90" s="434"/>
      <c r="O90" s="434"/>
      <c r="P90" s="388"/>
      <c r="Q90" s="388"/>
      <c r="R90" s="388"/>
      <c r="S90" s="388"/>
      <c r="T90" s="389"/>
      <c r="W90" s="375">
        <f t="shared" si="32"/>
        <v>2030</v>
      </c>
      <c r="X90" s="376">
        <f t="shared" ca="1" si="29"/>
        <v>878.7097600000011</v>
      </c>
      <c r="Y90" s="376">
        <f t="shared" ca="1" si="30"/>
        <v>-4283.7100799999998</v>
      </c>
      <c r="Z90" s="376">
        <f t="shared" ca="1" si="30"/>
        <v>3679.5971199999994</v>
      </c>
      <c r="AA90" s="376">
        <f t="shared" ca="1" si="30"/>
        <v>63706.457599999987</v>
      </c>
      <c r="AB90" s="376">
        <f t="shared" ca="1" si="30"/>
        <v>589614.24895999988</v>
      </c>
      <c r="AC90" s="376">
        <f t="shared" ca="1" si="30"/>
        <v>803937.05135999969</v>
      </c>
      <c r="AD90"/>
      <c r="AE90" s="370">
        <f t="shared" ca="1" si="31"/>
        <v>1065004.6150673807</v>
      </c>
      <c r="AF90" s="377"/>
      <c r="AG90" s="370">
        <f ca="1">IF(VehOp&lt;&gt;"N",SUM($X90:AD90),0)</f>
        <v>1457532.3547199997</v>
      </c>
    </row>
    <row r="91" spans="1:33" x14ac:dyDescent="0.25">
      <c r="B91" s="375">
        <f>YearOpen</f>
        <v>2026</v>
      </c>
      <c r="C91" s="401">
        <f>MAX(TREND(C88:C89,$B88:$B89,$B91),0)</f>
        <v>556625</v>
      </c>
      <c r="D91" s="402">
        <f>MAX(TREND(D88:D89,$B88:$B89,$B91),0)</f>
        <v>547500</v>
      </c>
      <c r="E91" s="401">
        <f>MAX(TREND(E88:E89,$B88:$B89,$B91),0)</f>
        <v>14965</v>
      </c>
      <c r="F91" s="813">
        <f>MAX(TREND(F88:F89,$B88:$B89,$B91),0)</f>
        <v>11680</v>
      </c>
      <c r="G91" s="435">
        <f t="shared" ref="G91:G110" si="33">IF(E91=0,55,MAX(5,ROUND(C91/E91,1)))</f>
        <v>37.200000000000003</v>
      </c>
      <c r="H91" s="436">
        <f t="shared" ref="H91:H110" si="34">IF(F91=0,55,MAX(5,ROUND(D91/F91,1)))</f>
        <v>46.9</v>
      </c>
      <c r="I91" s="393">
        <f>MAX(TREND(I88:I89,$B88:$B89,$B91),0)</f>
        <v>0</v>
      </c>
      <c r="J91" s="915">
        <f>MAX(TREND(J88:J89,$B88:$B89,$B91),0)</f>
        <v>0</v>
      </c>
      <c r="K91" s="394">
        <f>TREND(K88:K89,$B88:$B89,$B91)</f>
        <v>1</v>
      </c>
      <c r="L91" s="816">
        <f>MIN(MAX(TREND(L88:L89,$B88:$B89,$B91),0),1)</f>
        <v>0.24</v>
      </c>
      <c r="M91" s="406">
        <f>MIN(MAX(TREND(M88:M89,$B88:$B89,$B91),0),1)</f>
        <v>0.24</v>
      </c>
      <c r="N91" s="826">
        <f>MAX(TREND(N88:N89,$B88:$B89,$B91),0)</f>
        <v>0</v>
      </c>
      <c r="O91" s="827">
        <f>MAX(TREND(O88:O89,$B88:$B89,$B91),0)</f>
        <v>0</v>
      </c>
      <c r="P91" s="367">
        <f t="shared" ref="P91:P110" si="35">(C91*(1-L91)*VLOOKUP(G91,FuelCon,2)-D91*(1-M91)*VLOOKUP(H91,FuelCon,2))*FuelAuto+(C91*L91*VLOOKUP(G91,FuelCon,3)-D91*M91*VLOOKUP(H91,FuelCon,3))*FuelTruck</f>
        <v>1336.4913000000038</v>
      </c>
      <c r="Q91" s="701">
        <f t="shared" ref="Q91:Q110" si="36">(C91*(1-L91)-D91*(1-M91))*NonFuelAuto+(C91*L91-D91*M91)*NonFuelTruck</f>
        <v>3432.4599999999996</v>
      </c>
      <c r="R91" s="368">
        <f t="shared" ref="R91:R110" si="37">I91*N91-K91*O91</f>
        <v>0</v>
      </c>
      <c r="S91" s="369">
        <f t="shared" ref="S91:S110" si="38">SUM(P91:R91)</f>
        <v>4768.9513000000034</v>
      </c>
      <c r="T91" s="370">
        <f t="shared" ref="T91:T110" si="39">S91/(1+DiscRate)^(B91-YearCurrent)</f>
        <v>4076.5195580566615</v>
      </c>
      <c r="W91" s="375">
        <f t="shared" si="32"/>
        <v>2031</v>
      </c>
      <c r="X91" s="376">
        <f t="shared" ca="1" si="29"/>
        <v>-1544.607</v>
      </c>
      <c r="Y91" s="376">
        <f t="shared" ca="1" si="30"/>
        <v>-4359.2241999999787</v>
      </c>
      <c r="Z91" s="376">
        <f t="shared" ca="1" si="30"/>
        <v>3741.3814000000111</v>
      </c>
      <c r="AA91" s="376">
        <f t="shared" ca="1" si="30"/>
        <v>64495.923400000007</v>
      </c>
      <c r="AB91" s="376">
        <f t="shared" ca="1" si="30"/>
        <v>616572.78980000038</v>
      </c>
      <c r="AC91" s="376">
        <f t="shared" ca="1" si="30"/>
        <v>825884.2006000001</v>
      </c>
      <c r="AD91"/>
      <c r="AE91" s="370">
        <f t="shared" ca="1" si="31"/>
        <v>1057245.819831914</v>
      </c>
      <c r="AF91" s="377"/>
      <c r="AG91" s="370">
        <f ca="1">IF(VehOp&lt;&gt;"N",SUM($X91:AD91),0)</f>
        <v>1504790.4640000006</v>
      </c>
    </row>
    <row r="92" spans="1:33" x14ac:dyDescent="0.25">
      <c r="B92" s="375">
        <f>B91+1</f>
        <v>2027</v>
      </c>
      <c r="C92" s="401">
        <f>MAX(TREND(C88:C89,$B88:$B89,$B92),0)</f>
        <v>567283</v>
      </c>
      <c r="D92" s="402">
        <f>MAX(TREND(D88:D89,$B88:$B89,$B92),0)</f>
        <v>557993.75</v>
      </c>
      <c r="E92" s="401">
        <f>MAX(TREND(E88:E89,$B88:$B89,$B92),0)</f>
        <v>15275.25</v>
      </c>
      <c r="F92" s="813">
        <f>MAX(TREND(F88:F89,$B88:$B89,$B92),0)</f>
        <v>11899</v>
      </c>
      <c r="G92" s="435">
        <f t="shared" si="33"/>
        <v>37.1</v>
      </c>
      <c r="H92" s="436">
        <f t="shared" si="34"/>
        <v>46.9</v>
      </c>
      <c r="I92" s="401">
        <f>MAX(TREND(I88:I89,$B88:$B89,$B92),0)</f>
        <v>0</v>
      </c>
      <c r="J92" s="813">
        <f>MAX(TREND(J88:J89,$B88:$B89,$B92),0)</f>
        <v>0</v>
      </c>
      <c r="K92" s="402">
        <f>TREND(K88:K89,$B88:$B89,$B92)</f>
        <v>1</v>
      </c>
      <c r="L92" s="816">
        <f>MIN(MAX(TREND(L88:L89,$B88:$B89,$B92),0),1)</f>
        <v>0.24</v>
      </c>
      <c r="M92" s="406">
        <f>MIN(MAX(TREND(M88:M89,$B88:$B89,$B92),0),1)</f>
        <v>0.24</v>
      </c>
      <c r="N92" s="828">
        <f>MAX(TREND(N88:N89,$B88:$B89,$B92),0)</f>
        <v>0</v>
      </c>
      <c r="O92" s="829">
        <f>MAX(TREND(O88:O89,$B88:$B89,$B92),0)</f>
        <v>0</v>
      </c>
      <c r="P92" s="399">
        <f t="shared" si="35"/>
        <v>1360.8148854000003</v>
      </c>
      <c r="Q92" s="706">
        <f t="shared" si="36"/>
        <v>3494.2442799999985</v>
      </c>
      <c r="R92" s="400">
        <f t="shared" si="37"/>
        <v>0</v>
      </c>
      <c r="S92" s="369">
        <f t="shared" si="38"/>
        <v>4855.0591653999991</v>
      </c>
      <c r="T92" s="370">
        <f t="shared" si="39"/>
        <v>3990.5047329626932</v>
      </c>
      <c r="W92" s="375">
        <f t="shared" si="32"/>
        <v>2032</v>
      </c>
      <c r="X92" s="376">
        <f t="shared" ca="1" si="29"/>
        <v>-3967.9237600000424</v>
      </c>
      <c r="Y92" s="376">
        <f t="shared" ca="1" si="30"/>
        <v>-4434.7383200000113</v>
      </c>
      <c r="Z92" s="376">
        <f t="shared" ca="1" si="30"/>
        <v>3803.1656799999887</v>
      </c>
      <c r="AA92" s="376">
        <f t="shared" ca="1" si="30"/>
        <v>65285.38920000002</v>
      </c>
      <c r="AB92" s="376">
        <f t="shared" ca="1" si="30"/>
        <v>643531.33064000029</v>
      </c>
      <c r="AC92" s="376">
        <f t="shared" ca="1" si="30"/>
        <v>847831.34983999992</v>
      </c>
      <c r="AD92"/>
      <c r="AE92" s="370">
        <f t="shared" ca="1" si="31"/>
        <v>1048508.4043851697</v>
      </c>
      <c r="AF92" s="377"/>
      <c r="AG92" s="370">
        <f ca="1">IF(VehOp&lt;&gt;"N",SUM($X92:AD92),0)</f>
        <v>1552048.5732800001</v>
      </c>
    </row>
    <row r="93" spans="1:33" x14ac:dyDescent="0.25">
      <c r="B93" s="375">
        <f t="shared" ref="B93:B110" si="40">B92+1</f>
        <v>2028</v>
      </c>
      <c r="C93" s="401">
        <f>MAX(TREND(C88:C89,$B88:$B89,$B93),0)</f>
        <v>577941</v>
      </c>
      <c r="D93" s="402">
        <f>MAX(TREND(D88:D89,$B88:$B89,$B93),0)</f>
        <v>568487.5</v>
      </c>
      <c r="E93" s="401">
        <f>MAX(TREND(E88:E89,$B88:$B89,$B93),0)</f>
        <v>15585.5</v>
      </c>
      <c r="F93" s="813">
        <f>MAX(TREND(F88:F89,$B88:$B89,$B93),0)</f>
        <v>12118</v>
      </c>
      <c r="G93" s="435">
        <f t="shared" si="33"/>
        <v>37.1</v>
      </c>
      <c r="H93" s="436">
        <f t="shared" si="34"/>
        <v>46.9</v>
      </c>
      <c r="I93" s="401">
        <f>MAX(TREND(I88:I89,$B88:$B89,$B93),0)</f>
        <v>0</v>
      </c>
      <c r="J93" s="813">
        <f>MAX(TREND(J88:J89,$B88:$B89,$B93),0)</f>
        <v>0</v>
      </c>
      <c r="K93" s="402">
        <f>TREND(K88:K89,$B88:$B89,$B93)</f>
        <v>1</v>
      </c>
      <c r="L93" s="816">
        <f>MIN(MAX(TREND(L88:L89,$B88:$B89,$B93),0),1)</f>
        <v>0.24</v>
      </c>
      <c r="M93" s="406">
        <f>MIN(MAX(TREND(M88:M89,$B88:$B89,$B93),0),1)</f>
        <v>0.24</v>
      </c>
      <c r="N93" s="828">
        <f>MAX(TREND(N88:N89,$B88:$B89,$B93),0)</f>
        <v>0</v>
      </c>
      <c r="O93" s="829">
        <f>MAX(TREND(O88:O89,$B88:$B89,$B93),0)</f>
        <v>0</v>
      </c>
      <c r="P93" s="399">
        <f t="shared" si="35"/>
        <v>1385.1384708000021</v>
      </c>
      <c r="Q93" s="706">
        <f t="shared" si="36"/>
        <v>3556.0285600000097</v>
      </c>
      <c r="R93" s="400">
        <f t="shared" si="37"/>
        <v>0</v>
      </c>
      <c r="S93" s="369">
        <f t="shared" si="38"/>
        <v>4941.1670308000121</v>
      </c>
      <c r="T93" s="370">
        <f t="shared" si="39"/>
        <v>3905.0760785001439</v>
      </c>
      <c r="W93" s="375">
        <f t="shared" si="32"/>
        <v>2033</v>
      </c>
      <c r="X93" s="376">
        <f t="shared" ca="1" si="29"/>
        <v>-6391.2405199999894</v>
      </c>
      <c r="Y93" s="376">
        <f t="shared" ca="1" si="30"/>
        <v>-4510.2524399999902</v>
      </c>
      <c r="Z93" s="376">
        <f t="shared" ca="1" si="30"/>
        <v>3864.9499600000004</v>
      </c>
      <c r="AA93" s="376">
        <f t="shared" ca="1" si="30"/>
        <v>66074.854999999981</v>
      </c>
      <c r="AB93" s="376">
        <f t="shared" ca="1" si="30"/>
        <v>670489.87147999962</v>
      </c>
      <c r="AC93" s="376">
        <f t="shared" ca="1" si="30"/>
        <v>869778.49907999963</v>
      </c>
      <c r="AD93"/>
      <c r="AE93" s="370">
        <f t="shared" ca="1" si="31"/>
        <v>1038879.1247126838</v>
      </c>
      <c r="AF93" s="377"/>
      <c r="AG93" s="370">
        <f ca="1">IF(VehOp&lt;&gt;"N",SUM($X93:AD93),0)</f>
        <v>1599306.6825599992</v>
      </c>
    </row>
    <row r="94" spans="1:33" x14ac:dyDescent="0.25">
      <c r="B94" s="375">
        <f t="shared" si="40"/>
        <v>2029</v>
      </c>
      <c r="C94" s="401">
        <f>MAX(TREND(C88:C89,$B88:$B89,$B94),0)</f>
        <v>588599</v>
      </c>
      <c r="D94" s="402">
        <f>MAX(TREND(D88:D89,$B88:$B89,$B94),0)</f>
        <v>578981.25</v>
      </c>
      <c r="E94" s="401">
        <f>MAX(TREND(E88:E89,$B88:$B89,$B94),0)</f>
        <v>15895.75</v>
      </c>
      <c r="F94" s="813">
        <f>MAX(TREND(F88:F89,$B88:$B89,$B94),0)</f>
        <v>12337</v>
      </c>
      <c r="G94" s="435">
        <f t="shared" si="33"/>
        <v>37</v>
      </c>
      <c r="H94" s="436">
        <f t="shared" si="34"/>
        <v>46.9</v>
      </c>
      <c r="I94" s="401">
        <f>MAX(TREND(I88:I89,$B88:$B89,$B94),0)</f>
        <v>0</v>
      </c>
      <c r="J94" s="813">
        <f>MAX(TREND(J88:J89,$B88:$B89,$B94),0)</f>
        <v>0</v>
      </c>
      <c r="K94" s="402">
        <f>TREND(K88:K89,$B88:$B89,$B94)</f>
        <v>1</v>
      </c>
      <c r="L94" s="816">
        <f>MIN(MAX(TREND(L88:L89,$B88:$B89,$B94),0),1)</f>
        <v>0.24</v>
      </c>
      <c r="M94" s="406">
        <f>MIN(MAX(TREND(M88:M89,$B88:$B89,$B94),0),1)</f>
        <v>0.24</v>
      </c>
      <c r="N94" s="828">
        <f>MAX(TREND(N88:N89,$B88:$B89,$B94),0)</f>
        <v>0</v>
      </c>
      <c r="O94" s="829">
        <f>MAX(TREND(O88:O89,$B88:$B89,$B94),0)</f>
        <v>0</v>
      </c>
      <c r="P94" s="399">
        <f t="shared" si="35"/>
        <v>1409.462056199998</v>
      </c>
      <c r="Q94" s="706">
        <f t="shared" si="36"/>
        <v>3617.8128400000005</v>
      </c>
      <c r="R94" s="400">
        <f t="shared" si="37"/>
        <v>0</v>
      </c>
      <c r="S94" s="369">
        <f t="shared" si="38"/>
        <v>5027.2748961999987</v>
      </c>
      <c r="T94" s="370">
        <f t="shared" si="39"/>
        <v>3820.3157454859324</v>
      </c>
      <c r="W94" s="375">
        <f t="shared" si="32"/>
        <v>2034</v>
      </c>
      <c r="X94" s="376">
        <f t="shared" ca="1" si="29"/>
        <v>-8814.5572799999773</v>
      </c>
      <c r="Y94" s="376">
        <f t="shared" ca="1" si="30"/>
        <v>-4585.76656000001</v>
      </c>
      <c r="Z94" s="376">
        <f t="shared" ca="1" si="30"/>
        <v>3926.7342399999989</v>
      </c>
      <c r="AA94" s="376">
        <f t="shared" ca="1" si="30"/>
        <v>66864.320800000016</v>
      </c>
      <c r="AB94" s="376">
        <f t="shared" ca="1" si="30"/>
        <v>697448.41232</v>
      </c>
      <c r="AC94" s="376">
        <f t="shared" ca="1" si="30"/>
        <v>891725.64832000004</v>
      </c>
      <c r="AD94"/>
      <c r="AE94" s="370">
        <f t="shared" ca="1" si="31"/>
        <v>1028439.5109256782</v>
      </c>
      <c r="AF94" s="377"/>
      <c r="AG94" s="370">
        <f ca="1">IF(VehOp&lt;&gt;"N",SUM($X94:AD94),0)</f>
        <v>1646564.7918400001</v>
      </c>
    </row>
    <row r="95" spans="1:33" x14ac:dyDescent="0.25">
      <c r="B95" s="375">
        <f t="shared" si="40"/>
        <v>2030</v>
      </c>
      <c r="C95" s="401">
        <f>MAX(TREND(C88:C89,$B88:$B89,$B95),0)</f>
        <v>599257</v>
      </c>
      <c r="D95" s="402">
        <f>MAX(TREND(D88:D89,$B88:$B89,$B95),0)</f>
        <v>589475</v>
      </c>
      <c r="E95" s="401">
        <f>MAX(TREND(E88:E89,$B88:$B89,$B95),0)</f>
        <v>16206</v>
      </c>
      <c r="F95" s="813">
        <f>MAX(TREND(F88:F89,$B88:$B89,$B95),0)</f>
        <v>12556</v>
      </c>
      <c r="G95" s="435">
        <f t="shared" si="33"/>
        <v>37</v>
      </c>
      <c r="H95" s="436">
        <f t="shared" si="34"/>
        <v>46.9</v>
      </c>
      <c r="I95" s="401">
        <f>MAX(TREND(I88:I89,$B88:$B89,$B95),0)</f>
        <v>0</v>
      </c>
      <c r="J95" s="813">
        <f>MAX(TREND(J88:J89,$B88:$B89,$B95),0)</f>
        <v>0</v>
      </c>
      <c r="K95" s="402">
        <f>TREND(K88:K89,$B88:$B89,$B95)</f>
        <v>1</v>
      </c>
      <c r="L95" s="816">
        <f>MIN(MAX(TREND(L88:L89,$B88:$B89,$B95),0),1)</f>
        <v>0.24</v>
      </c>
      <c r="M95" s="406">
        <f>MIN(MAX(TREND(M88:M89,$B88:$B89,$B95),0),1)</f>
        <v>0.24</v>
      </c>
      <c r="N95" s="828">
        <f>MAX(TREND(N88:N89,$B88:$B89,$B95),0)</f>
        <v>0</v>
      </c>
      <c r="O95" s="829">
        <f>MAX(TREND(O88:O89,$B88:$B89,$B95),0)</f>
        <v>0</v>
      </c>
      <c r="P95" s="399">
        <f t="shared" si="35"/>
        <v>1433.7856415999945</v>
      </c>
      <c r="Q95" s="706">
        <f t="shared" si="36"/>
        <v>3679.5971199999994</v>
      </c>
      <c r="R95" s="400">
        <f t="shared" si="37"/>
        <v>0</v>
      </c>
      <c r="S95" s="369">
        <f t="shared" si="38"/>
        <v>5113.3827615999944</v>
      </c>
      <c r="T95" s="370">
        <f t="shared" si="39"/>
        <v>3736.2986983271098</v>
      </c>
      <c r="W95" s="375">
        <f t="shared" si="32"/>
        <v>2035</v>
      </c>
      <c r="X95" s="376">
        <f t="shared" ca="1" si="29"/>
        <v>-11237.874040000021</v>
      </c>
      <c r="Y95" s="376">
        <f t="shared" ca="1" si="30"/>
        <v>-4661.2806799999889</v>
      </c>
      <c r="Z95" s="376">
        <f t="shared" ca="1" si="30"/>
        <v>3988.5185200000101</v>
      </c>
      <c r="AA95" s="376">
        <f t="shared" ca="1" si="30"/>
        <v>67653.786599999992</v>
      </c>
      <c r="AB95" s="376">
        <f t="shared" ca="1" si="30"/>
        <v>724406.95316000003</v>
      </c>
      <c r="AC95" s="376">
        <f t="shared" ca="1" si="30"/>
        <v>913672.79755999998</v>
      </c>
      <c r="AD95"/>
      <c r="AE95" s="370">
        <f t="shared" ca="1" si="31"/>
        <v>1017266.1409141331</v>
      </c>
      <c r="AF95" s="377"/>
      <c r="AG95" s="370">
        <f ca="1">IF(VehOp&lt;&gt;"N",SUM($X95:AD95),0)</f>
        <v>1693822.9011200001</v>
      </c>
    </row>
    <row r="96" spans="1:33" x14ac:dyDescent="0.25">
      <c r="B96" s="375">
        <f t="shared" si="40"/>
        <v>2031</v>
      </c>
      <c r="C96" s="401">
        <f>MAX(TREND(C88:C89,$B88:$B89,$B96),0)</f>
        <v>609915</v>
      </c>
      <c r="D96" s="402">
        <f>MAX(TREND(D88:D89,$B88:$B89,$B96),0)</f>
        <v>599968.75</v>
      </c>
      <c r="E96" s="401">
        <f>MAX(TREND(E88:E89,$B88:$B89,$B96),0)</f>
        <v>16516.25</v>
      </c>
      <c r="F96" s="813">
        <f>MAX(TREND(F88:F89,$B88:$B89,$B96),0)</f>
        <v>12775</v>
      </c>
      <c r="G96" s="435">
        <f t="shared" si="33"/>
        <v>36.9</v>
      </c>
      <c r="H96" s="436">
        <f t="shared" si="34"/>
        <v>47</v>
      </c>
      <c r="I96" s="401">
        <f>MAX(TREND(I88:I89,$B88:$B89,$B96),0)</f>
        <v>0</v>
      </c>
      <c r="J96" s="813">
        <f>MAX(TREND(J88:J89,$B88:$B89,$B96),0)</f>
        <v>0</v>
      </c>
      <c r="K96" s="402">
        <f>TREND(K88:K89,$B88:$B89,$B96)</f>
        <v>1</v>
      </c>
      <c r="L96" s="816">
        <f>MIN(MAX(TREND(L88:L89,$B88:$B89,$B96),0),1)</f>
        <v>0.24</v>
      </c>
      <c r="M96" s="406">
        <f>MIN(MAX(TREND(M88:M89,$B88:$B89,$B96),0),1)</f>
        <v>0.24</v>
      </c>
      <c r="N96" s="828">
        <f>MAX(TREND(N88:N89,$B88:$B89,$B96),0)</f>
        <v>0</v>
      </c>
      <c r="O96" s="829">
        <f>MAX(TREND(O88:O89,$B88:$B89,$B96),0)</f>
        <v>0</v>
      </c>
      <c r="P96" s="399">
        <f t="shared" si="35"/>
        <v>2110.7609819999989</v>
      </c>
      <c r="Q96" s="706">
        <f t="shared" si="36"/>
        <v>3741.3814000000111</v>
      </c>
      <c r="R96" s="400">
        <f t="shared" si="37"/>
        <v>0</v>
      </c>
      <c r="S96" s="369">
        <f t="shared" si="38"/>
        <v>5852.14238200001</v>
      </c>
      <c r="T96" s="370">
        <f t="shared" si="39"/>
        <v>4111.637612311908</v>
      </c>
      <c r="W96" s="375">
        <f t="shared" si="32"/>
        <v>2036</v>
      </c>
      <c r="X96" s="376">
        <f t="shared" ca="1" si="29"/>
        <v>-13661.190800000022</v>
      </c>
      <c r="Y96" s="376">
        <f t="shared" ref="Y96:AC105" ca="1" si="41">OFFSET($Q19,MATCH(Y$20,$A:$A),0)</f>
        <v>-4736.7947999999878</v>
      </c>
      <c r="Z96" s="376">
        <f t="shared" ca="1" si="41"/>
        <v>4050.3027999999877</v>
      </c>
      <c r="AA96" s="376">
        <f t="shared" ca="1" si="41"/>
        <v>68443.252399999998</v>
      </c>
      <c r="AB96" s="376">
        <f t="shared" ca="1" si="41"/>
        <v>751365.49400000006</v>
      </c>
      <c r="AC96" s="376">
        <f t="shared" ca="1" si="41"/>
        <v>935619.94679999969</v>
      </c>
      <c r="AD96"/>
      <c r="AE96" s="370">
        <f t="shared" ca="1" si="31"/>
        <v>1005430.900680213</v>
      </c>
      <c r="AF96" s="377"/>
      <c r="AG96" s="370">
        <f ca="1">IF(VehOp&lt;&gt;"N",SUM($X96:AD96),0)</f>
        <v>1741081.0103999996</v>
      </c>
    </row>
    <row r="97" spans="2:33" x14ac:dyDescent="0.25">
      <c r="B97" s="375">
        <f t="shared" si="40"/>
        <v>2032</v>
      </c>
      <c r="C97" s="401">
        <f>MAX(TREND(C88:C89,$B88:$B89,$B97),0)</f>
        <v>620573</v>
      </c>
      <c r="D97" s="402">
        <f>MAX(TREND(D88:D89,$B88:$B89,$B97),0)</f>
        <v>610462.5</v>
      </c>
      <c r="E97" s="401">
        <f>MAX(TREND(E88:E89,$B88:$B89,$B97),0)</f>
        <v>16826.5</v>
      </c>
      <c r="F97" s="813">
        <f>MAX(TREND(F88:F89,$B88:$B89,$B97),0)</f>
        <v>12994</v>
      </c>
      <c r="G97" s="435">
        <f t="shared" si="33"/>
        <v>36.9</v>
      </c>
      <c r="H97" s="436">
        <f t="shared" si="34"/>
        <v>47</v>
      </c>
      <c r="I97" s="401">
        <f>MAX(TREND(I88:I89,$B88:$B89,$B97),0)</f>
        <v>0</v>
      </c>
      <c r="J97" s="813">
        <f>MAX(TREND(J88:J89,$B88:$B89,$B97),0)</f>
        <v>0</v>
      </c>
      <c r="K97" s="402">
        <f>TREND(K88:K89,$B88:$B89,$B97)</f>
        <v>1</v>
      </c>
      <c r="L97" s="816">
        <f>MIN(MAX(TREND(L88:L89,$B88:$B89,$B97),0),1)</f>
        <v>0.24</v>
      </c>
      <c r="M97" s="406">
        <f>MIN(MAX(TREND(M88:M89,$B88:$B89,$B97),0),1)</f>
        <v>0.24</v>
      </c>
      <c r="N97" s="828">
        <f>MAX(TREND(N88:N89,$B88:$B89,$B97),0)</f>
        <v>0</v>
      </c>
      <c r="O97" s="829">
        <f>MAX(TREND(O88:O89,$B88:$B89,$B97),0)</f>
        <v>0</v>
      </c>
      <c r="P97" s="399">
        <f t="shared" si="35"/>
        <v>2146.5008183999907</v>
      </c>
      <c r="Q97" s="706">
        <f t="shared" si="36"/>
        <v>3803.1656799999887</v>
      </c>
      <c r="R97" s="400">
        <f t="shared" si="37"/>
        <v>0</v>
      </c>
      <c r="S97" s="369">
        <f t="shared" si="38"/>
        <v>5949.6664983999799</v>
      </c>
      <c r="T97" s="370">
        <f t="shared" si="39"/>
        <v>4019.3815027822816</v>
      </c>
      <c r="W97" s="375">
        <f t="shared" si="32"/>
        <v>2037</v>
      </c>
      <c r="X97" s="376">
        <f t="shared" ca="1" si="29"/>
        <v>-16084.507560000009</v>
      </c>
      <c r="Y97" s="376">
        <f t="shared" ca="1" si="41"/>
        <v>-4812.3089200000004</v>
      </c>
      <c r="Z97" s="376">
        <f t="shared" ca="1" si="41"/>
        <v>4112.0870799999993</v>
      </c>
      <c r="AA97" s="376">
        <f t="shared" ca="1" si="41"/>
        <v>69232.718199999974</v>
      </c>
      <c r="AB97" s="376">
        <f t="shared" ca="1" si="41"/>
        <v>778324.03484000044</v>
      </c>
      <c r="AC97" s="376">
        <f t="shared" ca="1" si="41"/>
        <v>957567.09603999997</v>
      </c>
      <c r="AD97"/>
      <c r="AE97" s="370">
        <f t="shared" ca="1" si="31"/>
        <v>993001.23197181104</v>
      </c>
      <c r="AF97" s="377"/>
      <c r="AG97" s="370">
        <f ca="1">IF(VehOp&lt;&gt;"N",SUM($X97:AD97),0)</f>
        <v>1788339.1196800005</v>
      </c>
    </row>
    <row r="98" spans="2:33" x14ac:dyDescent="0.25">
      <c r="B98" s="375">
        <f t="shared" si="40"/>
        <v>2033</v>
      </c>
      <c r="C98" s="401">
        <f>MAX(TREND(C88:C89,$B88:$B89,$B98),0)</f>
        <v>631231</v>
      </c>
      <c r="D98" s="402">
        <f>MAX(TREND(D88:D89,$B88:$B89,$B98),0)</f>
        <v>620956.25</v>
      </c>
      <c r="E98" s="401">
        <f>MAX(TREND(E88:E89,$B88:$B89,$B98),0)</f>
        <v>17136.75</v>
      </c>
      <c r="F98" s="813">
        <f>MAX(TREND(F88:F89,$B88:$B89,$B98),0)</f>
        <v>13213</v>
      </c>
      <c r="G98" s="435">
        <f t="shared" si="33"/>
        <v>36.799999999999997</v>
      </c>
      <c r="H98" s="436">
        <f t="shared" si="34"/>
        <v>47</v>
      </c>
      <c r="I98" s="401">
        <f>MAX(TREND(I88:I89,$B88:$B89,$B98),0)</f>
        <v>0</v>
      </c>
      <c r="J98" s="813">
        <f>MAX(TREND(J88:J89,$B88:$B89,$B98),0)</f>
        <v>0</v>
      </c>
      <c r="K98" s="402">
        <f>TREND(K88:K89,$B88:$B89,$B98)</f>
        <v>1</v>
      </c>
      <c r="L98" s="816">
        <f>MIN(MAX(TREND(L88:L89,$B88:$B89,$B98),0),1)</f>
        <v>0.24</v>
      </c>
      <c r="M98" s="406">
        <f>MIN(MAX(TREND(M88:M89,$B88:$B89,$B98),0),1)</f>
        <v>0.24</v>
      </c>
      <c r="N98" s="828">
        <f>MAX(TREND(N88:N89,$B88:$B89,$B98),0)</f>
        <v>0</v>
      </c>
      <c r="O98" s="829">
        <f>MAX(TREND(O88:O89,$B88:$B89,$B98),0)</f>
        <v>0</v>
      </c>
      <c r="P98" s="399">
        <f t="shared" si="35"/>
        <v>2182.2406547999981</v>
      </c>
      <c r="Q98" s="706">
        <f t="shared" si="36"/>
        <v>3864.9499600000004</v>
      </c>
      <c r="R98" s="400">
        <f t="shared" si="37"/>
        <v>0</v>
      </c>
      <c r="S98" s="369">
        <f t="shared" si="38"/>
        <v>6047.190614799998</v>
      </c>
      <c r="T98" s="370">
        <f t="shared" si="39"/>
        <v>3928.1397129024335</v>
      </c>
      <c r="W98" s="375">
        <f t="shared" si="32"/>
        <v>2038</v>
      </c>
      <c r="X98" s="376">
        <f t="shared" ca="1" si="29"/>
        <v>-18507.824320000011</v>
      </c>
      <c r="Y98" s="376">
        <f t="shared" ca="1" si="41"/>
        <v>-4887.8230399999993</v>
      </c>
      <c r="Z98" s="376">
        <f t="shared" ca="1" si="41"/>
        <v>4173.871360000011</v>
      </c>
      <c r="AA98" s="376">
        <f t="shared" ca="1" si="41"/>
        <v>70022.183999999994</v>
      </c>
      <c r="AB98" s="376">
        <f t="shared" ca="1" si="41"/>
        <v>805282.57568000036</v>
      </c>
      <c r="AC98" s="376">
        <f t="shared" ca="1" si="41"/>
        <v>979514.24527999992</v>
      </c>
      <c r="AD98"/>
      <c r="AE98" s="370">
        <f t="shared" ca="1" si="31"/>
        <v>980040.36780801881</v>
      </c>
      <c r="AF98" s="377"/>
      <c r="AG98" s="370">
        <f ca="1">IF(VehOp&lt;&gt;"N",SUM($X98:AD98),0)</f>
        <v>1835597.2289600002</v>
      </c>
    </row>
    <row r="99" spans="2:33" x14ac:dyDescent="0.25">
      <c r="B99" s="375">
        <f t="shared" si="40"/>
        <v>2034</v>
      </c>
      <c r="C99" s="401">
        <f>MAX(TREND(C88:C89,$B88:$B89,$B99),0)</f>
        <v>641889</v>
      </c>
      <c r="D99" s="402">
        <f>MAX(TREND(D88:D89,$B88:$B89,$B99),0)</f>
        <v>631450</v>
      </c>
      <c r="E99" s="401">
        <f>MAX(TREND(E88:E89,$B88:$B89,$B99),0)</f>
        <v>17447</v>
      </c>
      <c r="F99" s="813">
        <f>MAX(TREND(F88:F89,$B88:$B89,$B99),0)</f>
        <v>13432</v>
      </c>
      <c r="G99" s="435">
        <f t="shared" si="33"/>
        <v>36.799999999999997</v>
      </c>
      <c r="H99" s="436">
        <f t="shared" si="34"/>
        <v>47</v>
      </c>
      <c r="I99" s="401">
        <f>MAX(TREND(I88:I89,$B88:$B89,$B99),0)</f>
        <v>0</v>
      </c>
      <c r="J99" s="813">
        <f>MAX(TREND(J88:J89,$B88:$B89,$B99),0)</f>
        <v>0</v>
      </c>
      <c r="K99" s="402">
        <f>TREND(K88:K89,$B88:$B89,$B99)</f>
        <v>1</v>
      </c>
      <c r="L99" s="816">
        <f>MIN(MAX(TREND(L88:L89,$B88:$B89,$B99),0),1)</f>
        <v>0.24</v>
      </c>
      <c r="M99" s="406">
        <f>MIN(MAX(TREND(M88:M89,$B88:$B89,$B99),0),1)</f>
        <v>0.24</v>
      </c>
      <c r="N99" s="828">
        <f>MAX(TREND(N88:N89,$B88:$B89,$B99),0)</f>
        <v>0</v>
      </c>
      <c r="O99" s="829">
        <f>MAX(TREND(O88:O89,$B88:$B89,$B99),0)</f>
        <v>0</v>
      </c>
      <c r="P99" s="399">
        <f t="shared" si="35"/>
        <v>2217.9804912</v>
      </c>
      <c r="Q99" s="706">
        <f t="shared" si="36"/>
        <v>3926.7342399999989</v>
      </c>
      <c r="R99" s="400">
        <f t="shared" si="37"/>
        <v>0</v>
      </c>
      <c r="S99" s="369">
        <f t="shared" si="38"/>
        <v>6144.7147311999988</v>
      </c>
      <c r="T99" s="370">
        <f t="shared" si="39"/>
        <v>3837.9706916186824</v>
      </c>
      <c r="W99" s="375">
        <f t="shared" si="32"/>
        <v>2039</v>
      </c>
      <c r="X99" s="376">
        <f t="shared" ca="1" si="29"/>
        <v>-20931.141079999998</v>
      </c>
      <c r="Y99" s="376">
        <f t="shared" ca="1" si="41"/>
        <v>-4963.3371599999782</v>
      </c>
      <c r="Z99" s="376">
        <f t="shared" ca="1" si="41"/>
        <v>4235.655640000009</v>
      </c>
      <c r="AA99" s="376">
        <f t="shared" ca="1" si="41"/>
        <v>70811.649800000014</v>
      </c>
      <c r="AB99" s="376">
        <f t="shared" ca="1" si="41"/>
        <v>832241.11651999969</v>
      </c>
      <c r="AC99" s="376">
        <f t="shared" ca="1" si="41"/>
        <v>1001461.3945200003</v>
      </c>
      <c r="AD99"/>
      <c r="AE99" s="370">
        <f t="shared" ca="1" si="31"/>
        <v>966607.55646160152</v>
      </c>
      <c r="AF99" s="377"/>
      <c r="AG99" s="370">
        <f ca="1">IF(VehOp&lt;&gt;"N",SUM($X99:AD99),0)</f>
        <v>1882855.33824</v>
      </c>
    </row>
    <row r="100" spans="2:33" x14ac:dyDescent="0.25">
      <c r="B100" s="375">
        <f t="shared" si="40"/>
        <v>2035</v>
      </c>
      <c r="C100" s="401">
        <f>MAX(TREND(C88:C89,$B88:$B89,$B100),0)</f>
        <v>652547</v>
      </c>
      <c r="D100" s="402">
        <f>MAX(TREND(D88:D89,$B88:$B89,$B100),0)</f>
        <v>641943.75</v>
      </c>
      <c r="E100" s="401">
        <f>MAX(TREND(E88:E89,$B88:$B89,$B100),0)</f>
        <v>17757.25</v>
      </c>
      <c r="F100" s="813">
        <f>MAX(TREND(F88:F89,$B88:$B89,$B100),0)</f>
        <v>13651</v>
      </c>
      <c r="G100" s="435">
        <f t="shared" si="33"/>
        <v>36.700000000000003</v>
      </c>
      <c r="H100" s="436">
        <f t="shared" si="34"/>
        <v>47</v>
      </c>
      <c r="I100" s="401">
        <f>MAX(TREND(I88:I89,$B88:$B89,$B100),0)</f>
        <v>0</v>
      </c>
      <c r="J100" s="813">
        <f>MAX(TREND(J88:J89,$B88:$B89,$B100),0)</f>
        <v>0</v>
      </c>
      <c r="K100" s="402">
        <f>TREND(K88:K89,$B88:$B89,$B100)</f>
        <v>1</v>
      </c>
      <c r="L100" s="816">
        <f>MIN(MAX(TREND(L88:L89,$B88:$B89,$B100),0),1)</f>
        <v>0.24</v>
      </c>
      <c r="M100" s="406">
        <f>MIN(MAX(TREND(M88:M89,$B88:$B89,$B100),0),1)</f>
        <v>0.24</v>
      </c>
      <c r="N100" s="828">
        <f>MAX(TREND(N88:N89,$B88:$B89,$B100),0)</f>
        <v>0</v>
      </c>
      <c r="O100" s="829">
        <f>MAX(TREND(O88:O89,$B88:$B89,$B100),0)</f>
        <v>0</v>
      </c>
      <c r="P100" s="399">
        <f t="shared" si="35"/>
        <v>2253.7203275999968</v>
      </c>
      <c r="Q100" s="706">
        <f t="shared" si="36"/>
        <v>3988.5185200000101</v>
      </c>
      <c r="R100" s="400">
        <f t="shared" si="37"/>
        <v>0</v>
      </c>
      <c r="S100" s="369">
        <f t="shared" si="38"/>
        <v>6242.2388476000069</v>
      </c>
      <c r="T100" s="370">
        <f t="shared" si="39"/>
        <v>3748.9268913317596</v>
      </c>
      <c r="W100" s="375">
        <f t="shared" si="32"/>
        <v>2040</v>
      </c>
      <c r="X100" s="376">
        <f t="shared" ca="1" si="29"/>
        <v>-23354.457839999988</v>
      </c>
      <c r="Y100" s="376">
        <f t="shared" ca="1" si="41"/>
        <v>-5038.8512799999771</v>
      </c>
      <c r="Z100" s="376">
        <f t="shared" ca="1" si="41"/>
        <v>4297.4399200000007</v>
      </c>
      <c r="AA100" s="376">
        <f t="shared" ca="1" si="41"/>
        <v>71601.11559999999</v>
      </c>
      <c r="AB100" s="376">
        <f t="shared" ca="1" si="41"/>
        <v>859199.65735999914</v>
      </c>
      <c r="AC100" s="376">
        <f t="shared" ca="1" si="41"/>
        <v>1023408.54376</v>
      </c>
      <c r="AD100"/>
      <c r="AE100" s="370">
        <f t="shared" ca="1" si="31"/>
        <v>952758.27443797339</v>
      </c>
      <c r="AF100" s="377"/>
      <c r="AG100" s="370">
        <f ca="1">IF(VehOp&lt;&gt;"N",SUM($X100:AD100),0)</f>
        <v>1930113.4475199992</v>
      </c>
    </row>
    <row r="101" spans="2:33" x14ac:dyDescent="0.25">
      <c r="B101" s="375">
        <f t="shared" si="40"/>
        <v>2036</v>
      </c>
      <c r="C101" s="401">
        <f>MAX(TREND(C88:C89,$B88:$B89,$B101),0)</f>
        <v>663205</v>
      </c>
      <c r="D101" s="402">
        <f>MAX(TREND(D88:D89,$B88:$B89,$B101),0)</f>
        <v>652437.5</v>
      </c>
      <c r="E101" s="401">
        <f>MAX(TREND(E88:E89,$B88:$B89,$B101),0)</f>
        <v>18067.5</v>
      </c>
      <c r="F101" s="813">
        <f>MAX(TREND(F88:F89,$B88:$B89,$B101),0)</f>
        <v>13870</v>
      </c>
      <c r="G101" s="435">
        <f t="shared" si="33"/>
        <v>36.700000000000003</v>
      </c>
      <c r="H101" s="436">
        <f t="shared" si="34"/>
        <v>47</v>
      </c>
      <c r="I101" s="401">
        <f>MAX(TREND(I88:I89,$B88:$B89,$B101),0)</f>
        <v>0</v>
      </c>
      <c r="J101" s="813">
        <f>MAX(TREND(J88:J89,$B88:$B89,$B101),0)</f>
        <v>0</v>
      </c>
      <c r="K101" s="402">
        <f>TREND(K88:K89,$B88:$B89,$B101)</f>
        <v>1</v>
      </c>
      <c r="L101" s="816">
        <f>MIN(MAX(TREND(L88:L89,$B88:$B89,$B101),0),1)</f>
        <v>0.24</v>
      </c>
      <c r="M101" s="406">
        <f>MIN(MAX(TREND(M88:M89,$B88:$B89,$B101),0),1)</f>
        <v>0.24</v>
      </c>
      <c r="N101" s="828">
        <f>MAX(TREND(N88:N89,$B88:$B89,$B101),0)</f>
        <v>0</v>
      </c>
      <c r="O101" s="829">
        <f>MAX(TREND(O88:O89,$B88:$B89,$B101),0)</f>
        <v>0</v>
      </c>
      <c r="P101" s="399">
        <f t="shared" si="35"/>
        <v>2289.4601639999887</v>
      </c>
      <c r="Q101" s="706">
        <f t="shared" si="36"/>
        <v>4050.3027999999877</v>
      </c>
      <c r="R101" s="400">
        <f t="shared" si="37"/>
        <v>0</v>
      </c>
      <c r="S101" s="369">
        <f t="shared" si="38"/>
        <v>6339.7629639999759</v>
      </c>
      <c r="T101" s="370">
        <f t="shared" si="39"/>
        <v>3661.0551427065029</v>
      </c>
      <c r="W101" s="375">
        <f t="shared" si="32"/>
        <v>2041</v>
      </c>
      <c r="X101" s="376">
        <f t="shared" ca="1" si="29"/>
        <v>-25777.77459999999</v>
      </c>
      <c r="Y101" s="376">
        <f t="shared" ca="1" si="41"/>
        <v>-5114.3653999999979</v>
      </c>
      <c r="Z101" s="376">
        <f t="shared" ca="1" si="41"/>
        <v>4359.2241999999787</v>
      </c>
      <c r="AA101" s="376">
        <f t="shared" ca="1" si="41"/>
        <v>72390.58140000001</v>
      </c>
      <c r="AB101" s="376">
        <f t="shared" ca="1" si="41"/>
        <v>886158.19819999952</v>
      </c>
      <c r="AC101" s="376">
        <f t="shared" ca="1" si="41"/>
        <v>1045355.693</v>
      </c>
      <c r="AD101"/>
      <c r="AE101" s="370">
        <f t="shared" ca="1" si="31"/>
        <v>938544.42896577634</v>
      </c>
      <c r="AF101" s="377"/>
      <c r="AG101" s="370">
        <f ca="1">IF(VehOp&lt;&gt;"N",SUM($X101:AD101),0)</f>
        <v>1977371.5567999994</v>
      </c>
    </row>
    <row r="102" spans="2:33" x14ac:dyDescent="0.25">
      <c r="B102" s="375">
        <f t="shared" si="40"/>
        <v>2037</v>
      </c>
      <c r="C102" s="401">
        <f>MAX(TREND(C88:C89,$B88:$B89,$B102),0)</f>
        <v>673863</v>
      </c>
      <c r="D102" s="402">
        <f>MAX(TREND(D88:D89,$B88:$B89,$B102),0)</f>
        <v>662931.25</v>
      </c>
      <c r="E102" s="401">
        <f>MAX(TREND(E88:E89,$B88:$B89,$B102),0)</f>
        <v>18377.75</v>
      </c>
      <c r="F102" s="813">
        <f>MAX(TREND(F88:F89,$B88:$B89,$B102),0)</f>
        <v>14089</v>
      </c>
      <c r="G102" s="435">
        <f t="shared" si="33"/>
        <v>36.700000000000003</v>
      </c>
      <c r="H102" s="436">
        <f t="shared" si="34"/>
        <v>47.1</v>
      </c>
      <c r="I102" s="401">
        <f>MAX(TREND(I88:I89,$B88:$B89,$B102),0)</f>
        <v>0</v>
      </c>
      <c r="J102" s="813">
        <f>MAX(TREND(J88:J89,$B88:$B89,$B102),0)</f>
        <v>0</v>
      </c>
      <c r="K102" s="402">
        <f>TREND(K88:K89,$B88:$B89,$B102)</f>
        <v>1</v>
      </c>
      <c r="L102" s="816">
        <f>MIN(MAX(TREND(L88:L89,$B88:$B89,$B102),0),1)</f>
        <v>0.24</v>
      </c>
      <c r="M102" s="406">
        <f>MIN(MAX(TREND(M88:M89,$B88:$B89,$B102),0),1)</f>
        <v>0.24</v>
      </c>
      <c r="N102" s="828">
        <f>MAX(TREND(N88:N89,$B88:$B89,$B102),0)</f>
        <v>0</v>
      </c>
      <c r="O102" s="829">
        <f>MAX(TREND(O88:O89,$B88:$B89,$B102),0)</f>
        <v>0</v>
      </c>
      <c r="P102" s="399">
        <f t="shared" si="35"/>
        <v>2325.200000399996</v>
      </c>
      <c r="Q102" s="706">
        <f t="shared" si="36"/>
        <v>4112.0870799999993</v>
      </c>
      <c r="R102" s="400">
        <f t="shared" si="37"/>
        <v>0</v>
      </c>
      <c r="S102" s="369">
        <f t="shared" si="38"/>
        <v>6437.2870803999958</v>
      </c>
      <c r="T102" s="370">
        <f t="shared" si="39"/>
        <v>3574.3970095208924</v>
      </c>
      <c r="W102" s="375">
        <f t="shared" si="32"/>
        <v>2042</v>
      </c>
      <c r="X102" s="376">
        <f t="shared" ca="1" si="29"/>
        <v>-28201.091360000031</v>
      </c>
      <c r="Y102" s="376">
        <f t="shared" ca="1" si="41"/>
        <v>-5189.8795199999895</v>
      </c>
      <c r="Z102" s="376">
        <f t="shared" ca="1" si="41"/>
        <v>4421.0084800000104</v>
      </c>
      <c r="AA102" s="376">
        <f t="shared" ca="1" si="41"/>
        <v>73180.04720000003</v>
      </c>
      <c r="AB102" s="376">
        <f t="shared" ca="1" si="41"/>
        <v>913116.73903999955</v>
      </c>
      <c r="AC102" s="376">
        <f t="shared" ca="1" si="41"/>
        <v>1067302.8422400004</v>
      </c>
      <c r="AD102"/>
      <c r="AE102" s="370">
        <f t="shared" ca="1" si="31"/>
        <v>924014.55049079284</v>
      </c>
      <c r="AF102" s="377"/>
      <c r="AG102" s="370">
        <f ca="1">IF(VehOp&lt;&gt;"N",SUM($X102:AD102),0)</f>
        <v>2024629.6660799999</v>
      </c>
    </row>
    <row r="103" spans="2:33" x14ac:dyDescent="0.25">
      <c r="B103" s="375">
        <f t="shared" si="40"/>
        <v>2038</v>
      </c>
      <c r="C103" s="401">
        <f>MAX(TREND(C88:C89,$B88:$B89,$B103),0)</f>
        <v>684521</v>
      </c>
      <c r="D103" s="402">
        <f>MAX(TREND(D88:D89,$B88:$B89,$B103),0)</f>
        <v>673425</v>
      </c>
      <c r="E103" s="401">
        <f>MAX(TREND(E88:E89,$B88:$B89,$B103),0)</f>
        <v>18688</v>
      </c>
      <c r="F103" s="813">
        <f>MAX(TREND(F88:F89,$B88:$B89,$B103),0)</f>
        <v>14308</v>
      </c>
      <c r="G103" s="435">
        <f t="shared" si="33"/>
        <v>36.6</v>
      </c>
      <c r="H103" s="436">
        <f t="shared" si="34"/>
        <v>47.1</v>
      </c>
      <c r="I103" s="401">
        <f>MAX(TREND(I88:I89,$B88:$B89,$B103),0)</f>
        <v>0</v>
      </c>
      <c r="J103" s="813">
        <f>MAX(TREND(J88:J89,$B88:$B89,$B103),0)</f>
        <v>0</v>
      </c>
      <c r="K103" s="402">
        <f>TREND(K88:K89,$B88:$B89,$B103)</f>
        <v>1</v>
      </c>
      <c r="L103" s="816">
        <f>MIN(MAX(TREND(L88:L89,$B88:$B89,$B103),0),1)</f>
        <v>0.24</v>
      </c>
      <c r="M103" s="406">
        <f>MIN(MAX(TREND(M88:M89,$B88:$B89,$B103),0),1)</f>
        <v>0.24</v>
      </c>
      <c r="N103" s="828">
        <f>MAX(TREND(N88:N89,$B88:$B89,$B103),0)</f>
        <v>0</v>
      </c>
      <c r="O103" s="829">
        <f>MAX(TREND(O88:O89,$B88:$B89,$B103),0)</f>
        <v>0</v>
      </c>
      <c r="P103" s="399">
        <f t="shared" si="35"/>
        <v>2360.9398367999984</v>
      </c>
      <c r="Q103" s="706">
        <f t="shared" si="36"/>
        <v>4173.871360000011</v>
      </c>
      <c r="R103" s="400">
        <f t="shared" si="37"/>
        <v>0</v>
      </c>
      <c r="S103" s="369">
        <f t="shared" si="38"/>
        <v>6534.8111968000094</v>
      </c>
      <c r="T103" s="370">
        <f t="shared" si="39"/>
        <v>3488.9891245349008</v>
      </c>
      <c r="W103" s="375">
        <f t="shared" si="32"/>
        <v>2043</v>
      </c>
      <c r="X103" s="376">
        <f t="shared" ca="1" si="29"/>
        <v>-30624.408119999993</v>
      </c>
      <c r="Y103" s="376">
        <f t="shared" ca="1" si="41"/>
        <v>-5265.3936400000093</v>
      </c>
      <c r="Z103" s="376">
        <f t="shared" ca="1" si="41"/>
        <v>4482.7927599999875</v>
      </c>
      <c r="AA103" s="376">
        <f t="shared" ca="1" si="41"/>
        <v>73969.513000000006</v>
      </c>
      <c r="AB103" s="376">
        <f t="shared" ca="1" si="41"/>
        <v>940075.27987999958</v>
      </c>
      <c r="AC103" s="376">
        <f t="shared" ca="1" si="41"/>
        <v>1089249.9914799996</v>
      </c>
      <c r="AD103"/>
      <c r="AE103" s="370">
        <f t="shared" ca="1" si="31"/>
        <v>909213.97564263304</v>
      </c>
      <c r="AF103" s="377"/>
      <c r="AG103" s="370">
        <f ca="1">IF(VehOp&lt;&gt;"N",SUM($X103:AD103),0)</f>
        <v>2071887.7753599992</v>
      </c>
    </row>
    <row r="104" spans="2:33" x14ac:dyDescent="0.25">
      <c r="B104" s="375">
        <f t="shared" si="40"/>
        <v>2039</v>
      </c>
      <c r="C104" s="401">
        <f>MAX(TREND(C88:C89,$B88:$B89,$B104),0)</f>
        <v>695179</v>
      </c>
      <c r="D104" s="402">
        <f>MAX(TREND(D88:D89,$B88:$B89,$B104),0)</f>
        <v>683918.75</v>
      </c>
      <c r="E104" s="401">
        <f>MAX(TREND(E88:E89,$B88:$B89,$B104),0)</f>
        <v>18998.25</v>
      </c>
      <c r="F104" s="813">
        <f>MAX(TREND(F88:F89,$B88:$B89,$B104),0)</f>
        <v>14527</v>
      </c>
      <c r="G104" s="435">
        <f t="shared" si="33"/>
        <v>36.6</v>
      </c>
      <c r="H104" s="436">
        <f t="shared" si="34"/>
        <v>47.1</v>
      </c>
      <c r="I104" s="401">
        <f>MAX(TREND(I88:I89,$B88:$B89,$B104),0)</f>
        <v>0</v>
      </c>
      <c r="J104" s="813">
        <f>MAX(TREND(J88:J89,$B88:$B89,$B104),0)</f>
        <v>0</v>
      </c>
      <c r="K104" s="402">
        <f>TREND(K88:K89,$B88:$B89,$B104)</f>
        <v>1</v>
      </c>
      <c r="L104" s="816">
        <f>MIN(MAX(TREND(L88:L89,$B88:$B89,$B104),0),1)</f>
        <v>0.24</v>
      </c>
      <c r="M104" s="406">
        <f>MIN(MAX(TREND(M88:M89,$B88:$B89,$B104),0),1)</f>
        <v>0.24</v>
      </c>
      <c r="N104" s="828">
        <f>MAX(TREND(N88:N89,$B88:$B89,$B104),0)</f>
        <v>0</v>
      </c>
      <c r="O104" s="829">
        <f>MAX(TREND(O88:O89,$B88:$B89,$B104),0)</f>
        <v>0</v>
      </c>
      <c r="P104" s="399">
        <f t="shared" si="35"/>
        <v>2396.6796732000003</v>
      </c>
      <c r="Q104" s="706">
        <f t="shared" si="36"/>
        <v>4235.655640000009</v>
      </c>
      <c r="R104" s="400">
        <f t="shared" si="37"/>
        <v>0</v>
      </c>
      <c r="S104" s="369">
        <f t="shared" si="38"/>
        <v>6632.3353132000093</v>
      </c>
      <c r="T104" s="370">
        <f t="shared" si="39"/>
        <v>3404.8635073148062</v>
      </c>
      <c r="W104" s="375">
        <f t="shared" si="32"/>
        <v>2044</v>
      </c>
      <c r="X104" s="376">
        <f t="shared" ca="1" si="29"/>
        <v>-33047.724879999965</v>
      </c>
      <c r="Y104" s="376">
        <f t="shared" ca="1" si="41"/>
        <v>-5340.9077599999882</v>
      </c>
      <c r="Z104" s="376">
        <f t="shared" ca="1" si="41"/>
        <v>4544.5770400000201</v>
      </c>
      <c r="AA104" s="376">
        <f t="shared" ca="1" si="41"/>
        <v>74758.978799999953</v>
      </c>
      <c r="AB104" s="376">
        <f t="shared" ca="1" si="41"/>
        <v>967033.82071999996</v>
      </c>
      <c r="AC104" s="376">
        <f t="shared" ca="1" si="41"/>
        <v>1111197.14072</v>
      </c>
      <c r="AD104"/>
      <c r="AE104" s="370">
        <f t="shared" ca="1" si="31"/>
        <v>894185.02112230484</v>
      </c>
      <c r="AF104" s="377"/>
      <c r="AG104" s="370">
        <f ca="1">IF(VehOp&lt;&gt;"N",SUM($X104:AD104),0)</f>
        <v>2119145.8846399998</v>
      </c>
    </row>
    <row r="105" spans="2:33" x14ac:dyDescent="0.25">
      <c r="B105" s="375">
        <f t="shared" si="40"/>
        <v>2040</v>
      </c>
      <c r="C105" s="401">
        <f>MAX(TREND(C88:C89,$B88:$B89,$B105),0)</f>
        <v>705837</v>
      </c>
      <c r="D105" s="402">
        <f>MAX(TREND(D88:D89,$B88:$B89,$B105),0)</f>
        <v>694412.5</v>
      </c>
      <c r="E105" s="401">
        <f>MAX(TREND(E88:E89,$B88:$B89,$B105),0)</f>
        <v>19308.5</v>
      </c>
      <c r="F105" s="813">
        <f>MAX(TREND(F88:F89,$B88:$B89,$B105),0)</f>
        <v>14746</v>
      </c>
      <c r="G105" s="435">
        <f t="shared" si="33"/>
        <v>36.6</v>
      </c>
      <c r="H105" s="436">
        <f t="shared" si="34"/>
        <v>47.1</v>
      </c>
      <c r="I105" s="401">
        <f>MAX(TREND(I88:I89,$B88:$B89,$B105),0)</f>
        <v>0</v>
      </c>
      <c r="J105" s="813">
        <f>MAX(TREND(J88:J89,$B88:$B89,$B105),0)</f>
        <v>0</v>
      </c>
      <c r="K105" s="402">
        <f>TREND(K88:K89,$B88:$B89,$B105)</f>
        <v>1</v>
      </c>
      <c r="L105" s="816">
        <f>MIN(MAX(TREND(L88:L89,$B88:$B89,$B105),0),1)</f>
        <v>0.24</v>
      </c>
      <c r="M105" s="406">
        <f>MIN(MAX(TREND(M88:M89,$B88:$B89,$B105),0),1)</f>
        <v>0.24</v>
      </c>
      <c r="N105" s="828">
        <f>MAX(TREND(N88:N89,$B88:$B89,$B105),0)</f>
        <v>0</v>
      </c>
      <c r="O105" s="829">
        <f>MAX(TREND(O88:O89,$B88:$B89,$B105),0)</f>
        <v>0</v>
      </c>
      <c r="P105" s="399">
        <f t="shared" si="35"/>
        <v>2432.4195095999967</v>
      </c>
      <c r="Q105" s="706">
        <f t="shared" si="36"/>
        <v>4297.4399200000007</v>
      </c>
      <c r="R105" s="400">
        <f t="shared" si="37"/>
        <v>0</v>
      </c>
      <c r="S105" s="369">
        <f t="shared" si="38"/>
        <v>6729.8594295999974</v>
      </c>
      <c r="T105" s="370">
        <f t="shared" si="39"/>
        <v>3322.0478649037436</v>
      </c>
      <c r="W105" s="375">
        <f t="shared" si="32"/>
        <v>2045</v>
      </c>
      <c r="X105" s="376">
        <f t="shared" ca="1" si="29"/>
        <v>-35471.04164000001</v>
      </c>
      <c r="Y105" s="376">
        <f t="shared" ca="1" si="41"/>
        <v>-5416.4218800000208</v>
      </c>
      <c r="Z105" s="376">
        <f t="shared" ca="1" si="41"/>
        <v>4606.3613199999982</v>
      </c>
      <c r="AA105" s="376">
        <f t="shared" ca="1" si="41"/>
        <v>75548.444600000003</v>
      </c>
      <c r="AB105" s="376">
        <f t="shared" ca="1" si="41"/>
        <v>993992.36155999999</v>
      </c>
      <c r="AC105" s="376">
        <f t="shared" ca="1" si="41"/>
        <v>1133144.2899600002</v>
      </c>
      <c r="AD105"/>
      <c r="AE105" s="370">
        <f t="shared" ca="1" si="31"/>
        <v>878967.14893838833</v>
      </c>
      <c r="AF105" s="377"/>
      <c r="AG105" s="370">
        <f ca="1">IF(VehOp&lt;&gt;"N",SUM($X105:AD105),0)</f>
        <v>2166403.9939200003</v>
      </c>
    </row>
    <row r="106" spans="2:33" x14ac:dyDescent="0.25">
      <c r="B106" s="375">
        <f t="shared" si="40"/>
        <v>2041</v>
      </c>
      <c r="C106" s="401">
        <f>MAX(TREND(C88:C89,$B88:$B89,$B106),0)</f>
        <v>716495</v>
      </c>
      <c r="D106" s="402">
        <f>MAX(TREND(D88:D89,$B88:$B89,$B106),0)</f>
        <v>704906.25</v>
      </c>
      <c r="E106" s="401">
        <f>MAX(TREND(E88:E89,$B88:$B89,$B106),0)</f>
        <v>19618.75</v>
      </c>
      <c r="F106" s="813">
        <f>MAX(TREND(F88:F89,$B88:$B89,$B106),0)</f>
        <v>14965</v>
      </c>
      <c r="G106" s="435">
        <f t="shared" si="33"/>
        <v>36.5</v>
      </c>
      <c r="H106" s="436">
        <f t="shared" si="34"/>
        <v>47.1</v>
      </c>
      <c r="I106" s="401">
        <f>MAX(TREND(I88:I89,$B88:$B89,$B106),0)</f>
        <v>0</v>
      </c>
      <c r="J106" s="813">
        <f>MAX(TREND(J88:J89,$B88:$B89,$B106),0)</f>
        <v>0</v>
      </c>
      <c r="K106" s="402">
        <f>TREND(K88:K89,$B88:$B89,$B106)</f>
        <v>1</v>
      </c>
      <c r="L106" s="816">
        <f>MIN(MAX(TREND(L88:L89,$B88:$B89,$B106),0),1)</f>
        <v>0.24</v>
      </c>
      <c r="M106" s="406">
        <f>MIN(MAX(TREND(M88:M89,$B88:$B89,$B106),0),1)</f>
        <v>0.24</v>
      </c>
      <c r="N106" s="828">
        <f>MAX(TREND(N88:N89,$B88:$B89,$B106),0)</f>
        <v>0</v>
      </c>
      <c r="O106" s="829">
        <f>MAX(TREND(O88:O89,$B88:$B89,$B106),0)</f>
        <v>0</v>
      </c>
      <c r="P106" s="399">
        <f t="shared" si="35"/>
        <v>2468.1593459999885</v>
      </c>
      <c r="Q106" s="706">
        <f t="shared" si="36"/>
        <v>4359.2241999999787</v>
      </c>
      <c r="R106" s="400">
        <f t="shared" si="37"/>
        <v>0</v>
      </c>
      <c r="S106" s="369">
        <f t="shared" si="38"/>
        <v>6827.3835459999673</v>
      </c>
      <c r="T106" s="370">
        <f t="shared" si="39"/>
        <v>3240.5658761880286</v>
      </c>
      <c r="W106" s="385"/>
      <c r="X106" s="389"/>
      <c r="Y106" s="389"/>
      <c r="Z106" s="389"/>
      <c r="AA106" s="389"/>
      <c r="AB106" s="389"/>
      <c r="AC106" s="389"/>
      <c r="AD106"/>
      <c r="AE106" s="389"/>
      <c r="AF106" s="390"/>
      <c r="AG106" s="389"/>
    </row>
    <row r="107" spans="2:33" x14ac:dyDescent="0.25">
      <c r="B107" s="375">
        <f t="shared" si="40"/>
        <v>2042</v>
      </c>
      <c r="C107" s="401">
        <f>MAX(TREND(C88:C89,$B88:$B89,$B107),0)</f>
        <v>727153</v>
      </c>
      <c r="D107" s="402">
        <f>MAX(TREND(D88:D89,$B88:$B89,$B107),0)</f>
        <v>715400</v>
      </c>
      <c r="E107" s="401">
        <f>MAX(TREND(E88:E89,$B88:$B89,$B107),0)</f>
        <v>19929</v>
      </c>
      <c r="F107" s="813">
        <f>MAX(TREND(F88:F89,$B88:$B89,$B107),0)</f>
        <v>15184</v>
      </c>
      <c r="G107" s="435">
        <f t="shared" si="33"/>
        <v>36.5</v>
      </c>
      <c r="H107" s="436">
        <f t="shared" si="34"/>
        <v>47.1</v>
      </c>
      <c r="I107" s="401">
        <f>MAX(TREND(I88:I89,$B88:$B89,$B107),0)</f>
        <v>0</v>
      </c>
      <c r="J107" s="813">
        <f>MAX(TREND(J88:J89,$B88:$B89,$B107),0)</f>
        <v>0</v>
      </c>
      <c r="K107" s="402">
        <f>TREND(K88:K89,$B88:$B89,$B107)</f>
        <v>1</v>
      </c>
      <c r="L107" s="816">
        <f>MIN(MAX(TREND(L88:L89,$B88:$B89,$B107),0),1)</f>
        <v>0.24</v>
      </c>
      <c r="M107" s="406">
        <f>MIN(MAX(TREND(M88:M89,$B88:$B89,$B107),0),1)</f>
        <v>0.24</v>
      </c>
      <c r="N107" s="828">
        <f>MAX(TREND(N88:N89,$B88:$B89,$B107),0)</f>
        <v>0</v>
      </c>
      <c r="O107" s="829">
        <f>MAX(TREND(O88:O89,$B88:$B89,$B107),0)</f>
        <v>0</v>
      </c>
      <c r="P107" s="399">
        <f t="shared" si="35"/>
        <v>2503.8991823999904</v>
      </c>
      <c r="Q107" s="706">
        <f t="shared" si="36"/>
        <v>4421.0084800000104</v>
      </c>
      <c r="R107" s="400">
        <f t="shared" si="37"/>
        <v>0</v>
      </c>
      <c r="S107" s="369">
        <f t="shared" si="38"/>
        <v>6924.9076624000008</v>
      </c>
      <c r="T107" s="370">
        <f t="shared" si="39"/>
        <v>3160.4374607686646</v>
      </c>
      <c r="W107" s="407" t="s">
        <v>56</v>
      </c>
      <c r="X107" s="408">
        <f t="shared" ref="X107:AC107" ca="1" si="42">SUM(X86:X105)</f>
        <v>-248990.64840000009</v>
      </c>
      <c r="Y107" s="408">
        <f t="shared" ca="1" si="42"/>
        <v>-93980.754799999966</v>
      </c>
      <c r="Z107" s="408">
        <f t="shared" ca="1" si="42"/>
        <v>80388.213200000013</v>
      </c>
      <c r="AA107" s="408">
        <f t="shared" ca="1" si="42"/>
        <v>1360970.3900000001</v>
      </c>
      <c r="AB107" s="408">
        <f t="shared" ca="1" si="42"/>
        <v>14757724.4716</v>
      </c>
      <c r="AC107" s="408">
        <f t="shared" ca="1" si="42"/>
        <v>18492927.443599999</v>
      </c>
      <c r="AD107"/>
      <c r="AE107" s="409">
        <f ca="1">SUM(AE86:AE105)</f>
        <v>20012787.278292466</v>
      </c>
      <c r="AF107" s="410"/>
      <c r="AG107" s="409">
        <f ca="1">SUM(AG86:AG105)</f>
        <v>34349039.115199998</v>
      </c>
    </row>
    <row r="108" spans="2:33" x14ac:dyDescent="0.25">
      <c r="B108" s="375">
        <f t="shared" si="40"/>
        <v>2043</v>
      </c>
      <c r="C108" s="401">
        <f>MAX(TREND(C88:C89,$B88:$B89,$B108),0)</f>
        <v>737811</v>
      </c>
      <c r="D108" s="402">
        <f>MAX(TREND(D88:D89,$B88:$B89,$B108),0)</f>
        <v>725893.75</v>
      </c>
      <c r="E108" s="401">
        <f>MAX(TREND(E88:E89,$B88:$B89,$B108),0)</f>
        <v>20239.25</v>
      </c>
      <c r="F108" s="813">
        <f>MAX(TREND(F88:F89,$B88:$B89,$B108),0)</f>
        <v>15403</v>
      </c>
      <c r="G108" s="435">
        <f t="shared" si="33"/>
        <v>36.5</v>
      </c>
      <c r="H108" s="436">
        <f t="shared" si="34"/>
        <v>47.1</v>
      </c>
      <c r="I108" s="401">
        <f>MAX(TREND(I88:I89,$B88:$B89,$B108),0)</f>
        <v>0</v>
      </c>
      <c r="J108" s="813">
        <f>MAX(TREND(J88:J89,$B88:$B89,$B108),0)</f>
        <v>0</v>
      </c>
      <c r="K108" s="402">
        <f>TREND(K88:K89,$B88:$B89,$B108)</f>
        <v>1</v>
      </c>
      <c r="L108" s="816">
        <f>MIN(MAX(TREND(L88:L89,$B88:$B89,$B108),0),1)</f>
        <v>0.24</v>
      </c>
      <c r="M108" s="406">
        <f>MIN(MAX(TREND(M88:M89,$B88:$B89,$B108),0),1)</f>
        <v>0.24</v>
      </c>
      <c r="N108" s="828">
        <f>MAX(TREND(N88:N89,$B88:$B89,$B108),0)</f>
        <v>0</v>
      </c>
      <c r="O108" s="829">
        <f>MAX(TREND(O88:O89,$B88:$B89,$B108),0)</f>
        <v>0</v>
      </c>
      <c r="P108" s="399">
        <f t="shared" si="35"/>
        <v>2539.6390187999828</v>
      </c>
      <c r="Q108" s="706">
        <f t="shared" si="36"/>
        <v>4482.7927599999875</v>
      </c>
      <c r="R108" s="400">
        <f t="shared" si="37"/>
        <v>0</v>
      </c>
      <c r="S108" s="369">
        <f t="shared" si="38"/>
        <v>7022.4317787999698</v>
      </c>
      <c r="T108" s="370">
        <f t="shared" si="39"/>
        <v>3081.6790331090624</v>
      </c>
      <c r="X108" s="1"/>
      <c r="Y108" s="1"/>
      <c r="Z108" s="1"/>
      <c r="AA108" s="1"/>
      <c r="AB108" s="1"/>
      <c r="AC108" s="1"/>
      <c r="AD108"/>
    </row>
    <row r="109" spans="2:33" x14ac:dyDescent="0.25">
      <c r="B109" s="375">
        <f t="shared" si="40"/>
        <v>2044</v>
      </c>
      <c r="C109" s="401">
        <f>MAX(TREND(C88:C89,$B88:$B89,$B109),0)</f>
        <v>748469</v>
      </c>
      <c r="D109" s="402">
        <f>MAX(TREND(D88:D89,$B88:$B89,$B109),0)</f>
        <v>736387.5</v>
      </c>
      <c r="E109" s="401">
        <f>MAX(TREND(E88:E89,$B88:$B89,$B109),0)</f>
        <v>20549.5</v>
      </c>
      <c r="F109" s="813">
        <f>MAX(TREND(F88:F89,$B88:$B89,$B109),0)</f>
        <v>15622</v>
      </c>
      <c r="G109" s="435">
        <f t="shared" si="33"/>
        <v>36.4</v>
      </c>
      <c r="H109" s="436">
        <f t="shared" si="34"/>
        <v>47.1</v>
      </c>
      <c r="I109" s="401">
        <f>MAX(TREND(I88:I89,$B88:$B89,$B109),0)</f>
        <v>0</v>
      </c>
      <c r="J109" s="813">
        <f>MAX(TREND(J88:J89,$B88:$B89,$B109),0)</f>
        <v>0</v>
      </c>
      <c r="K109" s="402">
        <f>TREND(K88:K89,$B88:$B89,$B109)</f>
        <v>1</v>
      </c>
      <c r="L109" s="816">
        <f>MIN(MAX(TREND(L88:L89,$B88:$B89,$B109),0),1)</f>
        <v>0.24</v>
      </c>
      <c r="M109" s="406">
        <f>MIN(MAX(TREND(M88:M89,$B88:$B89,$B109),0),1)</f>
        <v>0.24</v>
      </c>
      <c r="N109" s="828">
        <f>MAX(TREND(N88:N89,$B88:$B89,$B109),0)</f>
        <v>0</v>
      </c>
      <c r="O109" s="829">
        <f>MAX(TREND(O88:O89,$B88:$B89,$B109),0)</f>
        <v>0</v>
      </c>
      <c r="P109" s="399">
        <f t="shared" si="35"/>
        <v>2575.3788551999901</v>
      </c>
      <c r="Q109" s="706">
        <f t="shared" si="36"/>
        <v>4544.5770400000201</v>
      </c>
      <c r="R109" s="400">
        <f t="shared" si="37"/>
        <v>0</v>
      </c>
      <c r="S109" s="369">
        <f t="shared" si="38"/>
        <v>7119.9558952000098</v>
      </c>
      <c r="T109" s="370">
        <f t="shared" si="39"/>
        <v>3004.3037426943588</v>
      </c>
      <c r="X109" s="1"/>
      <c r="Y109" s="1"/>
      <c r="Z109" s="1"/>
      <c r="AA109" s="1"/>
      <c r="AB109" s="1"/>
      <c r="AC109" s="1"/>
      <c r="AD109"/>
    </row>
    <row r="110" spans="2:33" ht="18" x14ac:dyDescent="0.25">
      <c r="B110" s="375">
        <f t="shared" si="40"/>
        <v>2045</v>
      </c>
      <c r="C110" s="401">
        <f>MAX(TREND(C88:C89,$B88:$B89,$B110),0)</f>
        <v>759127</v>
      </c>
      <c r="D110" s="402">
        <f>MAX(TREND(D88:D89,$B88:$B89,$B110),0)</f>
        <v>746881.25</v>
      </c>
      <c r="E110" s="401">
        <f>MAX(TREND(E88:E89,$B88:$B89,$B110),0)</f>
        <v>20859.75</v>
      </c>
      <c r="F110" s="813">
        <f>MAX(TREND(F88:F89,$B88:$B89,$B110),0)</f>
        <v>15841</v>
      </c>
      <c r="G110" s="435">
        <f t="shared" si="33"/>
        <v>36.4</v>
      </c>
      <c r="H110" s="436">
        <f t="shared" si="34"/>
        <v>47.1</v>
      </c>
      <c r="I110" s="401">
        <f>MAX(TREND(I88:I89,$B88:$B89,$B110),0)</f>
        <v>0</v>
      </c>
      <c r="J110" s="813">
        <f>MAX(TREND(J88:J89,$B88:$B89,$B110),0)</f>
        <v>0</v>
      </c>
      <c r="K110" s="402">
        <f>TREND(K88:K89,$B88:$B89,$B110)</f>
        <v>1</v>
      </c>
      <c r="L110" s="816">
        <f>MIN(MAX(TREND(L88:L89,$B88:$B89,$B110),0),1)</f>
        <v>0.24</v>
      </c>
      <c r="M110" s="406">
        <f>MIN(MAX(TREND(M88:M89,$B88:$B89,$B110),0),1)</f>
        <v>0.24</v>
      </c>
      <c r="N110" s="828">
        <f>MAX(TREND(N88:N89,$B88:$B89,$B110),0)</f>
        <v>0</v>
      </c>
      <c r="O110" s="829">
        <f>MAX(TREND(O88:O89,$B88:$B89,$B110),0)</f>
        <v>0</v>
      </c>
      <c r="P110" s="399">
        <f t="shared" si="35"/>
        <v>2611.118691599992</v>
      </c>
      <c r="Q110" s="706">
        <f t="shared" si="36"/>
        <v>4606.3613199999982</v>
      </c>
      <c r="R110" s="400">
        <f t="shared" si="37"/>
        <v>0</v>
      </c>
      <c r="S110" s="369">
        <f t="shared" si="38"/>
        <v>7217.4800115999897</v>
      </c>
      <c r="T110" s="370">
        <f t="shared" si="39"/>
        <v>2928.3217009016066</v>
      </c>
      <c r="W110" s="316" t="s">
        <v>287</v>
      </c>
      <c r="X110" s="1"/>
      <c r="Y110" s="1"/>
      <c r="Z110" s="1"/>
      <c r="AA110" s="1"/>
      <c r="AB110" s="1"/>
      <c r="AC110" s="1"/>
      <c r="AD110"/>
    </row>
    <row r="111" spans="2:33" x14ac:dyDescent="0.25">
      <c r="B111" s="385"/>
      <c r="C111" s="386"/>
      <c r="D111" s="386"/>
      <c r="E111" s="386"/>
      <c r="F111" s="386"/>
      <c r="G111" s="388"/>
      <c r="H111" s="388"/>
      <c r="I111" s="388"/>
      <c r="J111" s="388"/>
      <c r="K111" s="388"/>
      <c r="L111" s="388"/>
      <c r="M111" s="388"/>
      <c r="N111" s="388"/>
      <c r="O111" s="388"/>
      <c r="P111" s="388"/>
      <c r="Q111" s="388"/>
      <c r="R111" s="388"/>
      <c r="S111" s="388"/>
      <c r="T111" s="389"/>
      <c r="X111" s="1"/>
      <c r="Y111" s="1"/>
      <c r="Z111" s="1"/>
      <c r="AA111" s="1"/>
      <c r="AB111" s="1"/>
      <c r="AC111" s="1"/>
      <c r="AD111"/>
    </row>
    <row r="112" spans="2:33" x14ac:dyDescent="0.25">
      <c r="B112" s="407" t="s">
        <v>56</v>
      </c>
      <c r="C112" s="413"/>
      <c r="D112" s="414"/>
      <c r="E112" s="414"/>
      <c r="F112" s="414"/>
      <c r="G112" s="414"/>
      <c r="H112" s="414"/>
      <c r="I112" s="414"/>
      <c r="J112" s="414"/>
      <c r="K112" s="414"/>
      <c r="L112" s="414"/>
      <c r="M112" s="414"/>
      <c r="N112" s="414"/>
      <c r="O112" s="414"/>
      <c r="P112" s="414"/>
      <c r="Q112" s="415"/>
      <c r="R112" s="415"/>
      <c r="S112" s="414"/>
      <c r="T112" s="409">
        <f>SUM(T91:T110)</f>
        <v>72041.431686922166</v>
      </c>
      <c r="X112" s="1"/>
      <c r="Y112" s="1"/>
      <c r="Z112" s="1"/>
      <c r="AA112" s="1"/>
      <c r="AB112" s="1"/>
      <c r="AC112" s="1"/>
      <c r="AD112"/>
    </row>
    <row r="113" spans="1:33" x14ac:dyDescent="0.25">
      <c r="B113" s="2"/>
      <c r="C113" s="418"/>
      <c r="D113" s="2"/>
      <c r="E113" s="2"/>
      <c r="F113" s="2"/>
      <c r="G113" s="2"/>
      <c r="H113" s="2"/>
      <c r="I113" s="2"/>
      <c r="J113" s="2"/>
      <c r="K113" s="2"/>
      <c r="L113" s="2"/>
      <c r="M113" s="2"/>
      <c r="N113" s="2"/>
      <c r="O113" s="2"/>
      <c r="P113" s="2"/>
      <c r="Q113" s="2"/>
      <c r="R113" s="2"/>
      <c r="S113" s="2"/>
      <c r="T113" s="2"/>
      <c r="W113" s="322"/>
      <c r="X113" s="52">
        <v>1</v>
      </c>
      <c r="Y113" s="52">
        <v>2</v>
      </c>
      <c r="Z113" s="52">
        <v>3</v>
      </c>
      <c r="AA113" s="52">
        <v>4</v>
      </c>
      <c r="AB113" s="52">
        <v>5</v>
      </c>
      <c r="AC113" s="52">
        <v>6</v>
      </c>
      <c r="AD113"/>
      <c r="AE113" s="333" t="s">
        <v>39</v>
      </c>
      <c r="AF113" s="334"/>
      <c r="AG113" s="333"/>
    </row>
    <row r="114" spans="1:33" x14ac:dyDescent="0.25">
      <c r="A114" s="1">
        <f>MAX($A$1:A113)+1</f>
        <v>4</v>
      </c>
      <c r="B114" s="319" t="str">
        <f>IF(ISBLANK(INDEX(ModelGroup,A114,1)),"Not Used",INDEX(ModelGroup,A114,1))</f>
        <v>NB On-ramp from Ave 280</v>
      </c>
      <c r="C114" s="2"/>
      <c r="D114" s="2"/>
      <c r="E114" s="2"/>
      <c r="F114" s="2"/>
      <c r="G114" s="2"/>
      <c r="H114" s="320"/>
      <c r="I114" s="320"/>
      <c r="J114" s="320"/>
      <c r="K114" s="320"/>
      <c r="L114" s="320"/>
      <c r="M114" s="320"/>
      <c r="N114" s="320"/>
      <c r="O114" s="320"/>
      <c r="P114" s="320"/>
      <c r="Q114" s="2"/>
      <c r="R114" s="2"/>
      <c r="S114" s="2"/>
      <c r="T114" s="2"/>
      <c r="W114" s="335"/>
      <c r="X114" s="1777" t="str">
        <f t="shared" ref="X114:AC114" si="43">IF(ISBLANK(INDEX(ModelGroup,X113,1)),"Not Used",INDEX(ModelGroup,X113,1))</f>
        <v>SB Off-ramp to Ave 280</v>
      </c>
      <c r="Y114" s="1777" t="str">
        <f t="shared" si="43"/>
        <v>SB On-ramp from Ave 280</v>
      </c>
      <c r="Z114" s="1777" t="str">
        <f t="shared" si="43"/>
        <v>NB Off-ramp to Ave 280</v>
      </c>
      <c r="AA114" s="1777" t="str">
        <f t="shared" si="43"/>
        <v>NB On-ramp from Ave 280</v>
      </c>
      <c r="AB114" s="1777" t="str">
        <f t="shared" si="43"/>
        <v>NB Mainline</v>
      </c>
      <c r="AC114" s="1777" t="str">
        <f t="shared" si="43"/>
        <v>SB Mainline</v>
      </c>
      <c r="AD114"/>
      <c r="AE114" s="347" t="s">
        <v>204</v>
      </c>
      <c r="AF114" s="334"/>
      <c r="AG114" s="347"/>
    </row>
    <row r="115" spans="1:33" x14ac:dyDescent="0.25">
      <c r="B115" s="2"/>
      <c r="C115" s="2"/>
      <c r="D115" s="321"/>
      <c r="E115" s="321"/>
      <c r="F115" s="321"/>
      <c r="G115" s="2"/>
      <c r="H115" s="2"/>
      <c r="I115" s="2"/>
      <c r="J115" s="2"/>
      <c r="K115" s="2"/>
      <c r="L115" s="2"/>
      <c r="M115" s="2"/>
      <c r="N115" s="2"/>
      <c r="O115" s="2"/>
      <c r="P115" s="2"/>
      <c r="Q115" s="2"/>
      <c r="R115" s="2"/>
      <c r="S115" s="2"/>
      <c r="T115" s="149"/>
      <c r="W115" s="77" t="s">
        <v>34</v>
      </c>
      <c r="X115" s="1778"/>
      <c r="Y115" s="1778"/>
      <c r="Z115" s="1778"/>
      <c r="AA115" s="1778"/>
      <c r="AB115" s="1778"/>
      <c r="AC115" s="1778"/>
      <c r="AD115"/>
      <c r="AE115" s="347" t="s">
        <v>282</v>
      </c>
      <c r="AF115" s="334"/>
      <c r="AG115" s="347" t="s">
        <v>208</v>
      </c>
    </row>
    <row r="116" spans="1:33" ht="15.75" x14ac:dyDescent="0.25">
      <c r="B116" s="322"/>
      <c r="C116" s="325" t="s">
        <v>271</v>
      </c>
      <c r="D116" s="326"/>
      <c r="E116" s="325" t="s">
        <v>190</v>
      </c>
      <c r="F116" s="776"/>
      <c r="G116" s="325" t="s">
        <v>272</v>
      </c>
      <c r="H116" s="324"/>
      <c r="I116" s="325" t="str">
        <f>IF(INDEX(HwyTransitModelGroup,A114,1)=Hwy,"TOTAL VEHICLE TRIPS","TOTAL PERSON TRIPS")</f>
        <v>TOTAL VEHICLE TRIPS</v>
      </c>
      <c r="J116" s="324"/>
      <c r="K116" s="427"/>
      <c r="L116" s="323" t="s">
        <v>192</v>
      </c>
      <c r="M116" s="326"/>
      <c r="N116" s="323" t="s">
        <v>228</v>
      </c>
      <c r="O116" s="776"/>
      <c r="P116" s="325" t="s">
        <v>273</v>
      </c>
      <c r="Q116" s="323"/>
      <c r="R116" s="876"/>
      <c r="S116" s="329"/>
      <c r="T116" s="330"/>
      <c r="W116" s="355"/>
      <c r="X116" s="1779"/>
      <c r="Y116" s="1779"/>
      <c r="Z116" s="1779"/>
      <c r="AA116" s="1779"/>
      <c r="AB116" s="1779"/>
      <c r="AC116" s="1779"/>
      <c r="AD116"/>
      <c r="AE116" s="360" t="str">
        <f>IF(VehOp&lt;&gt;"N","Benefits","Benefits*")</f>
        <v>Benefits</v>
      </c>
      <c r="AF116" s="334"/>
      <c r="AG116" s="360" t="s">
        <v>48</v>
      </c>
    </row>
    <row r="117" spans="1:33" x14ac:dyDescent="0.25">
      <c r="B117" s="335"/>
      <c r="C117" s="338" t="s">
        <v>274</v>
      </c>
      <c r="D117" s="339"/>
      <c r="E117" s="338" t="s">
        <v>275</v>
      </c>
      <c r="F117" s="336"/>
      <c r="G117" s="338" t="s">
        <v>276</v>
      </c>
      <c r="H117" s="337"/>
      <c r="I117" s="817" t="s">
        <v>199</v>
      </c>
      <c r="J117" s="337"/>
      <c r="K117" s="428"/>
      <c r="L117" s="336" t="s">
        <v>277</v>
      </c>
      <c r="M117" s="339"/>
      <c r="N117" s="336" t="s">
        <v>230</v>
      </c>
      <c r="O117" s="336"/>
      <c r="P117" s="340" t="s">
        <v>203</v>
      </c>
      <c r="Q117" s="838"/>
      <c r="R117" s="341"/>
      <c r="S117" s="342"/>
      <c r="T117" s="343"/>
      <c r="W117" s="375">
        <f>YearOpen</f>
        <v>2026</v>
      </c>
      <c r="X117" s="376">
        <f t="shared" ref="X117:X136" ca="1" si="44">OFFSET($R9,MATCH(X$20,$A:$A),0)</f>
        <v>0</v>
      </c>
      <c r="Y117" s="376">
        <f t="shared" ref="Y117:AC126" ca="1" si="45">OFFSET($R9,MATCH(Y$20,$A:$A),0)</f>
        <v>0</v>
      </c>
      <c r="Z117" s="376">
        <f t="shared" ca="1" si="45"/>
        <v>0</v>
      </c>
      <c r="AA117" s="376">
        <f t="shared" ca="1" si="45"/>
        <v>0</v>
      </c>
      <c r="AB117" s="376">
        <f t="shared" ca="1" si="45"/>
        <v>0</v>
      </c>
      <c r="AC117" s="376">
        <f t="shared" ca="1" si="45"/>
        <v>0</v>
      </c>
      <c r="AD117"/>
      <c r="AE117" s="370">
        <f t="shared" ref="AE117:AE136" ca="1" si="46">$AG117/(1+DiscRate)^($W117-YearCurrent)</f>
        <v>0</v>
      </c>
      <c r="AF117" s="377"/>
      <c r="AG117" s="370">
        <f ca="1">IF(VehOp&lt;&gt;"N",SUM($X117:AD117),0)</f>
        <v>0</v>
      </c>
    </row>
    <row r="118" spans="1:33" x14ac:dyDescent="0.25">
      <c r="B118" s="77" t="s">
        <v>34</v>
      </c>
      <c r="C118" s="348"/>
      <c r="D118" s="349"/>
      <c r="E118" s="348"/>
      <c r="F118" s="781"/>
      <c r="G118" s="723"/>
      <c r="H118" s="349"/>
      <c r="I118" s="723"/>
      <c r="J118" s="781"/>
      <c r="K118" s="349" t="s">
        <v>278</v>
      </c>
      <c r="L118" s="348"/>
      <c r="M118" s="349"/>
      <c r="N118" s="348"/>
      <c r="O118" s="781"/>
      <c r="P118" s="350" t="s">
        <v>279</v>
      </c>
      <c r="Q118" s="839" t="s">
        <v>280</v>
      </c>
      <c r="R118" s="349" t="s">
        <v>281</v>
      </c>
      <c r="S118" s="351" t="s">
        <v>208</v>
      </c>
      <c r="T118" s="347" t="s">
        <v>39</v>
      </c>
      <c r="W118" s="375">
        <f>W117+1</f>
        <v>2027</v>
      </c>
      <c r="X118" s="376">
        <f t="shared" ca="1" si="44"/>
        <v>0</v>
      </c>
      <c r="Y118" s="376">
        <f t="shared" ca="1" si="45"/>
        <v>0</v>
      </c>
      <c r="Z118" s="376">
        <f t="shared" ca="1" si="45"/>
        <v>0</v>
      </c>
      <c r="AA118" s="376">
        <f t="shared" ca="1" si="45"/>
        <v>0</v>
      </c>
      <c r="AB118" s="376">
        <f t="shared" ca="1" si="45"/>
        <v>0</v>
      </c>
      <c r="AC118" s="376">
        <f t="shared" ca="1" si="45"/>
        <v>0</v>
      </c>
      <c r="AD118"/>
      <c r="AE118" s="370">
        <f t="shared" ca="1" si="46"/>
        <v>0</v>
      </c>
      <c r="AF118" s="377"/>
      <c r="AG118" s="370">
        <f ca="1">IF(VehOp&lt;&gt;"N",SUM($X118:AD118),0)</f>
        <v>0</v>
      </c>
    </row>
    <row r="119" spans="1:33" x14ac:dyDescent="0.25">
      <c r="B119" s="355"/>
      <c r="C119" s="356" t="s">
        <v>74</v>
      </c>
      <c r="D119" s="357" t="s">
        <v>125</v>
      </c>
      <c r="E119" s="356" t="s">
        <v>74</v>
      </c>
      <c r="F119" s="783" t="s">
        <v>125</v>
      </c>
      <c r="G119" s="724" t="s">
        <v>74</v>
      </c>
      <c r="H119" s="357" t="s">
        <v>125</v>
      </c>
      <c r="I119" s="724" t="s">
        <v>74</v>
      </c>
      <c r="J119" s="783" t="s">
        <v>125</v>
      </c>
      <c r="K119" s="357" t="s">
        <v>125</v>
      </c>
      <c r="L119" s="356" t="s">
        <v>74</v>
      </c>
      <c r="M119" s="357" t="s">
        <v>125</v>
      </c>
      <c r="N119" s="356" t="s">
        <v>74</v>
      </c>
      <c r="O119" s="783" t="s">
        <v>125</v>
      </c>
      <c r="P119" s="358" t="s">
        <v>283</v>
      </c>
      <c r="Q119" s="840" t="s">
        <v>283</v>
      </c>
      <c r="R119" s="357" t="s">
        <v>284</v>
      </c>
      <c r="S119" s="359" t="s">
        <v>48</v>
      </c>
      <c r="T119" s="360" t="s">
        <v>49</v>
      </c>
      <c r="W119" s="375">
        <f t="shared" ref="W119:W136" si="47">W118+1</f>
        <v>2028</v>
      </c>
      <c r="X119" s="376">
        <f t="shared" ca="1" si="44"/>
        <v>0</v>
      </c>
      <c r="Y119" s="376">
        <f t="shared" ca="1" si="45"/>
        <v>0</v>
      </c>
      <c r="Z119" s="376">
        <f t="shared" ca="1" si="45"/>
        <v>0</v>
      </c>
      <c r="AA119" s="376">
        <f t="shared" ca="1" si="45"/>
        <v>0</v>
      </c>
      <c r="AB119" s="376">
        <f t="shared" ca="1" si="45"/>
        <v>0</v>
      </c>
      <c r="AC119" s="376">
        <f t="shared" ca="1" si="45"/>
        <v>0</v>
      </c>
      <c r="AD119"/>
      <c r="AE119" s="370">
        <f t="shared" ca="1" si="46"/>
        <v>0</v>
      </c>
      <c r="AF119" s="377"/>
      <c r="AG119" s="370">
        <f ca="1">IF(VehOp&lt;&gt;"N",SUM($X119:AD119),0)</f>
        <v>0</v>
      </c>
    </row>
    <row r="120" spans="1:33" x14ac:dyDescent="0.25">
      <c r="B120" s="363">
        <f>YearFirst</f>
        <v>2026</v>
      </c>
      <c r="C120" s="364">
        <f>INDEX(ModelData1NB,A114,2)*AnnualFactor</f>
        <v>917245</v>
      </c>
      <c r="D120" s="365">
        <f>INDEX(ModelData1B,A114,2)*AnnualFactor</f>
        <v>756280</v>
      </c>
      <c r="E120" s="364">
        <f>IF(INDEX(HwyTransitModelGroup,A114,1)=Hwy,INDEX(ModelData1NB,A114,3),0)*AnnualFactor</f>
        <v>21170</v>
      </c>
      <c r="F120" s="365">
        <f>IF(INDEX(HwyTransitModelGroup,A114,1)=Hwy,INDEX(ModelData1B,A114,3),0)*AnnualFactor</f>
        <v>9855</v>
      </c>
      <c r="G120" s="429">
        <f>IF(E120=0,55,MAX(5,ROUND(C120/E120,1)))</f>
        <v>43.3</v>
      </c>
      <c r="H120" s="430">
        <f>IF(F120=0,55,MAX(5,ROUND(D120/F120,1)))</f>
        <v>76.7</v>
      </c>
      <c r="I120" s="364">
        <f>INDEX(ModelData1NB,A114,1)*AnnualFactor</f>
        <v>0</v>
      </c>
      <c r="J120" s="914">
        <f>INDEX(ModelData1B,A114,1)*AnnualFactor</f>
        <v>0</v>
      </c>
      <c r="K120" s="918">
        <f>'Travel Time'!O120</f>
        <v>1</v>
      </c>
      <c r="L120" s="818">
        <f>INDEX(ModelData1NB,A114,9)</f>
        <v>0.24</v>
      </c>
      <c r="M120" s="819">
        <f>INDEX(ModelData1B,A114,9)</f>
        <v>0.24</v>
      </c>
      <c r="N120" s="822">
        <f>INDEX(ModelData1NB,A114,6)</f>
        <v>0</v>
      </c>
      <c r="O120" s="823">
        <f>INDEX(ModelData1B,A114,6)</f>
        <v>0</v>
      </c>
      <c r="P120" s="367">
        <f>(C120*(1-L120)*VLOOKUP(G120,FuelCon,2)-D120*(1-M120)*VLOOKUP(H120,FuelCon,2))*FuelAuto+(C120*L120*VLOOKUP(G120,FuelCon,3)-D120*M120*VLOOKUP(H120,FuelCon,3))*FuelTruck</f>
        <v>-7329.6593160000193</v>
      </c>
      <c r="Q120" s="701">
        <f>(C120*(1-L120)-D120*(1-M120))*NonFuelAuto+(C120*L120-D120*M120)*NonFuelTruck</f>
        <v>60548.594399999965</v>
      </c>
      <c r="R120" s="368">
        <f>I120*N120-K120*O120</f>
        <v>0</v>
      </c>
      <c r="S120" s="369">
        <f>SUM(P120:R120)</f>
        <v>53218.935083999946</v>
      </c>
      <c r="T120" s="370">
        <f>S120/(1+DiscRate)^(B120-YearCurrent)</f>
        <v>45491.768751942058</v>
      </c>
      <c r="W120" s="375">
        <f t="shared" si="47"/>
        <v>2029</v>
      </c>
      <c r="X120" s="376">
        <f t="shared" ca="1" si="44"/>
        <v>0</v>
      </c>
      <c r="Y120" s="376">
        <f t="shared" ca="1" si="45"/>
        <v>0</v>
      </c>
      <c r="Z120" s="376">
        <f t="shared" ca="1" si="45"/>
        <v>0</v>
      </c>
      <c r="AA120" s="376">
        <f t="shared" ca="1" si="45"/>
        <v>0</v>
      </c>
      <c r="AB120" s="376">
        <f t="shared" ca="1" si="45"/>
        <v>0</v>
      </c>
      <c r="AC120" s="376">
        <f t="shared" ca="1" si="45"/>
        <v>0</v>
      </c>
      <c r="AD120"/>
      <c r="AE120" s="370">
        <f t="shared" ca="1" si="46"/>
        <v>0</v>
      </c>
      <c r="AF120" s="377"/>
      <c r="AG120" s="370">
        <f ca="1">IF(VehOp&lt;&gt;"N",SUM($X120:AD120),0)</f>
        <v>0</v>
      </c>
    </row>
    <row r="121" spans="1:33" x14ac:dyDescent="0.25">
      <c r="B121" s="379">
        <f>YearLast</f>
        <v>2046</v>
      </c>
      <c r="C121" s="380">
        <f>INDEX(ModelData20NB,A114,2)*AnnualFactor</f>
        <v>1153400</v>
      </c>
      <c r="D121" s="381">
        <f>INDEX(ModelData20B,A114,2)*AnnualFactor</f>
        <v>950460</v>
      </c>
      <c r="E121" s="380">
        <f>IF(INDEX(HwyTransitModelGroup,A114,1)=Hwy,INDEX(ModelData20NB,A114,3),0)*AnnualFactor</f>
        <v>27010</v>
      </c>
      <c r="F121" s="381">
        <f>IF(INDEX(HwyTransitModelGroup,A114,1)=Hwy,INDEX(ModelData20B,A114,3),0)*AnnualFactor</f>
        <v>12775</v>
      </c>
      <c r="G121" s="432">
        <f>IF(E121=0,55,MAX(5,ROUND(C121/E121,1)))</f>
        <v>42.7</v>
      </c>
      <c r="H121" s="433">
        <f>IF(F121=0,55,MAX(5,ROUND(D121/F121,1)))</f>
        <v>74.400000000000006</v>
      </c>
      <c r="I121" s="380">
        <f>INDEX(ModelData20NB,A114,1)*AnnualFactor</f>
        <v>0</v>
      </c>
      <c r="J121" s="381">
        <f>INDEX(ModelData20B,A114,1)*AnnualFactor</f>
        <v>0</v>
      </c>
      <c r="K121" s="917">
        <f>'Travel Time'!O121</f>
        <v>1</v>
      </c>
      <c r="L121" s="820">
        <f>INDEX(ModelData20NB,A114,9)</f>
        <v>0.24</v>
      </c>
      <c r="M121" s="821">
        <f>INDEX(ModelData20B,A114,9)</f>
        <v>0.24</v>
      </c>
      <c r="N121" s="824">
        <f>INDEX(ModelData20NB,A114,6)</f>
        <v>0</v>
      </c>
      <c r="O121" s="825">
        <f>INDEX(ModelData20B,A114,6)</f>
        <v>0</v>
      </c>
      <c r="P121" s="383">
        <f>(C121*(1-L121)*VLOOKUP(G121,FuelCon,2)-D121*(1-M121)*VLOOKUP(H121,FuelCon,2))*FuelAuto+(C121*L121*VLOOKUP(G121,FuelCon,3)-D121*M121*VLOOKUP(H121,FuelCon,3))*FuelTruck</f>
        <v>-9473.2777439999991</v>
      </c>
      <c r="Q121" s="702">
        <f>(C121*(1-L121)-D121*(1-M121))*NonFuelAuto+(C121*L121-D121*M121)*NonFuelTruck</f>
        <v>76337.910400000008</v>
      </c>
      <c r="R121" s="384">
        <f>I121*N121-K121*O121</f>
        <v>0</v>
      </c>
      <c r="S121" s="369">
        <f>SUM(P121:R121)</f>
        <v>66864.632656000002</v>
      </c>
      <c r="T121" s="370">
        <f>S121/(1+DiscRate)^(B121-YearCurrent)</f>
        <v>26085.329073236873</v>
      </c>
      <c r="W121" s="375">
        <f t="shared" si="47"/>
        <v>2030</v>
      </c>
      <c r="X121" s="376">
        <f t="shared" ca="1" si="44"/>
        <v>0</v>
      </c>
      <c r="Y121" s="376">
        <f t="shared" ca="1" si="45"/>
        <v>0</v>
      </c>
      <c r="Z121" s="376">
        <f t="shared" ca="1" si="45"/>
        <v>0</v>
      </c>
      <c r="AA121" s="376">
        <f t="shared" ca="1" si="45"/>
        <v>0</v>
      </c>
      <c r="AB121" s="376">
        <f t="shared" ca="1" si="45"/>
        <v>0</v>
      </c>
      <c r="AC121" s="376">
        <f t="shared" ca="1" si="45"/>
        <v>0</v>
      </c>
      <c r="AD121"/>
      <c r="AE121" s="370">
        <f t="shared" ca="1" si="46"/>
        <v>0</v>
      </c>
      <c r="AF121" s="377"/>
      <c r="AG121" s="370">
        <f ca="1">IF(VehOp&lt;&gt;"N",SUM($X121:AD121),0)</f>
        <v>0</v>
      </c>
    </row>
    <row r="122" spans="1:33" x14ac:dyDescent="0.25">
      <c r="B122" s="385"/>
      <c r="C122" s="388"/>
      <c r="D122" s="388"/>
      <c r="E122" s="388"/>
      <c r="F122" s="388"/>
      <c r="G122" s="814"/>
      <c r="H122" s="815"/>
      <c r="I122" s="814"/>
      <c r="J122" s="434"/>
      <c r="K122" s="916"/>
      <c r="L122" s="434"/>
      <c r="M122" s="434"/>
      <c r="N122" s="434"/>
      <c r="O122" s="434"/>
      <c r="P122" s="388"/>
      <c r="Q122" s="388"/>
      <c r="R122" s="388"/>
      <c r="S122" s="388"/>
      <c r="T122" s="389"/>
      <c r="W122" s="375">
        <f t="shared" si="47"/>
        <v>2031</v>
      </c>
      <c r="X122" s="376">
        <f t="shared" ca="1" si="44"/>
        <v>0</v>
      </c>
      <c r="Y122" s="376">
        <f t="shared" ca="1" si="45"/>
        <v>0</v>
      </c>
      <c r="Z122" s="376">
        <f t="shared" ca="1" si="45"/>
        <v>0</v>
      </c>
      <c r="AA122" s="376">
        <f t="shared" ca="1" si="45"/>
        <v>0</v>
      </c>
      <c r="AB122" s="376">
        <f t="shared" ca="1" si="45"/>
        <v>0</v>
      </c>
      <c r="AC122" s="376">
        <f t="shared" ca="1" si="45"/>
        <v>0</v>
      </c>
      <c r="AD122"/>
      <c r="AE122" s="370">
        <f t="shared" ca="1" si="46"/>
        <v>0</v>
      </c>
      <c r="AF122" s="377"/>
      <c r="AG122" s="370">
        <f ca="1">IF(VehOp&lt;&gt;"N",SUM($X122:AD122),0)</f>
        <v>0</v>
      </c>
    </row>
    <row r="123" spans="1:33" x14ac:dyDescent="0.25">
      <c r="B123" s="375">
        <f>YearOpen</f>
        <v>2026</v>
      </c>
      <c r="C123" s="401">
        <f>MAX(TREND(C120:C121,$B120:$B121,$B123),0)</f>
        <v>917245</v>
      </c>
      <c r="D123" s="402">
        <f>MAX(TREND(D120:D121,$B120:$B121,$B123),0)</f>
        <v>756280</v>
      </c>
      <c r="E123" s="401">
        <f>MAX(TREND(E120:E121,$B120:$B121,$B123),0)</f>
        <v>21170</v>
      </c>
      <c r="F123" s="813">
        <f>MAX(TREND(F120:F121,$B120:$B121,$B123),0)</f>
        <v>9855</v>
      </c>
      <c r="G123" s="435">
        <f t="shared" ref="G123:G142" si="48">IF(E123=0,55,MAX(5,ROUND(C123/E123,1)))</f>
        <v>43.3</v>
      </c>
      <c r="H123" s="436">
        <f t="shared" ref="H123:H142" si="49">IF(F123=0,55,MAX(5,ROUND(D123/F123,1)))</f>
        <v>76.7</v>
      </c>
      <c r="I123" s="393">
        <f>MAX(TREND(I120:I121,$B120:$B121,$B123),0)</f>
        <v>0</v>
      </c>
      <c r="J123" s="915">
        <f>MAX(TREND(J120:J121,$B120:$B121,$B123),0)</f>
        <v>0</v>
      </c>
      <c r="K123" s="394">
        <f>TREND(K120:K121,$B120:$B121,$B123)</f>
        <v>1</v>
      </c>
      <c r="L123" s="816">
        <f>MIN(MAX(TREND(L120:L121,$B120:$B121,$B123),0),1)</f>
        <v>0.24</v>
      </c>
      <c r="M123" s="406">
        <f>MIN(MAX(TREND(M120:M121,$B120:$B121,$B123),0),1)</f>
        <v>0.24</v>
      </c>
      <c r="N123" s="826">
        <f>MAX(TREND(N120:N121,$B120:$B121,$B123),0)</f>
        <v>0</v>
      </c>
      <c r="O123" s="827">
        <f>MAX(TREND(O120:O121,$B120:$B121,$B123),0)</f>
        <v>0</v>
      </c>
      <c r="P123" s="367">
        <f t="shared" ref="P123:P142" si="50">(C123*(1-L123)*VLOOKUP(G123,FuelCon,2)-D123*(1-M123)*VLOOKUP(H123,FuelCon,2))*FuelAuto+(C123*L123*VLOOKUP(G123,FuelCon,3)-D123*M123*VLOOKUP(H123,FuelCon,3))*FuelTruck</f>
        <v>-7329.6593160000193</v>
      </c>
      <c r="Q123" s="701">
        <f t="shared" ref="Q123:Q142" si="51">(C123*(1-L123)-D123*(1-M123))*NonFuelAuto+(C123*L123-D123*M123)*NonFuelTruck</f>
        <v>60548.594399999965</v>
      </c>
      <c r="R123" s="368">
        <f t="shared" ref="R123:R142" si="52">I123*N123-K123*O123</f>
        <v>0</v>
      </c>
      <c r="S123" s="369">
        <f t="shared" ref="S123:S142" si="53">SUM(P123:R123)</f>
        <v>53218.935083999946</v>
      </c>
      <c r="T123" s="370">
        <f t="shared" ref="T123:T142" si="54">S123/(1+DiscRate)^(B123-YearCurrent)</f>
        <v>45491.768751942058</v>
      </c>
      <c r="W123" s="375">
        <f t="shared" si="47"/>
        <v>2032</v>
      </c>
      <c r="X123" s="376">
        <f t="shared" ca="1" si="44"/>
        <v>0</v>
      </c>
      <c r="Y123" s="376">
        <f t="shared" ca="1" si="45"/>
        <v>0</v>
      </c>
      <c r="Z123" s="376">
        <f t="shared" ca="1" si="45"/>
        <v>0</v>
      </c>
      <c r="AA123" s="376">
        <f t="shared" ca="1" si="45"/>
        <v>0</v>
      </c>
      <c r="AB123" s="376">
        <f t="shared" ca="1" si="45"/>
        <v>0</v>
      </c>
      <c r="AC123" s="376">
        <f t="shared" ca="1" si="45"/>
        <v>0</v>
      </c>
      <c r="AD123"/>
      <c r="AE123" s="370">
        <f t="shared" ca="1" si="46"/>
        <v>0</v>
      </c>
      <c r="AF123" s="377"/>
      <c r="AG123" s="370">
        <f ca="1">IF(VehOp&lt;&gt;"N",SUM($X123:AD123),0)</f>
        <v>0</v>
      </c>
    </row>
    <row r="124" spans="1:33" x14ac:dyDescent="0.25">
      <c r="B124" s="375">
        <f>B123+1</f>
        <v>2027</v>
      </c>
      <c r="C124" s="401">
        <f>MAX(TREND(C120:C121,$B120:$B121,$B124),0)</f>
        <v>929052.75</v>
      </c>
      <c r="D124" s="402">
        <f>MAX(TREND(D120:D121,$B120:$B121,$B124),0)</f>
        <v>765989</v>
      </c>
      <c r="E124" s="401">
        <f>MAX(TREND(E120:E121,$B120:$B121,$B124),0)</f>
        <v>21462</v>
      </c>
      <c r="F124" s="813">
        <f>MAX(TREND(F120:F121,$B120:$B121,$B124),0)</f>
        <v>10001</v>
      </c>
      <c r="G124" s="435">
        <f t="shared" si="48"/>
        <v>43.3</v>
      </c>
      <c r="H124" s="436">
        <f t="shared" si="49"/>
        <v>76.599999999999994</v>
      </c>
      <c r="I124" s="401">
        <f>MAX(TREND(I120:I121,$B120:$B121,$B124),0)</f>
        <v>0</v>
      </c>
      <c r="J124" s="813">
        <f>MAX(TREND(J120:J121,$B120:$B121,$B124),0)</f>
        <v>0</v>
      </c>
      <c r="K124" s="402">
        <f>TREND(K120:K121,$B120:$B121,$B124)</f>
        <v>1</v>
      </c>
      <c r="L124" s="816">
        <f>MIN(MAX(TREND(L120:L121,$B120:$B121,$B124),0),1)</f>
        <v>0.24</v>
      </c>
      <c r="M124" s="406">
        <f>MIN(MAX(TREND(M120:M121,$B120:$B121,$B124),0),1)</f>
        <v>0.24</v>
      </c>
      <c r="N124" s="828">
        <f>MAX(TREND(N120:N121,$B120:$B121,$B124),0)</f>
        <v>0</v>
      </c>
      <c r="O124" s="829">
        <f>MAX(TREND(O120:O121,$B120:$B121,$B124),0)</f>
        <v>0</v>
      </c>
      <c r="P124" s="399">
        <f t="shared" si="50"/>
        <v>-7419.8160533999999</v>
      </c>
      <c r="Q124" s="706">
        <f t="shared" si="51"/>
        <v>61338.060199999985</v>
      </c>
      <c r="R124" s="400">
        <f t="shared" si="52"/>
        <v>0</v>
      </c>
      <c r="S124" s="369">
        <f t="shared" si="53"/>
        <v>53918.244146599987</v>
      </c>
      <c r="T124" s="370">
        <f t="shared" si="54"/>
        <v>44316.866412959273</v>
      </c>
      <c r="W124" s="375">
        <f t="shared" si="47"/>
        <v>2033</v>
      </c>
      <c r="X124" s="376">
        <f t="shared" ca="1" si="44"/>
        <v>0</v>
      </c>
      <c r="Y124" s="376">
        <f t="shared" ca="1" si="45"/>
        <v>0</v>
      </c>
      <c r="Z124" s="376">
        <f t="shared" ca="1" si="45"/>
        <v>0</v>
      </c>
      <c r="AA124" s="376">
        <f t="shared" ca="1" si="45"/>
        <v>0</v>
      </c>
      <c r="AB124" s="376">
        <f t="shared" ca="1" si="45"/>
        <v>0</v>
      </c>
      <c r="AC124" s="376">
        <f t="shared" ca="1" si="45"/>
        <v>0</v>
      </c>
      <c r="AD124"/>
      <c r="AE124" s="370">
        <f t="shared" ca="1" si="46"/>
        <v>0</v>
      </c>
      <c r="AF124" s="377"/>
      <c r="AG124" s="370">
        <f ca="1">IF(VehOp&lt;&gt;"N",SUM($X124:AD124),0)</f>
        <v>0</v>
      </c>
    </row>
    <row r="125" spans="1:33" x14ac:dyDescent="0.25">
      <c r="B125" s="375">
        <f t="shared" ref="B125:B142" si="55">B124+1</f>
        <v>2028</v>
      </c>
      <c r="C125" s="401">
        <f>MAX(TREND(C120:C121,$B120:$B121,$B125),0)</f>
        <v>940860.5</v>
      </c>
      <c r="D125" s="402">
        <f>MAX(TREND(D120:D121,$B120:$B121,$B125),0)</f>
        <v>775698</v>
      </c>
      <c r="E125" s="401">
        <f>MAX(TREND(E120:E121,$B120:$B121,$B125),0)</f>
        <v>21754</v>
      </c>
      <c r="F125" s="813">
        <f>MAX(TREND(F120:F121,$B120:$B121,$B125),0)</f>
        <v>10147</v>
      </c>
      <c r="G125" s="435">
        <f t="shared" si="48"/>
        <v>43.3</v>
      </c>
      <c r="H125" s="436">
        <f t="shared" si="49"/>
        <v>76.400000000000006</v>
      </c>
      <c r="I125" s="401">
        <f>MAX(TREND(I120:I121,$B120:$B121,$B125),0)</f>
        <v>0</v>
      </c>
      <c r="J125" s="813">
        <f>MAX(TREND(J120:J121,$B120:$B121,$B125),0)</f>
        <v>0</v>
      </c>
      <c r="K125" s="402">
        <f>TREND(K120:K121,$B120:$B121,$B125)</f>
        <v>1</v>
      </c>
      <c r="L125" s="816">
        <f>MIN(MAX(TREND(L120:L121,$B120:$B121,$B125),0),1)</f>
        <v>0.24</v>
      </c>
      <c r="M125" s="406">
        <f>MIN(MAX(TREND(M120:M121,$B120:$B121,$B125),0),1)</f>
        <v>0.24</v>
      </c>
      <c r="N125" s="828">
        <f>MAX(TREND(N120:N121,$B120:$B121,$B125),0)</f>
        <v>0</v>
      </c>
      <c r="O125" s="829">
        <f>MAX(TREND(O120:O121,$B120:$B121,$B125),0)</f>
        <v>0</v>
      </c>
      <c r="P125" s="399">
        <f t="shared" si="50"/>
        <v>-7509.9727908000013</v>
      </c>
      <c r="Q125" s="706">
        <f t="shared" si="51"/>
        <v>62127.525999999998</v>
      </c>
      <c r="R125" s="400">
        <f t="shared" si="52"/>
        <v>0</v>
      </c>
      <c r="S125" s="369">
        <f t="shared" si="53"/>
        <v>54617.553209199999</v>
      </c>
      <c r="T125" s="370">
        <f t="shared" si="54"/>
        <v>43165.045661069897</v>
      </c>
      <c r="W125" s="375">
        <f t="shared" si="47"/>
        <v>2034</v>
      </c>
      <c r="X125" s="376">
        <f t="shared" ca="1" si="44"/>
        <v>0</v>
      </c>
      <c r="Y125" s="376">
        <f t="shared" ca="1" si="45"/>
        <v>0</v>
      </c>
      <c r="Z125" s="376">
        <f t="shared" ca="1" si="45"/>
        <v>0</v>
      </c>
      <c r="AA125" s="376">
        <f t="shared" ca="1" si="45"/>
        <v>0</v>
      </c>
      <c r="AB125" s="376">
        <f t="shared" ca="1" si="45"/>
        <v>0</v>
      </c>
      <c r="AC125" s="376">
        <f t="shared" ca="1" si="45"/>
        <v>0</v>
      </c>
      <c r="AD125"/>
      <c r="AE125" s="370">
        <f t="shared" ca="1" si="46"/>
        <v>0</v>
      </c>
      <c r="AF125" s="377"/>
      <c r="AG125" s="370">
        <f ca="1">IF(VehOp&lt;&gt;"N",SUM($X125:AD125),0)</f>
        <v>0</v>
      </c>
    </row>
    <row r="126" spans="1:33" x14ac:dyDescent="0.25">
      <c r="B126" s="375">
        <f t="shared" si="55"/>
        <v>2029</v>
      </c>
      <c r="C126" s="401">
        <f>MAX(TREND(C120:C121,$B120:$B121,$B126),0)</f>
        <v>952668.25</v>
      </c>
      <c r="D126" s="402">
        <f>MAX(TREND(D120:D121,$B120:$B121,$B126),0)</f>
        <v>785407</v>
      </c>
      <c r="E126" s="401">
        <f>MAX(TREND(E120:E121,$B120:$B121,$B126),0)</f>
        <v>22046</v>
      </c>
      <c r="F126" s="813">
        <f>MAX(TREND(F120:F121,$B120:$B121,$B126),0)</f>
        <v>10293</v>
      </c>
      <c r="G126" s="435">
        <f t="shared" si="48"/>
        <v>43.2</v>
      </c>
      <c r="H126" s="436">
        <f t="shared" si="49"/>
        <v>76.3</v>
      </c>
      <c r="I126" s="401">
        <f>MAX(TREND(I120:I121,$B120:$B121,$B126),0)</f>
        <v>0</v>
      </c>
      <c r="J126" s="813">
        <f>MAX(TREND(J120:J121,$B120:$B121,$B126),0)</f>
        <v>0</v>
      </c>
      <c r="K126" s="402">
        <f>TREND(K120:K121,$B120:$B121,$B126)</f>
        <v>1</v>
      </c>
      <c r="L126" s="816">
        <f>MIN(MAX(TREND(L120:L121,$B120:$B121,$B126),0),1)</f>
        <v>0.24</v>
      </c>
      <c r="M126" s="406">
        <f>MIN(MAX(TREND(M120:M121,$B120:$B121,$B126),0),1)</f>
        <v>0.24</v>
      </c>
      <c r="N126" s="828">
        <f>MAX(TREND(N120:N121,$B120:$B121,$B126),0)</f>
        <v>0</v>
      </c>
      <c r="O126" s="829">
        <f>MAX(TREND(O120:O121,$B120:$B121,$B126),0)</f>
        <v>0</v>
      </c>
      <c r="P126" s="399">
        <f t="shared" si="50"/>
        <v>-7600.1295282000137</v>
      </c>
      <c r="Q126" s="706">
        <f t="shared" si="51"/>
        <v>62916.991799999974</v>
      </c>
      <c r="R126" s="400">
        <f t="shared" si="52"/>
        <v>0</v>
      </c>
      <c r="S126" s="369">
        <f t="shared" si="53"/>
        <v>55316.862271799961</v>
      </c>
      <c r="T126" s="370">
        <f t="shared" si="54"/>
        <v>42036.269010785945</v>
      </c>
      <c r="W126" s="375">
        <f t="shared" si="47"/>
        <v>2035</v>
      </c>
      <c r="X126" s="376">
        <f t="shared" ca="1" si="44"/>
        <v>0</v>
      </c>
      <c r="Y126" s="376">
        <f t="shared" ca="1" si="45"/>
        <v>0</v>
      </c>
      <c r="Z126" s="376">
        <f t="shared" ca="1" si="45"/>
        <v>0</v>
      </c>
      <c r="AA126" s="376">
        <f t="shared" ca="1" si="45"/>
        <v>0</v>
      </c>
      <c r="AB126" s="376">
        <f t="shared" ca="1" si="45"/>
        <v>0</v>
      </c>
      <c r="AC126" s="376">
        <f t="shared" ca="1" si="45"/>
        <v>0</v>
      </c>
      <c r="AD126"/>
      <c r="AE126" s="370">
        <f t="shared" ca="1" si="46"/>
        <v>0</v>
      </c>
      <c r="AF126" s="377"/>
      <c r="AG126" s="370">
        <f ca="1">IF(VehOp&lt;&gt;"N",SUM($X126:AD126),0)</f>
        <v>0</v>
      </c>
    </row>
    <row r="127" spans="1:33" x14ac:dyDescent="0.25">
      <c r="B127" s="375">
        <f t="shared" si="55"/>
        <v>2030</v>
      </c>
      <c r="C127" s="401">
        <f>MAX(TREND(C120:C121,$B120:$B121,$B127),0)</f>
        <v>964476</v>
      </c>
      <c r="D127" s="402">
        <f>MAX(TREND(D120:D121,$B120:$B121,$B127),0)</f>
        <v>795116</v>
      </c>
      <c r="E127" s="401">
        <f>MAX(TREND(E120:E121,$B120:$B121,$B127),0)</f>
        <v>22338</v>
      </c>
      <c r="F127" s="813">
        <f>MAX(TREND(F120:F121,$B120:$B121,$B127),0)</f>
        <v>10439</v>
      </c>
      <c r="G127" s="435">
        <f t="shared" si="48"/>
        <v>43.2</v>
      </c>
      <c r="H127" s="436">
        <f t="shared" si="49"/>
        <v>76.2</v>
      </c>
      <c r="I127" s="401">
        <f>MAX(TREND(I120:I121,$B120:$B121,$B127),0)</f>
        <v>0</v>
      </c>
      <c r="J127" s="813">
        <f>MAX(TREND(J120:J121,$B120:$B121,$B127),0)</f>
        <v>0</v>
      </c>
      <c r="K127" s="402">
        <f>TREND(K120:K121,$B120:$B121,$B127)</f>
        <v>1</v>
      </c>
      <c r="L127" s="816">
        <f>MIN(MAX(TREND(L120:L121,$B120:$B121,$B127),0),1)</f>
        <v>0.24</v>
      </c>
      <c r="M127" s="406">
        <f>MIN(MAX(TREND(M120:M121,$B120:$B121,$B127),0),1)</f>
        <v>0.24</v>
      </c>
      <c r="N127" s="828">
        <f>MAX(TREND(N120:N121,$B120:$B121,$B127),0)</f>
        <v>0</v>
      </c>
      <c r="O127" s="829">
        <f>MAX(TREND(O120:O121,$B120:$B121,$B127),0)</f>
        <v>0</v>
      </c>
      <c r="P127" s="399">
        <f t="shared" si="50"/>
        <v>-7690.2862656000152</v>
      </c>
      <c r="Q127" s="706">
        <f t="shared" si="51"/>
        <v>63706.457599999987</v>
      </c>
      <c r="R127" s="400">
        <f t="shared" si="52"/>
        <v>0</v>
      </c>
      <c r="S127" s="369">
        <f t="shared" si="53"/>
        <v>56016.171334399973</v>
      </c>
      <c r="T127" s="370">
        <f t="shared" si="54"/>
        <v>40930.467715758961</v>
      </c>
      <c r="W127" s="375">
        <f t="shared" si="47"/>
        <v>2036</v>
      </c>
      <c r="X127" s="376">
        <f t="shared" ca="1" si="44"/>
        <v>0</v>
      </c>
      <c r="Y127" s="376">
        <f t="shared" ref="Y127:AC136" ca="1" si="56">OFFSET($R19,MATCH(Y$20,$A:$A),0)</f>
        <v>0</v>
      </c>
      <c r="Z127" s="376">
        <f t="shared" ca="1" si="56"/>
        <v>0</v>
      </c>
      <c r="AA127" s="376">
        <f t="shared" ca="1" si="56"/>
        <v>0</v>
      </c>
      <c r="AB127" s="376">
        <f t="shared" ca="1" si="56"/>
        <v>0</v>
      </c>
      <c r="AC127" s="376">
        <f t="shared" ca="1" si="56"/>
        <v>0</v>
      </c>
      <c r="AD127"/>
      <c r="AE127" s="370">
        <f t="shared" ca="1" si="46"/>
        <v>0</v>
      </c>
      <c r="AF127" s="377"/>
      <c r="AG127" s="370">
        <f ca="1">IF(VehOp&lt;&gt;"N",SUM($X127:AD127),0)</f>
        <v>0</v>
      </c>
    </row>
    <row r="128" spans="1:33" x14ac:dyDescent="0.25">
      <c r="B128" s="375">
        <f t="shared" si="55"/>
        <v>2031</v>
      </c>
      <c r="C128" s="401">
        <f>MAX(TREND(C120:C121,$B120:$B121,$B128),0)</f>
        <v>976283.75</v>
      </c>
      <c r="D128" s="402">
        <f>MAX(TREND(D120:D121,$B120:$B121,$B128),0)</f>
        <v>804825</v>
      </c>
      <c r="E128" s="401">
        <f>MAX(TREND(E120:E121,$B120:$B121,$B128),0)</f>
        <v>22630</v>
      </c>
      <c r="F128" s="813">
        <f>MAX(TREND(F120:F121,$B120:$B121,$B128),0)</f>
        <v>10585</v>
      </c>
      <c r="G128" s="435">
        <f t="shared" si="48"/>
        <v>43.1</v>
      </c>
      <c r="H128" s="436">
        <f t="shared" si="49"/>
        <v>76</v>
      </c>
      <c r="I128" s="401">
        <f>MAX(TREND(I120:I121,$B120:$B121,$B128),0)</f>
        <v>0</v>
      </c>
      <c r="J128" s="813">
        <f>MAX(TREND(J120:J121,$B120:$B121,$B128),0)</f>
        <v>0</v>
      </c>
      <c r="K128" s="402">
        <f>TREND(K120:K121,$B120:$B121,$B128)</f>
        <v>1</v>
      </c>
      <c r="L128" s="816">
        <f>MIN(MAX(TREND(L120:L121,$B120:$B121,$B128),0),1)</f>
        <v>0.24</v>
      </c>
      <c r="M128" s="406">
        <f>MIN(MAX(TREND(M120:M121,$B120:$B121,$B128),0),1)</f>
        <v>0.24</v>
      </c>
      <c r="N128" s="828">
        <f>MAX(TREND(N120:N121,$B120:$B121,$B128),0)</f>
        <v>0</v>
      </c>
      <c r="O128" s="829">
        <f>MAX(TREND(O120:O121,$B120:$B121,$B128),0)</f>
        <v>0</v>
      </c>
      <c r="P128" s="399">
        <f t="shared" si="50"/>
        <v>-7780.4430030000058</v>
      </c>
      <c r="Q128" s="706">
        <f t="shared" si="51"/>
        <v>64495.923400000007</v>
      </c>
      <c r="R128" s="400">
        <f t="shared" si="52"/>
        <v>0</v>
      </c>
      <c r="S128" s="369">
        <f t="shared" si="53"/>
        <v>56715.480396999999</v>
      </c>
      <c r="T128" s="370">
        <f t="shared" si="54"/>
        <v>39847.544228913386</v>
      </c>
      <c r="W128" s="375">
        <f t="shared" si="47"/>
        <v>2037</v>
      </c>
      <c r="X128" s="376">
        <f t="shared" ca="1" si="44"/>
        <v>0</v>
      </c>
      <c r="Y128" s="376">
        <f t="shared" ca="1" si="56"/>
        <v>0</v>
      </c>
      <c r="Z128" s="376">
        <f t="shared" ca="1" si="56"/>
        <v>0</v>
      </c>
      <c r="AA128" s="376">
        <f t="shared" ca="1" si="56"/>
        <v>0</v>
      </c>
      <c r="AB128" s="376">
        <f t="shared" ca="1" si="56"/>
        <v>0</v>
      </c>
      <c r="AC128" s="376">
        <f t="shared" ca="1" si="56"/>
        <v>0</v>
      </c>
      <c r="AD128"/>
      <c r="AE128" s="370">
        <f t="shared" ca="1" si="46"/>
        <v>0</v>
      </c>
      <c r="AF128" s="377"/>
      <c r="AG128" s="370">
        <f ca="1">IF(VehOp&lt;&gt;"N",SUM($X128:AD128),0)</f>
        <v>0</v>
      </c>
    </row>
    <row r="129" spans="2:33" x14ac:dyDescent="0.25">
      <c r="B129" s="375">
        <f t="shared" si="55"/>
        <v>2032</v>
      </c>
      <c r="C129" s="401">
        <f>MAX(TREND(C120:C121,$B120:$B121,$B129),0)</f>
        <v>988091.5</v>
      </c>
      <c r="D129" s="402">
        <f>MAX(TREND(D120:D121,$B120:$B121,$B129),0)</f>
        <v>814534</v>
      </c>
      <c r="E129" s="401">
        <f>MAX(TREND(E120:E121,$B120:$B121,$B129),0)</f>
        <v>22922</v>
      </c>
      <c r="F129" s="813">
        <f>MAX(TREND(F120:F121,$B120:$B121,$B129),0)</f>
        <v>10731</v>
      </c>
      <c r="G129" s="435">
        <f t="shared" si="48"/>
        <v>43.1</v>
      </c>
      <c r="H129" s="436">
        <f t="shared" si="49"/>
        <v>75.900000000000006</v>
      </c>
      <c r="I129" s="401">
        <f>MAX(TREND(I120:I121,$B120:$B121,$B129),0)</f>
        <v>0</v>
      </c>
      <c r="J129" s="813">
        <f>MAX(TREND(J120:J121,$B120:$B121,$B129),0)</f>
        <v>0</v>
      </c>
      <c r="K129" s="402">
        <f>TREND(K120:K121,$B120:$B121,$B129)</f>
        <v>1</v>
      </c>
      <c r="L129" s="816">
        <f>MIN(MAX(TREND(L120:L121,$B120:$B121,$B129),0),1)</f>
        <v>0.24</v>
      </c>
      <c r="M129" s="406">
        <f>MIN(MAX(TREND(M120:M121,$B120:$B121,$B129),0),1)</f>
        <v>0.24</v>
      </c>
      <c r="N129" s="828">
        <f>MAX(TREND(N120:N121,$B120:$B121,$B129),0)</f>
        <v>0</v>
      </c>
      <c r="O129" s="829">
        <f>MAX(TREND(O120:O121,$B120:$B121,$B129),0)</f>
        <v>0</v>
      </c>
      <c r="P129" s="399">
        <f t="shared" si="50"/>
        <v>-7870.5997404000072</v>
      </c>
      <c r="Q129" s="706">
        <f t="shared" si="51"/>
        <v>65285.38920000002</v>
      </c>
      <c r="R129" s="400">
        <f t="shared" si="52"/>
        <v>0</v>
      </c>
      <c r="S129" s="369">
        <f t="shared" si="53"/>
        <v>57414.789459600011</v>
      </c>
      <c r="T129" s="370">
        <f t="shared" si="54"/>
        <v>38787.374519582903</v>
      </c>
      <c r="W129" s="375">
        <f t="shared" si="47"/>
        <v>2038</v>
      </c>
      <c r="X129" s="376">
        <f t="shared" ca="1" si="44"/>
        <v>0</v>
      </c>
      <c r="Y129" s="376">
        <f t="shared" ca="1" si="56"/>
        <v>0</v>
      </c>
      <c r="Z129" s="376">
        <f t="shared" ca="1" si="56"/>
        <v>0</v>
      </c>
      <c r="AA129" s="376">
        <f t="shared" ca="1" si="56"/>
        <v>0</v>
      </c>
      <c r="AB129" s="376">
        <f t="shared" ca="1" si="56"/>
        <v>0</v>
      </c>
      <c r="AC129" s="376">
        <f t="shared" ca="1" si="56"/>
        <v>0</v>
      </c>
      <c r="AD129"/>
      <c r="AE129" s="370">
        <f t="shared" ca="1" si="46"/>
        <v>0</v>
      </c>
      <c r="AF129" s="377"/>
      <c r="AG129" s="370">
        <f ca="1">IF(VehOp&lt;&gt;"N",SUM($X129:AD129),0)</f>
        <v>0</v>
      </c>
    </row>
    <row r="130" spans="2:33" x14ac:dyDescent="0.25">
      <c r="B130" s="375">
        <f t="shared" si="55"/>
        <v>2033</v>
      </c>
      <c r="C130" s="401">
        <f>MAX(TREND(C120:C121,$B120:$B121,$B130),0)</f>
        <v>999899.25</v>
      </c>
      <c r="D130" s="402">
        <f>MAX(TREND(D120:D121,$B120:$B121,$B130),0)</f>
        <v>824243</v>
      </c>
      <c r="E130" s="401">
        <f>MAX(TREND(E120:E121,$B120:$B121,$B130),0)</f>
        <v>23214</v>
      </c>
      <c r="F130" s="813">
        <f>MAX(TREND(F120:F121,$B120:$B121,$B130),0)</f>
        <v>10877</v>
      </c>
      <c r="G130" s="435">
        <f t="shared" si="48"/>
        <v>43.1</v>
      </c>
      <c r="H130" s="436">
        <f t="shared" si="49"/>
        <v>75.8</v>
      </c>
      <c r="I130" s="401">
        <f>MAX(TREND(I120:I121,$B120:$B121,$B130),0)</f>
        <v>0</v>
      </c>
      <c r="J130" s="813">
        <f>MAX(TREND(J120:J121,$B120:$B121,$B130),0)</f>
        <v>0</v>
      </c>
      <c r="K130" s="402">
        <f>TREND(K120:K121,$B120:$B121,$B130)</f>
        <v>1</v>
      </c>
      <c r="L130" s="816">
        <f>MIN(MAX(TREND(L120:L121,$B120:$B121,$B130),0),1)</f>
        <v>0.24</v>
      </c>
      <c r="M130" s="406">
        <f>MIN(MAX(TREND(M120:M121,$B120:$B121,$B130),0),1)</f>
        <v>0.24</v>
      </c>
      <c r="N130" s="828">
        <f>MAX(TREND(N120:N121,$B120:$B121,$B130),0)</f>
        <v>0</v>
      </c>
      <c r="O130" s="829">
        <f>MAX(TREND(O120:O121,$B120:$B121,$B130),0)</f>
        <v>0</v>
      </c>
      <c r="P130" s="399">
        <f t="shared" si="50"/>
        <v>-7960.7564778000196</v>
      </c>
      <c r="Q130" s="706">
        <f t="shared" si="51"/>
        <v>66074.854999999981</v>
      </c>
      <c r="R130" s="400">
        <f t="shared" si="52"/>
        <v>0</v>
      </c>
      <c r="S130" s="369">
        <f t="shared" si="53"/>
        <v>58114.098522199958</v>
      </c>
      <c r="T130" s="370">
        <f t="shared" si="54"/>
        <v>37749.810255010176</v>
      </c>
      <c r="W130" s="375">
        <f t="shared" si="47"/>
        <v>2039</v>
      </c>
      <c r="X130" s="376">
        <f t="shared" ca="1" si="44"/>
        <v>0</v>
      </c>
      <c r="Y130" s="376">
        <f t="shared" ca="1" si="56"/>
        <v>0</v>
      </c>
      <c r="Z130" s="376">
        <f t="shared" ca="1" si="56"/>
        <v>0</v>
      </c>
      <c r="AA130" s="376">
        <f t="shared" ca="1" si="56"/>
        <v>0</v>
      </c>
      <c r="AB130" s="376">
        <f t="shared" ca="1" si="56"/>
        <v>0</v>
      </c>
      <c r="AC130" s="376">
        <f t="shared" ca="1" si="56"/>
        <v>0</v>
      </c>
      <c r="AD130"/>
      <c r="AE130" s="370">
        <f t="shared" ca="1" si="46"/>
        <v>0</v>
      </c>
      <c r="AF130" s="377"/>
      <c r="AG130" s="370">
        <f ca="1">IF(VehOp&lt;&gt;"N",SUM($X130:AD130),0)</f>
        <v>0</v>
      </c>
    </row>
    <row r="131" spans="2:33" x14ac:dyDescent="0.25">
      <c r="B131" s="375">
        <f t="shared" si="55"/>
        <v>2034</v>
      </c>
      <c r="C131" s="401">
        <f>MAX(TREND(C120:C121,$B120:$B121,$B131),0)</f>
        <v>1011707</v>
      </c>
      <c r="D131" s="402">
        <f>MAX(TREND(D120:D121,$B120:$B121,$B131),0)</f>
        <v>833952</v>
      </c>
      <c r="E131" s="401">
        <f>MAX(TREND(E120:E121,$B120:$B121,$B131),0)</f>
        <v>23506</v>
      </c>
      <c r="F131" s="813">
        <f>MAX(TREND(F120:F121,$B120:$B121,$B131),0)</f>
        <v>11023</v>
      </c>
      <c r="G131" s="435">
        <f t="shared" si="48"/>
        <v>43</v>
      </c>
      <c r="H131" s="436">
        <f t="shared" si="49"/>
        <v>75.7</v>
      </c>
      <c r="I131" s="401">
        <f>MAX(TREND(I120:I121,$B120:$B121,$B131),0)</f>
        <v>0</v>
      </c>
      <c r="J131" s="813">
        <f>MAX(TREND(J120:J121,$B120:$B121,$B131),0)</f>
        <v>0</v>
      </c>
      <c r="K131" s="402">
        <f>TREND(K120:K121,$B120:$B121,$B131)</f>
        <v>1</v>
      </c>
      <c r="L131" s="816">
        <f>MIN(MAX(TREND(L120:L121,$B120:$B121,$B131),0),1)</f>
        <v>0.24</v>
      </c>
      <c r="M131" s="406">
        <f>MIN(MAX(TREND(M120:M121,$B120:$B121,$B131),0),1)</f>
        <v>0.24</v>
      </c>
      <c r="N131" s="828">
        <f>MAX(TREND(N120:N121,$B120:$B121,$B131),0)</f>
        <v>0</v>
      </c>
      <c r="O131" s="829">
        <f>MAX(TREND(O120:O121,$B120:$B121,$B131),0)</f>
        <v>0</v>
      </c>
      <c r="P131" s="399">
        <f t="shared" si="50"/>
        <v>-8050.9132152000002</v>
      </c>
      <c r="Q131" s="706">
        <f t="shared" si="51"/>
        <v>66864.320800000016</v>
      </c>
      <c r="R131" s="400">
        <f t="shared" si="52"/>
        <v>0</v>
      </c>
      <c r="S131" s="369">
        <f t="shared" si="53"/>
        <v>58813.407584800014</v>
      </c>
      <c r="T131" s="370">
        <f t="shared" si="54"/>
        <v>36734.680853215912</v>
      </c>
      <c r="W131" s="375">
        <f t="shared" si="47"/>
        <v>2040</v>
      </c>
      <c r="X131" s="376">
        <f t="shared" ca="1" si="44"/>
        <v>0</v>
      </c>
      <c r="Y131" s="376">
        <f t="shared" ca="1" si="56"/>
        <v>0</v>
      </c>
      <c r="Z131" s="376">
        <f t="shared" ca="1" si="56"/>
        <v>0</v>
      </c>
      <c r="AA131" s="376">
        <f t="shared" ca="1" si="56"/>
        <v>0</v>
      </c>
      <c r="AB131" s="376">
        <f t="shared" ca="1" si="56"/>
        <v>0</v>
      </c>
      <c r="AC131" s="376">
        <f t="shared" ca="1" si="56"/>
        <v>0</v>
      </c>
      <c r="AD131"/>
      <c r="AE131" s="370">
        <f t="shared" ca="1" si="46"/>
        <v>0</v>
      </c>
      <c r="AF131" s="377"/>
      <c r="AG131" s="370">
        <f ca="1">IF(VehOp&lt;&gt;"N",SUM($X131:AD131),0)</f>
        <v>0</v>
      </c>
    </row>
    <row r="132" spans="2:33" x14ac:dyDescent="0.25">
      <c r="B132" s="375">
        <f t="shared" si="55"/>
        <v>2035</v>
      </c>
      <c r="C132" s="401">
        <f>MAX(TREND(C120:C121,$B120:$B121,$B132),0)</f>
        <v>1023514.75</v>
      </c>
      <c r="D132" s="402">
        <f>MAX(TREND(D120:D121,$B120:$B121,$B132),0)</f>
        <v>843661</v>
      </c>
      <c r="E132" s="401">
        <f>MAX(TREND(E120:E121,$B120:$B121,$B132),0)</f>
        <v>23798</v>
      </c>
      <c r="F132" s="813">
        <f>MAX(TREND(F120:F121,$B120:$B121,$B132),0)</f>
        <v>11169</v>
      </c>
      <c r="G132" s="435">
        <f t="shared" si="48"/>
        <v>43</v>
      </c>
      <c r="H132" s="436">
        <f t="shared" si="49"/>
        <v>75.5</v>
      </c>
      <c r="I132" s="401">
        <f>MAX(TREND(I120:I121,$B120:$B121,$B132),0)</f>
        <v>0</v>
      </c>
      <c r="J132" s="813">
        <f>MAX(TREND(J120:J121,$B120:$B121,$B132),0)</f>
        <v>0</v>
      </c>
      <c r="K132" s="402">
        <f>TREND(K120:K121,$B120:$B121,$B132)</f>
        <v>1</v>
      </c>
      <c r="L132" s="816">
        <f>MIN(MAX(TREND(L120:L121,$B120:$B121,$B132),0),1)</f>
        <v>0.24</v>
      </c>
      <c r="M132" s="406">
        <f>MIN(MAX(TREND(M120:M121,$B120:$B121,$B132),0),1)</f>
        <v>0.24</v>
      </c>
      <c r="N132" s="828">
        <f>MAX(TREND(N120:N121,$B120:$B121,$B132),0)</f>
        <v>0</v>
      </c>
      <c r="O132" s="829">
        <f>MAX(TREND(O120:O121,$B120:$B121,$B132),0)</f>
        <v>0</v>
      </c>
      <c r="P132" s="399">
        <f t="shared" si="50"/>
        <v>-8141.0699526000126</v>
      </c>
      <c r="Q132" s="706">
        <f t="shared" si="51"/>
        <v>67653.786599999992</v>
      </c>
      <c r="R132" s="400">
        <f t="shared" si="52"/>
        <v>0</v>
      </c>
      <c r="S132" s="369">
        <f t="shared" si="53"/>
        <v>59512.716647399982</v>
      </c>
      <c r="T132" s="370">
        <f t="shared" si="54"/>
        <v>35741.795413904285</v>
      </c>
      <c r="W132" s="375">
        <f t="shared" si="47"/>
        <v>2041</v>
      </c>
      <c r="X132" s="376">
        <f t="shared" ca="1" si="44"/>
        <v>0</v>
      </c>
      <c r="Y132" s="376">
        <f t="shared" ca="1" si="56"/>
        <v>0</v>
      </c>
      <c r="Z132" s="376">
        <f t="shared" ca="1" si="56"/>
        <v>0</v>
      </c>
      <c r="AA132" s="376">
        <f t="shared" ca="1" si="56"/>
        <v>0</v>
      </c>
      <c r="AB132" s="376">
        <f t="shared" ca="1" si="56"/>
        <v>0</v>
      </c>
      <c r="AC132" s="376">
        <f t="shared" ca="1" si="56"/>
        <v>0</v>
      </c>
      <c r="AD132"/>
      <c r="AE132" s="370">
        <f t="shared" ca="1" si="46"/>
        <v>0</v>
      </c>
      <c r="AF132" s="377"/>
      <c r="AG132" s="370">
        <f ca="1">IF(VehOp&lt;&gt;"N",SUM($X132:AD132),0)</f>
        <v>0</v>
      </c>
    </row>
    <row r="133" spans="2:33" x14ac:dyDescent="0.25">
      <c r="B133" s="375">
        <f t="shared" si="55"/>
        <v>2036</v>
      </c>
      <c r="C133" s="401">
        <f>MAX(TREND(C120:C121,$B120:$B121,$B133),0)</f>
        <v>1035322.5</v>
      </c>
      <c r="D133" s="402">
        <f>MAX(TREND(D120:D121,$B120:$B121,$B133),0)</f>
        <v>853370</v>
      </c>
      <c r="E133" s="401">
        <f>MAX(TREND(E120:E121,$B120:$B121,$B133),0)</f>
        <v>24090</v>
      </c>
      <c r="F133" s="813">
        <f>MAX(TREND(F120:F121,$B120:$B121,$B133),0)</f>
        <v>11315</v>
      </c>
      <c r="G133" s="435">
        <f t="shared" si="48"/>
        <v>43</v>
      </c>
      <c r="H133" s="436">
        <f t="shared" si="49"/>
        <v>75.400000000000006</v>
      </c>
      <c r="I133" s="401">
        <f>MAX(TREND(I120:I121,$B120:$B121,$B133),0)</f>
        <v>0</v>
      </c>
      <c r="J133" s="813">
        <f>MAX(TREND(J120:J121,$B120:$B121,$B133),0)</f>
        <v>0</v>
      </c>
      <c r="K133" s="402">
        <f>TREND(K120:K121,$B120:$B121,$B133)</f>
        <v>1</v>
      </c>
      <c r="L133" s="816">
        <f>MIN(MAX(TREND(L120:L121,$B120:$B121,$B133),0),1)</f>
        <v>0.24</v>
      </c>
      <c r="M133" s="406">
        <f>MIN(MAX(TREND(M120:M121,$B120:$B121,$B133),0),1)</f>
        <v>0.24</v>
      </c>
      <c r="N133" s="828">
        <f>MAX(TREND(N120:N121,$B120:$B121,$B133),0)</f>
        <v>0</v>
      </c>
      <c r="O133" s="829">
        <f>MAX(TREND(O120:O121,$B120:$B121,$B133),0)</f>
        <v>0</v>
      </c>
      <c r="P133" s="399">
        <f t="shared" si="50"/>
        <v>-8231.2266899999922</v>
      </c>
      <c r="Q133" s="706">
        <f t="shared" si="51"/>
        <v>68443.252399999998</v>
      </c>
      <c r="R133" s="400">
        <f t="shared" si="52"/>
        <v>0</v>
      </c>
      <c r="S133" s="369">
        <f t="shared" si="53"/>
        <v>60212.025710000002</v>
      </c>
      <c r="T133" s="370">
        <f t="shared" si="54"/>
        <v>34770.944533750953</v>
      </c>
      <c r="W133" s="375">
        <f t="shared" si="47"/>
        <v>2042</v>
      </c>
      <c r="X133" s="376">
        <f t="shared" ca="1" si="44"/>
        <v>0</v>
      </c>
      <c r="Y133" s="376">
        <f t="shared" ca="1" si="56"/>
        <v>0</v>
      </c>
      <c r="Z133" s="376">
        <f t="shared" ca="1" si="56"/>
        <v>0</v>
      </c>
      <c r="AA133" s="376">
        <f t="shared" ca="1" si="56"/>
        <v>0</v>
      </c>
      <c r="AB133" s="376">
        <f t="shared" ca="1" si="56"/>
        <v>0</v>
      </c>
      <c r="AC133" s="376">
        <f t="shared" ca="1" si="56"/>
        <v>0</v>
      </c>
      <c r="AD133"/>
      <c r="AE133" s="370">
        <f t="shared" ca="1" si="46"/>
        <v>0</v>
      </c>
      <c r="AF133" s="377"/>
      <c r="AG133" s="370">
        <f ca="1">IF(VehOp&lt;&gt;"N",SUM($X133:AD133),0)</f>
        <v>0</v>
      </c>
    </row>
    <row r="134" spans="2:33" x14ac:dyDescent="0.25">
      <c r="B134" s="375">
        <f t="shared" si="55"/>
        <v>2037</v>
      </c>
      <c r="C134" s="401">
        <f>MAX(TREND(C120:C121,$B120:$B121,$B134),0)</f>
        <v>1047130.25</v>
      </c>
      <c r="D134" s="402">
        <f>MAX(TREND(D120:D121,$B120:$B121,$B134),0)</f>
        <v>863079</v>
      </c>
      <c r="E134" s="401">
        <f>MAX(TREND(E120:E121,$B120:$B121,$B134),0)</f>
        <v>24382</v>
      </c>
      <c r="F134" s="813">
        <f>MAX(TREND(F120:F121,$B120:$B121,$B134),0)</f>
        <v>11461</v>
      </c>
      <c r="G134" s="435">
        <f t="shared" si="48"/>
        <v>42.9</v>
      </c>
      <c r="H134" s="436">
        <f t="shared" si="49"/>
        <v>75.3</v>
      </c>
      <c r="I134" s="401">
        <f>MAX(TREND(I120:I121,$B120:$B121,$B134),0)</f>
        <v>0</v>
      </c>
      <c r="J134" s="813">
        <f>MAX(TREND(J120:J121,$B120:$B121,$B134),0)</f>
        <v>0</v>
      </c>
      <c r="K134" s="402">
        <f>TREND(K120:K121,$B120:$B121,$B134)</f>
        <v>1</v>
      </c>
      <c r="L134" s="816">
        <f>MIN(MAX(TREND(L120:L121,$B120:$B121,$B134),0),1)</f>
        <v>0.24</v>
      </c>
      <c r="M134" s="406">
        <f>MIN(MAX(TREND(M120:M121,$B120:$B121,$B134),0),1)</f>
        <v>0.24</v>
      </c>
      <c r="N134" s="828">
        <f>MAX(TREND(N120:N121,$B120:$B121,$B134),0)</f>
        <v>0</v>
      </c>
      <c r="O134" s="829">
        <f>MAX(TREND(O120:O121,$B120:$B121,$B134),0)</f>
        <v>0</v>
      </c>
      <c r="P134" s="399">
        <f t="shared" si="50"/>
        <v>-8630.4962772000072</v>
      </c>
      <c r="Q134" s="706">
        <f t="shared" si="51"/>
        <v>69232.718199999974</v>
      </c>
      <c r="R134" s="400">
        <f t="shared" si="52"/>
        <v>0</v>
      </c>
      <c r="S134" s="369">
        <f t="shared" si="53"/>
        <v>60602.221922799967</v>
      </c>
      <c r="T134" s="370">
        <f t="shared" si="54"/>
        <v>33650.262619283043</v>
      </c>
      <c r="W134" s="375">
        <f t="shared" si="47"/>
        <v>2043</v>
      </c>
      <c r="X134" s="376">
        <f t="shared" ca="1" si="44"/>
        <v>0</v>
      </c>
      <c r="Y134" s="376">
        <f t="shared" ca="1" si="56"/>
        <v>0</v>
      </c>
      <c r="Z134" s="376">
        <f t="shared" ca="1" si="56"/>
        <v>0</v>
      </c>
      <c r="AA134" s="376">
        <f t="shared" ca="1" si="56"/>
        <v>0</v>
      </c>
      <c r="AB134" s="376">
        <f t="shared" ca="1" si="56"/>
        <v>0</v>
      </c>
      <c r="AC134" s="376">
        <f t="shared" ca="1" si="56"/>
        <v>0</v>
      </c>
      <c r="AD134"/>
      <c r="AE134" s="370">
        <f t="shared" ca="1" si="46"/>
        <v>0</v>
      </c>
      <c r="AF134" s="377"/>
      <c r="AG134" s="370">
        <f ca="1">IF(VehOp&lt;&gt;"N",SUM($X134:AD134),0)</f>
        <v>0</v>
      </c>
    </row>
    <row r="135" spans="2:33" x14ac:dyDescent="0.25">
      <c r="B135" s="375">
        <f t="shared" si="55"/>
        <v>2038</v>
      </c>
      <c r="C135" s="401">
        <f>MAX(TREND(C120:C121,$B120:$B121,$B135),0)</f>
        <v>1058938</v>
      </c>
      <c r="D135" s="402">
        <f>MAX(TREND(D120:D121,$B120:$B121,$B135),0)</f>
        <v>872788</v>
      </c>
      <c r="E135" s="401">
        <f>MAX(TREND(E120:E121,$B120:$B121,$B135),0)</f>
        <v>24674</v>
      </c>
      <c r="F135" s="813">
        <f>MAX(TREND(F120:F121,$B120:$B121,$B135),0)</f>
        <v>11607</v>
      </c>
      <c r="G135" s="435">
        <f t="shared" si="48"/>
        <v>42.9</v>
      </c>
      <c r="H135" s="436">
        <f t="shared" si="49"/>
        <v>75.2</v>
      </c>
      <c r="I135" s="401">
        <f>MAX(TREND(I120:I121,$B120:$B121,$B135),0)</f>
        <v>0</v>
      </c>
      <c r="J135" s="813">
        <f>MAX(TREND(J120:J121,$B120:$B121,$B135),0)</f>
        <v>0</v>
      </c>
      <c r="K135" s="402">
        <f>TREND(K120:K121,$B120:$B121,$B135)</f>
        <v>1</v>
      </c>
      <c r="L135" s="816">
        <f>MIN(MAX(TREND(L120:L121,$B120:$B121,$B135),0),1)</f>
        <v>0.24</v>
      </c>
      <c r="M135" s="406">
        <f>MIN(MAX(TREND(M120:M121,$B120:$B121,$B135),0),1)</f>
        <v>0.24</v>
      </c>
      <c r="N135" s="828">
        <f>MAX(TREND(N120:N121,$B120:$B121,$B135),0)</f>
        <v>0</v>
      </c>
      <c r="O135" s="829">
        <f>MAX(TREND(O120:O121,$B120:$B121,$B135),0)</f>
        <v>0</v>
      </c>
      <c r="P135" s="399">
        <f t="shared" si="50"/>
        <v>-8724.1386624000115</v>
      </c>
      <c r="Q135" s="706">
        <f t="shared" si="51"/>
        <v>70022.183999999994</v>
      </c>
      <c r="R135" s="400">
        <f t="shared" si="52"/>
        <v>0</v>
      </c>
      <c r="S135" s="369">
        <f t="shared" si="53"/>
        <v>61298.045337599979</v>
      </c>
      <c r="T135" s="370">
        <f t="shared" si="54"/>
        <v>32727.527559305981</v>
      </c>
      <c r="W135" s="375">
        <f t="shared" si="47"/>
        <v>2044</v>
      </c>
      <c r="X135" s="376">
        <f t="shared" ca="1" si="44"/>
        <v>0</v>
      </c>
      <c r="Y135" s="376">
        <f t="shared" ca="1" si="56"/>
        <v>0</v>
      </c>
      <c r="Z135" s="376">
        <f t="shared" ca="1" si="56"/>
        <v>0</v>
      </c>
      <c r="AA135" s="376">
        <f t="shared" ca="1" si="56"/>
        <v>0</v>
      </c>
      <c r="AB135" s="376">
        <f t="shared" ca="1" si="56"/>
        <v>0</v>
      </c>
      <c r="AC135" s="376">
        <f t="shared" ca="1" si="56"/>
        <v>0</v>
      </c>
      <c r="AD135"/>
      <c r="AE135" s="370">
        <f t="shared" ca="1" si="46"/>
        <v>0</v>
      </c>
      <c r="AF135" s="377"/>
      <c r="AG135" s="370">
        <f ca="1">IF(VehOp&lt;&gt;"N",SUM($X135:AD135),0)</f>
        <v>0</v>
      </c>
    </row>
    <row r="136" spans="2:33" x14ac:dyDescent="0.25">
      <c r="B136" s="375">
        <f t="shared" si="55"/>
        <v>2039</v>
      </c>
      <c r="C136" s="401">
        <f>MAX(TREND(C120:C121,$B120:$B121,$B136),0)</f>
        <v>1070745.75</v>
      </c>
      <c r="D136" s="402">
        <f>MAX(TREND(D120:D121,$B120:$B121,$B136),0)</f>
        <v>882497</v>
      </c>
      <c r="E136" s="401">
        <f>MAX(TREND(E120:E121,$B120:$B121,$B136),0)</f>
        <v>24966</v>
      </c>
      <c r="F136" s="813">
        <f>MAX(TREND(F120:F121,$B120:$B121,$B136),0)</f>
        <v>11753</v>
      </c>
      <c r="G136" s="435">
        <f t="shared" si="48"/>
        <v>42.9</v>
      </c>
      <c r="H136" s="436">
        <f t="shared" si="49"/>
        <v>75.099999999999994</v>
      </c>
      <c r="I136" s="401">
        <f>MAX(TREND(I120:I121,$B120:$B121,$B136),0)</f>
        <v>0</v>
      </c>
      <c r="J136" s="813">
        <f>MAX(TREND(J120:J121,$B120:$B121,$B136),0)</f>
        <v>0</v>
      </c>
      <c r="K136" s="402">
        <f>TREND(K120:K121,$B120:$B121,$B136)</f>
        <v>1</v>
      </c>
      <c r="L136" s="816">
        <f>MIN(MAX(TREND(L120:L121,$B120:$B121,$B136),0),1)</f>
        <v>0.24</v>
      </c>
      <c r="M136" s="406">
        <f>MIN(MAX(TREND(M120:M121,$B120:$B121,$B136),0),1)</f>
        <v>0.24</v>
      </c>
      <c r="N136" s="828">
        <f>MAX(TREND(N120:N121,$B120:$B121,$B136),0)</f>
        <v>0</v>
      </c>
      <c r="O136" s="829">
        <f>MAX(TREND(O120:O121,$B120:$B121,$B136),0)</f>
        <v>0</v>
      </c>
      <c r="P136" s="399">
        <f t="shared" si="50"/>
        <v>-8817.781047600005</v>
      </c>
      <c r="Q136" s="706">
        <f t="shared" si="51"/>
        <v>70811.649800000014</v>
      </c>
      <c r="R136" s="400">
        <f t="shared" si="52"/>
        <v>0</v>
      </c>
      <c r="S136" s="369">
        <f t="shared" si="53"/>
        <v>61993.868752400012</v>
      </c>
      <c r="T136" s="370">
        <f t="shared" si="54"/>
        <v>31825.993624328228</v>
      </c>
      <c r="W136" s="375">
        <f t="shared" si="47"/>
        <v>2045</v>
      </c>
      <c r="X136" s="376">
        <f t="shared" ca="1" si="44"/>
        <v>0</v>
      </c>
      <c r="Y136" s="376">
        <f t="shared" ca="1" si="56"/>
        <v>0</v>
      </c>
      <c r="Z136" s="376">
        <f t="shared" ca="1" si="56"/>
        <v>0</v>
      </c>
      <c r="AA136" s="376">
        <f t="shared" ca="1" si="56"/>
        <v>0</v>
      </c>
      <c r="AB136" s="376">
        <f t="shared" ca="1" si="56"/>
        <v>0</v>
      </c>
      <c r="AC136" s="376">
        <f t="shared" ca="1" si="56"/>
        <v>0</v>
      </c>
      <c r="AD136"/>
      <c r="AE136" s="370">
        <f t="shared" ca="1" si="46"/>
        <v>0</v>
      </c>
      <c r="AF136" s="377"/>
      <c r="AG136" s="370">
        <f ca="1">IF(VehOp&lt;&gt;"N",SUM($X136:AD136),0)</f>
        <v>0</v>
      </c>
    </row>
    <row r="137" spans="2:33" x14ac:dyDescent="0.25">
      <c r="B137" s="375">
        <f t="shared" si="55"/>
        <v>2040</v>
      </c>
      <c r="C137" s="401">
        <f>MAX(TREND(C120:C121,$B120:$B121,$B137),0)</f>
        <v>1082553.5</v>
      </c>
      <c r="D137" s="402">
        <f>MAX(TREND(D120:D121,$B120:$B121,$B137),0)</f>
        <v>892206</v>
      </c>
      <c r="E137" s="401">
        <f>MAX(TREND(E120:E121,$B120:$B121,$B137),0)</f>
        <v>25258</v>
      </c>
      <c r="F137" s="813">
        <f>MAX(TREND(F120:F121,$B120:$B121,$B137),0)</f>
        <v>11899</v>
      </c>
      <c r="G137" s="435">
        <f t="shared" si="48"/>
        <v>42.9</v>
      </c>
      <c r="H137" s="436">
        <f t="shared" si="49"/>
        <v>75</v>
      </c>
      <c r="I137" s="401">
        <f>MAX(TREND(I120:I121,$B120:$B121,$B137),0)</f>
        <v>0</v>
      </c>
      <c r="J137" s="813">
        <f>MAX(TREND(J120:J121,$B120:$B121,$B137),0)</f>
        <v>0</v>
      </c>
      <c r="K137" s="402">
        <f>TREND(K120:K121,$B120:$B121,$B137)</f>
        <v>1</v>
      </c>
      <c r="L137" s="816">
        <f>MIN(MAX(TREND(L120:L121,$B120:$B121,$B137),0),1)</f>
        <v>0.24</v>
      </c>
      <c r="M137" s="406">
        <f>MIN(MAX(TREND(M120:M121,$B120:$B121,$B137),0),1)</f>
        <v>0.24</v>
      </c>
      <c r="N137" s="828">
        <f>MAX(TREND(N120:N121,$B120:$B121,$B137),0)</f>
        <v>0</v>
      </c>
      <c r="O137" s="829">
        <f>MAX(TREND(O120:O121,$B120:$B121,$B137),0)</f>
        <v>0</v>
      </c>
      <c r="P137" s="399">
        <f t="shared" si="50"/>
        <v>-8911.4234328000093</v>
      </c>
      <c r="Q137" s="706">
        <f t="shared" si="51"/>
        <v>71601.11559999999</v>
      </c>
      <c r="R137" s="400">
        <f t="shared" si="52"/>
        <v>0</v>
      </c>
      <c r="S137" s="369">
        <f t="shared" si="53"/>
        <v>62689.692167199981</v>
      </c>
      <c r="T137" s="370">
        <f t="shared" si="54"/>
        <v>30945.394951272832</v>
      </c>
      <c r="W137" s="385"/>
      <c r="X137" s="389"/>
      <c r="Y137" s="389"/>
      <c r="Z137" s="389"/>
      <c r="AA137" s="389"/>
      <c r="AB137" s="389"/>
      <c r="AC137" s="389"/>
      <c r="AD137"/>
      <c r="AE137" s="389"/>
      <c r="AF137" s="390"/>
      <c r="AG137" s="389"/>
    </row>
    <row r="138" spans="2:33" x14ac:dyDescent="0.25">
      <c r="B138" s="375">
        <f t="shared" si="55"/>
        <v>2041</v>
      </c>
      <c r="C138" s="401">
        <f>MAX(TREND(C120:C121,$B120:$B121,$B138),0)</f>
        <v>1094361.25</v>
      </c>
      <c r="D138" s="402">
        <f>MAX(TREND(D120:D121,$B120:$B121,$B138),0)</f>
        <v>901915</v>
      </c>
      <c r="E138" s="401">
        <f>MAX(TREND(E120:E121,$B120:$B121,$B138),0)</f>
        <v>25550</v>
      </c>
      <c r="F138" s="813">
        <f>MAX(TREND(F120:F121,$B120:$B121,$B138),0)</f>
        <v>12045</v>
      </c>
      <c r="G138" s="435">
        <f t="shared" si="48"/>
        <v>42.8</v>
      </c>
      <c r="H138" s="436">
        <f t="shared" si="49"/>
        <v>74.900000000000006</v>
      </c>
      <c r="I138" s="401">
        <f>MAX(TREND(I120:I121,$B120:$B121,$B138),0)</f>
        <v>0</v>
      </c>
      <c r="J138" s="813">
        <f>MAX(TREND(J120:J121,$B120:$B121,$B138),0)</f>
        <v>0</v>
      </c>
      <c r="K138" s="402">
        <f>TREND(K120:K121,$B120:$B121,$B138)</f>
        <v>1</v>
      </c>
      <c r="L138" s="816">
        <f>MIN(MAX(TREND(L120:L121,$B120:$B121,$B138),0),1)</f>
        <v>0.24</v>
      </c>
      <c r="M138" s="406">
        <f>MIN(MAX(TREND(M120:M121,$B120:$B121,$B138),0),1)</f>
        <v>0.24</v>
      </c>
      <c r="N138" s="828">
        <f>MAX(TREND(N120:N121,$B120:$B121,$B138),0)</f>
        <v>0</v>
      </c>
      <c r="O138" s="829">
        <f>MAX(TREND(O120:O121,$B120:$B121,$B138),0)</f>
        <v>0</v>
      </c>
      <c r="P138" s="399">
        <f t="shared" si="50"/>
        <v>-9005.0658180000009</v>
      </c>
      <c r="Q138" s="706">
        <f t="shared" si="51"/>
        <v>72390.58140000001</v>
      </c>
      <c r="R138" s="400">
        <f t="shared" si="52"/>
        <v>0</v>
      </c>
      <c r="S138" s="369">
        <f t="shared" si="53"/>
        <v>63385.515582000007</v>
      </c>
      <c r="T138" s="370">
        <f t="shared" si="54"/>
        <v>30085.454765457933</v>
      </c>
      <c r="W138" s="407" t="s">
        <v>56</v>
      </c>
      <c r="X138" s="408">
        <f t="shared" ref="X138:AC138" ca="1" si="57">SUM(X117:X136)</f>
        <v>0</v>
      </c>
      <c r="Y138" s="408">
        <f t="shared" ca="1" si="57"/>
        <v>0</v>
      </c>
      <c r="Z138" s="408">
        <f t="shared" ca="1" si="57"/>
        <v>0</v>
      </c>
      <c r="AA138" s="408">
        <f t="shared" ca="1" si="57"/>
        <v>0</v>
      </c>
      <c r="AB138" s="408">
        <f t="shared" ca="1" si="57"/>
        <v>0</v>
      </c>
      <c r="AC138" s="408">
        <f t="shared" ca="1" si="57"/>
        <v>0</v>
      </c>
      <c r="AD138"/>
      <c r="AE138" s="409">
        <f ca="1">SUM(AE117:AE136)</f>
        <v>0</v>
      </c>
      <c r="AF138" s="410"/>
      <c r="AG138" s="409">
        <f ca="1">SUM(AG117:AG136)</f>
        <v>0</v>
      </c>
    </row>
    <row r="139" spans="2:33" x14ac:dyDescent="0.25">
      <c r="B139" s="375">
        <f t="shared" si="55"/>
        <v>2042</v>
      </c>
      <c r="C139" s="401">
        <f>MAX(TREND(C120:C121,$B120:$B121,$B139),0)</f>
        <v>1106169</v>
      </c>
      <c r="D139" s="402">
        <f>MAX(TREND(D120:D121,$B120:$B121,$B139),0)</f>
        <v>911624</v>
      </c>
      <c r="E139" s="401">
        <f>MAX(TREND(E120:E121,$B120:$B121,$B139),0)</f>
        <v>25842</v>
      </c>
      <c r="F139" s="813">
        <f>MAX(TREND(F120:F121,$B120:$B121,$B139),0)</f>
        <v>12191</v>
      </c>
      <c r="G139" s="435">
        <f t="shared" si="48"/>
        <v>42.8</v>
      </c>
      <c r="H139" s="436">
        <f t="shared" si="49"/>
        <v>74.8</v>
      </c>
      <c r="I139" s="401">
        <f>MAX(TREND(I120:I121,$B120:$B121,$B139),0)</f>
        <v>0</v>
      </c>
      <c r="J139" s="813">
        <f>MAX(TREND(J120:J121,$B120:$B121,$B139),0)</f>
        <v>0</v>
      </c>
      <c r="K139" s="402">
        <f>TREND(K120:K121,$B120:$B121,$B139)</f>
        <v>1</v>
      </c>
      <c r="L139" s="816">
        <f>MIN(MAX(TREND(L120:L121,$B120:$B121,$B139),0),1)</f>
        <v>0.24</v>
      </c>
      <c r="M139" s="406">
        <f>MIN(MAX(TREND(M120:M121,$B120:$B121,$B139),0),1)</f>
        <v>0.24</v>
      </c>
      <c r="N139" s="828">
        <f>MAX(TREND(N120:N121,$B120:$B121,$B139),0)</f>
        <v>0</v>
      </c>
      <c r="O139" s="829">
        <f>MAX(TREND(O120:O121,$B120:$B121,$B139),0)</f>
        <v>0</v>
      </c>
      <c r="P139" s="399">
        <f t="shared" si="50"/>
        <v>-9098.7082031999944</v>
      </c>
      <c r="Q139" s="706">
        <f t="shared" si="51"/>
        <v>73180.04720000003</v>
      </c>
      <c r="R139" s="400">
        <f t="shared" si="52"/>
        <v>0</v>
      </c>
      <c r="S139" s="369">
        <f t="shared" si="53"/>
        <v>64081.338996800034</v>
      </c>
      <c r="T139" s="370">
        <f t="shared" si="54"/>
        <v>29245.886613239338</v>
      </c>
      <c r="X139" s="1"/>
      <c r="Y139" s="1"/>
      <c r="Z139" s="1"/>
      <c r="AA139" s="1"/>
      <c r="AB139" s="1"/>
      <c r="AC139" s="1"/>
      <c r="AD139"/>
    </row>
    <row r="140" spans="2:33" x14ac:dyDescent="0.25">
      <c r="B140" s="375">
        <f t="shared" si="55"/>
        <v>2043</v>
      </c>
      <c r="C140" s="401">
        <f>MAX(TREND(C120:C121,$B120:$B121,$B140),0)</f>
        <v>1117976.75</v>
      </c>
      <c r="D140" s="402">
        <f>MAX(TREND(D120:D121,$B120:$B121,$B140),0)</f>
        <v>921333</v>
      </c>
      <c r="E140" s="401">
        <f>MAX(TREND(E120:E121,$B120:$B121,$B140),0)</f>
        <v>26134</v>
      </c>
      <c r="F140" s="813">
        <f>MAX(TREND(F120:F121,$B120:$B121,$B140),0)</f>
        <v>12337</v>
      </c>
      <c r="G140" s="435">
        <f t="shared" si="48"/>
        <v>42.8</v>
      </c>
      <c r="H140" s="436">
        <f t="shared" si="49"/>
        <v>74.7</v>
      </c>
      <c r="I140" s="401">
        <f>MAX(TREND(I120:I121,$B120:$B121,$B140),0)</f>
        <v>0</v>
      </c>
      <c r="J140" s="813">
        <f>MAX(TREND(J120:J121,$B120:$B121,$B140),0)</f>
        <v>0</v>
      </c>
      <c r="K140" s="402">
        <f>TREND(K120:K121,$B120:$B121,$B140)</f>
        <v>1</v>
      </c>
      <c r="L140" s="816">
        <f>MIN(MAX(TREND(L120:L121,$B120:$B121,$B140),0),1)</f>
        <v>0.24</v>
      </c>
      <c r="M140" s="406">
        <f>MIN(MAX(TREND(M120:M121,$B120:$B121,$B140),0),1)</f>
        <v>0.24</v>
      </c>
      <c r="N140" s="828">
        <f>MAX(TREND(N120:N121,$B120:$B121,$B140),0)</f>
        <v>0</v>
      </c>
      <c r="O140" s="829">
        <f>MAX(TREND(O120:O121,$B120:$B121,$B140),0)</f>
        <v>0</v>
      </c>
      <c r="P140" s="399">
        <f t="shared" si="50"/>
        <v>-9192.3505884000078</v>
      </c>
      <c r="Q140" s="706">
        <f t="shared" si="51"/>
        <v>73969.513000000006</v>
      </c>
      <c r="R140" s="400">
        <f t="shared" si="52"/>
        <v>0</v>
      </c>
      <c r="S140" s="369">
        <f t="shared" si="53"/>
        <v>64777.162411600002</v>
      </c>
      <c r="T140" s="370">
        <f t="shared" si="54"/>
        <v>28426.395515976194</v>
      </c>
      <c r="X140" s="1"/>
      <c r="Y140" s="1"/>
      <c r="Z140" s="1"/>
      <c r="AA140" s="1"/>
      <c r="AB140" s="1"/>
      <c r="AC140" s="1"/>
      <c r="AD140"/>
    </row>
    <row r="141" spans="2:33" x14ac:dyDescent="0.25">
      <c r="B141" s="375">
        <f t="shared" si="55"/>
        <v>2044</v>
      </c>
      <c r="C141" s="401">
        <f>MAX(TREND(C120:C121,$B120:$B121,$B141),0)</f>
        <v>1129784.5</v>
      </c>
      <c r="D141" s="402">
        <f>MAX(TREND(D120:D121,$B120:$B121,$B141),0)</f>
        <v>931042</v>
      </c>
      <c r="E141" s="401">
        <f>MAX(TREND(E120:E121,$B120:$B121,$B141),0)</f>
        <v>26426</v>
      </c>
      <c r="F141" s="813">
        <f>MAX(TREND(F120:F121,$B120:$B121,$B141),0)</f>
        <v>12483</v>
      </c>
      <c r="G141" s="435">
        <f t="shared" si="48"/>
        <v>42.8</v>
      </c>
      <c r="H141" s="436">
        <f t="shared" si="49"/>
        <v>74.599999999999994</v>
      </c>
      <c r="I141" s="401">
        <f>MAX(TREND(I120:I121,$B120:$B121,$B141),0)</f>
        <v>0</v>
      </c>
      <c r="J141" s="813">
        <f>MAX(TREND(J120:J121,$B120:$B121,$B141),0)</f>
        <v>0</v>
      </c>
      <c r="K141" s="402">
        <f>TREND(K120:K121,$B120:$B121,$B141)</f>
        <v>1</v>
      </c>
      <c r="L141" s="816">
        <f>MIN(MAX(TREND(L120:L121,$B120:$B121,$B141),0),1)</f>
        <v>0.24</v>
      </c>
      <c r="M141" s="406">
        <f>MIN(MAX(TREND(M120:M121,$B120:$B121,$B141),0),1)</f>
        <v>0.24</v>
      </c>
      <c r="N141" s="828">
        <f>MAX(TREND(N120:N121,$B120:$B121,$B141),0)</f>
        <v>0</v>
      </c>
      <c r="O141" s="829">
        <f>MAX(TREND(O120:O121,$B120:$B121,$B141),0)</f>
        <v>0</v>
      </c>
      <c r="P141" s="399">
        <f t="shared" si="50"/>
        <v>-9285.9929736000231</v>
      </c>
      <c r="Q141" s="706">
        <f t="shared" si="51"/>
        <v>74758.978799999953</v>
      </c>
      <c r="R141" s="400">
        <f t="shared" si="52"/>
        <v>0</v>
      </c>
      <c r="S141" s="369">
        <f t="shared" si="53"/>
        <v>65472.985826399934</v>
      </c>
      <c r="T141" s="370">
        <f t="shared" si="54"/>
        <v>27626.67904954802</v>
      </c>
      <c r="X141" s="1"/>
      <c r="Y141" s="1"/>
      <c r="Z141" s="1"/>
      <c r="AA141" s="1"/>
      <c r="AB141" s="1"/>
      <c r="AC141" s="1"/>
      <c r="AD141"/>
    </row>
    <row r="142" spans="2:33" x14ac:dyDescent="0.25">
      <c r="B142" s="375">
        <f t="shared" si="55"/>
        <v>2045</v>
      </c>
      <c r="C142" s="401">
        <f>MAX(TREND(C120:C121,$B120:$B121,$B142),0)</f>
        <v>1141592.25</v>
      </c>
      <c r="D142" s="402">
        <f>MAX(TREND(D120:D121,$B120:$B121,$B142),0)</f>
        <v>940751</v>
      </c>
      <c r="E142" s="401">
        <f>MAX(TREND(E120:E121,$B120:$B121,$B142),0)</f>
        <v>26718</v>
      </c>
      <c r="F142" s="813">
        <f>MAX(TREND(F120:F121,$B120:$B121,$B142),0)</f>
        <v>12629</v>
      </c>
      <c r="G142" s="435">
        <f t="shared" si="48"/>
        <v>42.7</v>
      </c>
      <c r="H142" s="436">
        <f t="shared" si="49"/>
        <v>74.5</v>
      </c>
      <c r="I142" s="401">
        <f>MAX(TREND(I120:I121,$B120:$B121,$B142),0)</f>
        <v>0</v>
      </c>
      <c r="J142" s="813">
        <f>MAX(TREND(J120:J121,$B120:$B121,$B142),0)</f>
        <v>0</v>
      </c>
      <c r="K142" s="402">
        <f>TREND(K120:K121,$B120:$B121,$B142)</f>
        <v>1</v>
      </c>
      <c r="L142" s="816">
        <f>MIN(MAX(TREND(L120:L121,$B120:$B121,$B142),0),1)</f>
        <v>0.24</v>
      </c>
      <c r="M142" s="406">
        <f>MIN(MAX(TREND(M120:M121,$B120:$B121,$B142),0),1)</f>
        <v>0.24</v>
      </c>
      <c r="N142" s="828">
        <f>MAX(TREND(N120:N121,$B120:$B121,$B142),0)</f>
        <v>0</v>
      </c>
      <c r="O142" s="829">
        <f>MAX(TREND(O120:O121,$B120:$B121,$B142),0)</f>
        <v>0</v>
      </c>
      <c r="P142" s="399">
        <f t="shared" si="50"/>
        <v>-9379.6353587999947</v>
      </c>
      <c r="Q142" s="706">
        <f t="shared" si="51"/>
        <v>75548.444600000003</v>
      </c>
      <c r="R142" s="400">
        <f t="shared" si="52"/>
        <v>0</v>
      </c>
      <c r="S142" s="369">
        <f t="shared" si="53"/>
        <v>66168.809241200011</v>
      </c>
      <c r="T142" s="370">
        <f t="shared" si="54"/>
        <v>26846.428353442818</v>
      </c>
      <c r="X142" s="1"/>
      <c r="Y142" s="1"/>
      <c r="Z142" s="1"/>
      <c r="AA142" s="1"/>
      <c r="AB142" s="1"/>
      <c r="AC142" s="1"/>
      <c r="AD142"/>
    </row>
    <row r="143" spans="2:33" x14ac:dyDescent="0.25">
      <c r="B143" s="385"/>
      <c r="C143" s="386"/>
      <c r="D143" s="386"/>
      <c r="E143" s="386"/>
      <c r="F143" s="386"/>
      <c r="G143" s="388"/>
      <c r="H143" s="388"/>
      <c r="I143" s="388"/>
      <c r="J143" s="388"/>
      <c r="K143" s="388"/>
      <c r="L143" s="388"/>
      <c r="M143" s="388"/>
      <c r="N143" s="388"/>
      <c r="O143" s="388"/>
      <c r="P143" s="388"/>
      <c r="Q143" s="388"/>
      <c r="R143" s="388"/>
      <c r="S143" s="388"/>
      <c r="T143" s="389"/>
    </row>
    <row r="144" spans="2:33" x14ac:dyDescent="0.25">
      <c r="B144" s="407" t="s">
        <v>56</v>
      </c>
      <c r="C144" s="413"/>
      <c r="D144" s="414"/>
      <c r="E144" s="414"/>
      <c r="F144" s="414"/>
      <c r="G144" s="414"/>
      <c r="H144" s="414"/>
      <c r="I144" s="414"/>
      <c r="J144" s="414"/>
      <c r="K144" s="414"/>
      <c r="L144" s="414"/>
      <c r="M144" s="414"/>
      <c r="N144" s="414"/>
      <c r="O144" s="414"/>
      <c r="P144" s="414"/>
      <c r="Q144" s="415"/>
      <c r="R144" s="415"/>
      <c r="S144" s="414"/>
      <c r="T144" s="409">
        <f>SUM(T123:T142)</f>
        <v>710952.59040874813</v>
      </c>
    </row>
    <row r="145" spans="1:20" x14ac:dyDescent="0.25">
      <c r="B145" s="2"/>
      <c r="C145" s="418"/>
      <c r="D145" s="2"/>
      <c r="E145" s="2"/>
      <c r="F145" s="2"/>
      <c r="G145" s="2"/>
      <c r="H145" s="2"/>
      <c r="I145" s="2"/>
      <c r="J145" s="2"/>
      <c r="K145" s="2"/>
      <c r="L145" s="2"/>
      <c r="M145" s="2"/>
      <c r="N145" s="2"/>
      <c r="O145" s="2"/>
      <c r="P145" s="2"/>
      <c r="Q145" s="2"/>
      <c r="R145" s="2"/>
      <c r="S145" s="2"/>
      <c r="T145" s="2"/>
    </row>
    <row r="146" spans="1:20" x14ac:dyDescent="0.25">
      <c r="A146" s="1">
        <f>MAX($A$1:A145)+1</f>
        <v>5</v>
      </c>
      <c r="B146" s="319" t="str">
        <f>IF(ISBLANK(INDEX(ModelGroup,A146,1)),"Not Used",INDEX(ModelGroup,A146,1))</f>
        <v>NB Mainline</v>
      </c>
      <c r="C146" s="2"/>
      <c r="D146" s="2"/>
      <c r="E146" s="2"/>
      <c r="F146" s="2"/>
      <c r="G146" s="2"/>
      <c r="H146" s="320"/>
      <c r="I146" s="320"/>
      <c r="J146" s="320"/>
      <c r="K146" s="320"/>
      <c r="L146" s="320"/>
      <c r="M146" s="320"/>
      <c r="N146" s="320"/>
      <c r="O146" s="320"/>
      <c r="P146" s="320"/>
      <c r="Q146" s="2"/>
      <c r="R146" s="2"/>
      <c r="S146" s="2"/>
      <c r="T146" s="2"/>
    </row>
    <row r="147" spans="1:20" x14ac:dyDescent="0.25">
      <c r="B147" s="2"/>
      <c r="C147" s="2"/>
      <c r="D147" s="321"/>
      <c r="E147" s="321"/>
      <c r="F147" s="321"/>
      <c r="G147" s="2"/>
      <c r="H147" s="2"/>
      <c r="I147" s="2"/>
      <c r="J147" s="2"/>
      <c r="K147" s="2"/>
      <c r="L147" s="2"/>
      <c r="M147" s="2"/>
      <c r="N147" s="2"/>
      <c r="O147" s="2"/>
      <c r="P147" s="2"/>
      <c r="Q147" s="2"/>
      <c r="R147" s="2"/>
      <c r="S147" s="2"/>
      <c r="T147" s="149"/>
    </row>
    <row r="148" spans="1:20" ht="15.75" x14ac:dyDescent="0.25">
      <c r="B148" s="322"/>
      <c r="C148" s="325" t="s">
        <v>271</v>
      </c>
      <c r="D148" s="326"/>
      <c r="E148" s="325" t="s">
        <v>190</v>
      </c>
      <c r="F148" s="776"/>
      <c r="G148" s="325" t="s">
        <v>272</v>
      </c>
      <c r="H148" s="324"/>
      <c r="I148" s="325" t="str">
        <f>IF(INDEX(HwyTransitModelGroup,A146,1)=Hwy,"TOTAL VEHICLE TRIPS","TOTAL PERSON TRIPS")</f>
        <v>TOTAL VEHICLE TRIPS</v>
      </c>
      <c r="J148" s="324"/>
      <c r="K148" s="427"/>
      <c r="L148" s="323" t="s">
        <v>192</v>
      </c>
      <c r="M148" s="326"/>
      <c r="N148" s="323" t="s">
        <v>228</v>
      </c>
      <c r="O148" s="776"/>
      <c r="P148" s="325" t="s">
        <v>273</v>
      </c>
      <c r="Q148" s="323"/>
      <c r="R148" s="876"/>
      <c r="S148" s="329"/>
      <c r="T148" s="330"/>
    </row>
    <row r="149" spans="1:20" x14ac:dyDescent="0.25">
      <c r="B149" s="335"/>
      <c r="C149" s="338" t="s">
        <v>274</v>
      </c>
      <c r="D149" s="339"/>
      <c r="E149" s="338" t="s">
        <v>275</v>
      </c>
      <c r="F149" s="336"/>
      <c r="G149" s="338" t="s">
        <v>276</v>
      </c>
      <c r="H149" s="337"/>
      <c r="I149" s="817" t="s">
        <v>199</v>
      </c>
      <c r="J149" s="337"/>
      <c r="K149" s="428"/>
      <c r="L149" s="336" t="s">
        <v>277</v>
      </c>
      <c r="M149" s="339"/>
      <c r="N149" s="336" t="s">
        <v>230</v>
      </c>
      <c r="O149" s="336"/>
      <c r="P149" s="340" t="s">
        <v>203</v>
      </c>
      <c r="Q149" s="838"/>
      <c r="R149" s="341"/>
      <c r="S149" s="342"/>
      <c r="T149" s="343"/>
    </row>
    <row r="150" spans="1:20" x14ac:dyDescent="0.25">
      <c r="B150" s="77" t="s">
        <v>34</v>
      </c>
      <c r="C150" s="348"/>
      <c r="D150" s="349"/>
      <c r="E150" s="348"/>
      <c r="F150" s="781"/>
      <c r="G150" s="723"/>
      <c r="H150" s="349"/>
      <c r="I150" s="723"/>
      <c r="J150" s="781"/>
      <c r="K150" s="349" t="s">
        <v>278</v>
      </c>
      <c r="L150" s="348"/>
      <c r="M150" s="349"/>
      <c r="N150" s="348"/>
      <c r="O150" s="781"/>
      <c r="P150" s="350" t="s">
        <v>279</v>
      </c>
      <c r="Q150" s="839" t="s">
        <v>280</v>
      </c>
      <c r="R150" s="349" t="s">
        <v>281</v>
      </c>
      <c r="S150" s="351" t="s">
        <v>208</v>
      </c>
      <c r="T150" s="347" t="s">
        <v>39</v>
      </c>
    </row>
    <row r="151" spans="1:20" x14ac:dyDescent="0.25">
      <c r="B151" s="355"/>
      <c r="C151" s="356" t="s">
        <v>74</v>
      </c>
      <c r="D151" s="357" t="s">
        <v>125</v>
      </c>
      <c r="E151" s="356" t="s">
        <v>74</v>
      </c>
      <c r="F151" s="783" t="s">
        <v>125</v>
      </c>
      <c r="G151" s="724" t="s">
        <v>74</v>
      </c>
      <c r="H151" s="357" t="s">
        <v>125</v>
      </c>
      <c r="I151" s="724" t="s">
        <v>74</v>
      </c>
      <c r="J151" s="783" t="s">
        <v>125</v>
      </c>
      <c r="K151" s="357" t="s">
        <v>125</v>
      </c>
      <c r="L151" s="356" t="s">
        <v>74</v>
      </c>
      <c r="M151" s="357" t="s">
        <v>125</v>
      </c>
      <c r="N151" s="356" t="s">
        <v>74</v>
      </c>
      <c r="O151" s="783" t="s">
        <v>125</v>
      </c>
      <c r="P151" s="358" t="s">
        <v>283</v>
      </c>
      <c r="Q151" s="840" t="s">
        <v>283</v>
      </c>
      <c r="R151" s="357" t="s">
        <v>284</v>
      </c>
      <c r="S151" s="359" t="s">
        <v>48</v>
      </c>
      <c r="T151" s="360" t="s">
        <v>49</v>
      </c>
    </row>
    <row r="152" spans="1:20" x14ac:dyDescent="0.25">
      <c r="B152" s="363">
        <f>YearFirst</f>
        <v>2026</v>
      </c>
      <c r="C152" s="364">
        <f>INDEX(ModelData1NB,A146,2)*AnnualFactor</f>
        <v>18439070</v>
      </c>
      <c r="D152" s="365">
        <f>INDEX(ModelData1B,A146,2)*AnnualFactor</f>
        <v>17158285</v>
      </c>
      <c r="E152" s="364">
        <f>IF(INDEX(HwyTransitModelGroup,A146,1)=Hwy,INDEX(ModelData1NB,A146,3),0)*AnnualFactor</f>
        <v>265720</v>
      </c>
      <c r="F152" s="365">
        <f>IF(INDEX(HwyTransitModelGroup,A146,1)=Hwy,INDEX(ModelData1B,A146,3),0)*AnnualFactor</f>
        <v>246740</v>
      </c>
      <c r="G152" s="429">
        <f>IF(E152=0,55,MAX(5,ROUND(C152/E152,1)))</f>
        <v>69.400000000000006</v>
      </c>
      <c r="H152" s="430">
        <f>IF(F152=0,55,MAX(5,ROUND(D152/F152,1)))</f>
        <v>69.5</v>
      </c>
      <c r="I152" s="364">
        <f>INDEX(ModelData1NB,A146,1)*AnnualFactor</f>
        <v>0</v>
      </c>
      <c r="J152" s="914">
        <f>INDEX(ModelData1B,A146,1)*AnnualFactor</f>
        <v>0</v>
      </c>
      <c r="K152" s="918">
        <f>'Travel Time'!O152</f>
        <v>1</v>
      </c>
      <c r="L152" s="818">
        <f>INDEX(ModelData1NB,A146,9)</f>
        <v>0.24</v>
      </c>
      <c r="M152" s="819">
        <f>INDEX(ModelData1B,A146,9)</f>
        <v>0.24</v>
      </c>
      <c r="N152" s="822">
        <f>INDEX(ModelData1NB,A146,6)</f>
        <v>0</v>
      </c>
      <c r="O152" s="823">
        <f>INDEX(ModelData1B,A146,6)</f>
        <v>0</v>
      </c>
      <c r="P152" s="367">
        <f>(C152*(1-L152)*VLOOKUP(G152,FuelCon,2)-D152*(1-M152)*VLOOKUP(H152,FuelCon,2))*FuelAuto+(C152*L152*VLOOKUP(G152,FuelCon,3)-D152*M152*VLOOKUP(H152,FuelCon,3))*FuelTruck</f>
        <v>202261.56720000011</v>
      </c>
      <c r="Q152" s="701">
        <f>(C152*(1-L152)-D152*(1-M152))*NonFuelAuto+(C152*L152-D152*M152)*NonFuelTruck</f>
        <v>481780.08559999982</v>
      </c>
      <c r="R152" s="368">
        <f>I152*N152-K152*O152</f>
        <v>0</v>
      </c>
      <c r="S152" s="369">
        <f>SUM(P152:R152)</f>
        <v>684041.65279999992</v>
      </c>
      <c r="T152" s="370">
        <f>S152/(1+DiscRate)^(B152-YearCurrent)</f>
        <v>584721.67165234045</v>
      </c>
    </row>
    <row r="153" spans="1:20" x14ac:dyDescent="0.25">
      <c r="B153" s="379">
        <f>YearLast</f>
        <v>2046</v>
      </c>
      <c r="C153" s="380">
        <f>INDEX(ModelData20NB,A146,2)*AnnualFactor</f>
        <v>23407085</v>
      </c>
      <c r="D153" s="381">
        <f>INDEX(ModelData20B,A146,2)*AnnualFactor</f>
        <v>20692945</v>
      </c>
      <c r="E153" s="380">
        <f>IF(INDEX(HwyTransitModelGroup,A146,1)=Hwy,INDEX(ModelData20NB,A146,3),0)*AnnualFactor</f>
        <v>338720</v>
      </c>
      <c r="F153" s="381">
        <f>IF(INDEX(HwyTransitModelGroup,A146,1)=Hwy,INDEX(ModelData20B,A146,3),0)*AnnualFactor</f>
        <v>298570</v>
      </c>
      <c r="G153" s="432">
        <f>IF(E153=0,55,MAX(5,ROUND(C153/E153,1)))</f>
        <v>69.099999999999994</v>
      </c>
      <c r="H153" s="433">
        <f>IF(F153=0,55,MAX(5,ROUND(D153/F153,1)))</f>
        <v>69.3</v>
      </c>
      <c r="I153" s="380">
        <f>INDEX(ModelData20NB,A146,1)*AnnualFactor</f>
        <v>0</v>
      </c>
      <c r="J153" s="381">
        <f>INDEX(ModelData20B,A146,1)*AnnualFactor</f>
        <v>0</v>
      </c>
      <c r="K153" s="917">
        <f>'Travel Time'!O153</f>
        <v>1</v>
      </c>
      <c r="L153" s="820">
        <f>INDEX(ModelData20NB,A146,9)</f>
        <v>0.24</v>
      </c>
      <c r="M153" s="821">
        <f>INDEX(ModelData20B,A146,9)</f>
        <v>0.24</v>
      </c>
      <c r="N153" s="824">
        <f>INDEX(ModelData20NB,A146,6)</f>
        <v>0</v>
      </c>
      <c r="O153" s="825">
        <f>INDEX(ModelData20B,A146,6)</f>
        <v>0</v>
      </c>
      <c r="P153" s="383">
        <f>(C153*(1-L153)*VLOOKUP(G153,FuelCon,2)-D153*(1-M153)*VLOOKUP(H153,FuelCon,2))*FuelAuto+(C153*L153*VLOOKUP(G153,FuelCon,3)-D153*M153*VLOOKUP(H153,FuelCon,3))*FuelTruck</f>
        <v>428616.98880000017</v>
      </c>
      <c r="Q153" s="702">
        <f>(C153*(1-L153)-D153*(1-M153))*NonFuelAuto+(C153*L153-D153*M153)*NonFuelTruck</f>
        <v>1020950.9024000005</v>
      </c>
      <c r="R153" s="384">
        <f>I153*N153-K153*O153</f>
        <v>0</v>
      </c>
      <c r="S153" s="369">
        <f>SUM(P153:R153)</f>
        <v>1449567.8912000007</v>
      </c>
      <c r="T153" s="370">
        <f>S153/(1+DiscRate)^(B153-YearCurrent)</f>
        <v>565507.56287684466</v>
      </c>
    </row>
    <row r="154" spans="1:20" x14ac:dyDescent="0.25">
      <c r="B154" s="385"/>
      <c r="C154" s="388"/>
      <c r="D154" s="388"/>
      <c r="E154" s="388"/>
      <c r="F154" s="388"/>
      <c r="G154" s="814"/>
      <c r="H154" s="815"/>
      <c r="I154" s="814"/>
      <c r="J154" s="434"/>
      <c r="K154" s="916"/>
      <c r="L154" s="434"/>
      <c r="M154" s="434"/>
      <c r="N154" s="434"/>
      <c r="O154" s="434"/>
      <c r="P154" s="388"/>
      <c r="Q154" s="388"/>
      <c r="R154" s="388"/>
      <c r="S154" s="388"/>
      <c r="T154" s="389"/>
    </row>
    <row r="155" spans="1:20" x14ac:dyDescent="0.25">
      <c r="B155" s="375">
        <f>YearOpen</f>
        <v>2026</v>
      </c>
      <c r="C155" s="401">
        <f>MAX(TREND(C152:C153,$B152:$B153,$B155),0)</f>
        <v>18439070</v>
      </c>
      <c r="D155" s="402">
        <f>MAX(TREND(D152:D153,$B152:$B153,$B155),0)</f>
        <v>17158285</v>
      </c>
      <c r="E155" s="401">
        <f>MAX(TREND(E152:E153,$B152:$B153,$B155),0)</f>
        <v>265720</v>
      </c>
      <c r="F155" s="813">
        <f>MAX(TREND(F152:F153,$B152:$B153,$B155),0)</f>
        <v>246740</v>
      </c>
      <c r="G155" s="435">
        <f t="shared" ref="G155:G174" si="58">IF(E155=0,55,MAX(5,ROUND(C155/E155,1)))</f>
        <v>69.400000000000006</v>
      </c>
      <c r="H155" s="436">
        <f t="shared" ref="H155:H174" si="59">IF(F155=0,55,MAX(5,ROUND(D155/F155,1)))</f>
        <v>69.5</v>
      </c>
      <c r="I155" s="393">
        <f>MAX(TREND(I152:I153,$B152:$B153,$B155),0)</f>
        <v>0</v>
      </c>
      <c r="J155" s="915">
        <f>MAX(TREND(J152:J153,$B152:$B153,$B155),0)</f>
        <v>0</v>
      </c>
      <c r="K155" s="394">
        <f>TREND(K152:K153,$B152:$B153,$B155)</f>
        <v>1</v>
      </c>
      <c r="L155" s="816">
        <f>MIN(MAX(TREND(L152:L153,$B152:$B153,$B155),0),1)</f>
        <v>0.24</v>
      </c>
      <c r="M155" s="406">
        <f>MIN(MAX(TREND(M152:M153,$B152:$B153,$B155),0),1)</f>
        <v>0.24</v>
      </c>
      <c r="N155" s="826">
        <f>MAX(TREND(N152:N153,$B152:$B153,$B155),0)</f>
        <v>0</v>
      </c>
      <c r="O155" s="827">
        <f>MAX(TREND(O152:O153,$B152:$B153,$B155),0)</f>
        <v>0</v>
      </c>
      <c r="P155" s="367">
        <f t="shared" ref="P155:P174" si="60">(C155*(1-L155)*VLOOKUP(G155,FuelCon,2)-D155*(1-M155)*VLOOKUP(H155,FuelCon,2))*FuelAuto+(C155*L155*VLOOKUP(G155,FuelCon,3)-D155*M155*VLOOKUP(H155,FuelCon,3))*FuelTruck</f>
        <v>202261.56720000011</v>
      </c>
      <c r="Q155" s="701">
        <f t="shared" ref="Q155:Q174" si="61">(C155*(1-L155)-D155*(1-M155))*NonFuelAuto+(C155*L155-D155*M155)*NonFuelTruck</f>
        <v>481780.08559999982</v>
      </c>
      <c r="R155" s="368">
        <f t="shared" ref="R155:R174" si="62">I155*N155-K155*O155</f>
        <v>0</v>
      </c>
      <c r="S155" s="369">
        <f t="shared" ref="S155:S174" si="63">SUM(P155:R155)</f>
        <v>684041.65279999992</v>
      </c>
      <c r="T155" s="370">
        <f t="shared" ref="T155:T174" si="64">S155/(1+DiscRate)^(B155-YearCurrent)</f>
        <v>584721.67165234045</v>
      </c>
    </row>
    <row r="156" spans="1:20" x14ac:dyDescent="0.25">
      <c r="B156" s="375">
        <f>B155+1</f>
        <v>2027</v>
      </c>
      <c r="C156" s="401">
        <f>MAX(TREND(C152:C153,$B152:$B153,$B156),0)</f>
        <v>18687470.75</v>
      </c>
      <c r="D156" s="402">
        <f>MAX(TREND(D152:D153,$B152:$B153,$B156),0)</f>
        <v>17335018</v>
      </c>
      <c r="E156" s="401">
        <f>MAX(TREND(E152:E153,$B152:$B153,$B156),0)</f>
        <v>269370</v>
      </c>
      <c r="F156" s="813">
        <f>MAX(TREND(F152:F153,$B152:$B153,$B156),0)</f>
        <v>249331.5</v>
      </c>
      <c r="G156" s="435">
        <f t="shared" si="58"/>
        <v>69.400000000000006</v>
      </c>
      <c r="H156" s="436">
        <f t="shared" si="59"/>
        <v>69.5</v>
      </c>
      <c r="I156" s="401">
        <f>MAX(TREND(I152:I153,$B152:$B153,$B156),0)</f>
        <v>0</v>
      </c>
      <c r="J156" s="813">
        <f>MAX(TREND(J152:J153,$B152:$B153,$B156),0)</f>
        <v>0</v>
      </c>
      <c r="K156" s="402">
        <f>TREND(K152:K153,$B152:$B153,$B156)</f>
        <v>1</v>
      </c>
      <c r="L156" s="816">
        <f>MIN(MAX(TREND(L152:L153,$B152:$B153,$B156),0),1)</f>
        <v>0.24</v>
      </c>
      <c r="M156" s="406">
        <f>MIN(MAX(TREND(M152:M153,$B152:$B153,$B156),0),1)</f>
        <v>0.24</v>
      </c>
      <c r="N156" s="828">
        <f>MAX(TREND(N152:N153,$B152:$B153,$B156),0)</f>
        <v>0</v>
      </c>
      <c r="O156" s="829">
        <f>MAX(TREND(O152:O153,$B152:$B153,$B156),0)</f>
        <v>0</v>
      </c>
      <c r="P156" s="399">
        <f t="shared" si="60"/>
        <v>213579.33827999994</v>
      </c>
      <c r="Q156" s="706">
        <f t="shared" si="61"/>
        <v>508738.62643999979</v>
      </c>
      <c r="R156" s="400">
        <f t="shared" si="62"/>
        <v>0</v>
      </c>
      <c r="S156" s="369">
        <f t="shared" si="63"/>
        <v>722317.9647199997</v>
      </c>
      <c r="T156" s="370">
        <f t="shared" si="64"/>
        <v>593692.71490261273</v>
      </c>
    </row>
    <row r="157" spans="1:20" x14ac:dyDescent="0.25">
      <c r="B157" s="375">
        <f t="shared" ref="B157:B174" si="65">B156+1</f>
        <v>2028</v>
      </c>
      <c r="C157" s="401">
        <f>MAX(TREND(C152:C153,$B152:$B153,$B157),0)</f>
        <v>18935871.5</v>
      </c>
      <c r="D157" s="402">
        <f>MAX(TREND(D152:D153,$B152:$B153,$B157),0)</f>
        <v>17511751</v>
      </c>
      <c r="E157" s="401">
        <f>MAX(TREND(E152:E153,$B152:$B153,$B157),0)</f>
        <v>273020</v>
      </c>
      <c r="F157" s="813">
        <f>MAX(TREND(F152:F153,$B152:$B153,$B157),0)</f>
        <v>251923</v>
      </c>
      <c r="G157" s="435">
        <f t="shared" si="58"/>
        <v>69.400000000000006</v>
      </c>
      <c r="H157" s="436">
        <f t="shared" si="59"/>
        <v>69.5</v>
      </c>
      <c r="I157" s="401">
        <f>MAX(TREND(I152:I153,$B152:$B153,$B157),0)</f>
        <v>0</v>
      </c>
      <c r="J157" s="813">
        <f>MAX(TREND(J152:J153,$B152:$B153,$B157),0)</f>
        <v>0</v>
      </c>
      <c r="K157" s="402">
        <f>TREND(K152:K153,$B152:$B153,$B157)</f>
        <v>1</v>
      </c>
      <c r="L157" s="816">
        <f>MIN(MAX(TREND(L152:L153,$B152:$B153,$B157),0),1)</f>
        <v>0.24</v>
      </c>
      <c r="M157" s="406">
        <f>MIN(MAX(TREND(M152:M153,$B152:$B153,$B157),0),1)</f>
        <v>0.24</v>
      </c>
      <c r="N157" s="828">
        <f>MAX(TREND(N152:N153,$B152:$B153,$B157),0)</f>
        <v>0</v>
      </c>
      <c r="O157" s="829">
        <f>MAX(TREND(O152:O153,$B152:$B153,$B157),0)</f>
        <v>0</v>
      </c>
      <c r="P157" s="399">
        <f t="shared" si="60"/>
        <v>224897.10935999994</v>
      </c>
      <c r="Q157" s="706">
        <f t="shared" si="61"/>
        <v>535697.16727999994</v>
      </c>
      <c r="R157" s="400">
        <f t="shared" si="62"/>
        <v>0</v>
      </c>
      <c r="S157" s="369">
        <f t="shared" si="63"/>
        <v>760594.27663999982</v>
      </c>
      <c r="T157" s="370">
        <f t="shared" si="64"/>
        <v>601108.70501580474</v>
      </c>
    </row>
    <row r="158" spans="1:20" x14ac:dyDescent="0.25">
      <c r="B158" s="375">
        <f t="shared" si="65"/>
        <v>2029</v>
      </c>
      <c r="C158" s="401">
        <f>MAX(TREND(C152:C153,$B152:$B153,$B158),0)</f>
        <v>19184272.25</v>
      </c>
      <c r="D158" s="402">
        <f>MAX(TREND(D152:D153,$B152:$B153,$B158),0)</f>
        <v>17688484</v>
      </c>
      <c r="E158" s="401">
        <f>MAX(TREND(E152:E153,$B152:$B153,$B158),0)</f>
        <v>276670</v>
      </c>
      <c r="F158" s="813">
        <f>MAX(TREND(F152:F153,$B152:$B153,$B158),0)</f>
        <v>254514.5</v>
      </c>
      <c r="G158" s="435">
        <f t="shared" si="58"/>
        <v>69.3</v>
      </c>
      <c r="H158" s="436">
        <f t="shared" si="59"/>
        <v>69.5</v>
      </c>
      <c r="I158" s="401">
        <f>MAX(TREND(I152:I153,$B152:$B153,$B158),0)</f>
        <v>0</v>
      </c>
      <c r="J158" s="813">
        <f>MAX(TREND(J152:J153,$B152:$B153,$B158),0)</f>
        <v>0</v>
      </c>
      <c r="K158" s="402">
        <f>TREND(K152:K153,$B152:$B153,$B158)</f>
        <v>1</v>
      </c>
      <c r="L158" s="816">
        <f>MIN(MAX(TREND(L152:L153,$B152:$B153,$B158),0),1)</f>
        <v>0.24</v>
      </c>
      <c r="M158" s="406">
        <f>MIN(MAX(TREND(M152:M153,$B152:$B153,$B158),0),1)</f>
        <v>0.24</v>
      </c>
      <c r="N158" s="828">
        <f>MAX(TREND(N152:N153,$B152:$B153,$B158),0)</f>
        <v>0</v>
      </c>
      <c r="O158" s="829">
        <f>MAX(TREND(O152:O153,$B152:$B153,$B158),0)</f>
        <v>0</v>
      </c>
      <c r="P158" s="399">
        <f t="shared" si="60"/>
        <v>236214.88044000012</v>
      </c>
      <c r="Q158" s="706">
        <f t="shared" si="61"/>
        <v>562655.70811999997</v>
      </c>
      <c r="R158" s="400">
        <f t="shared" si="62"/>
        <v>0</v>
      </c>
      <c r="S158" s="369">
        <f t="shared" si="63"/>
        <v>798870.58856000006</v>
      </c>
      <c r="T158" s="370">
        <f t="shared" si="64"/>
        <v>607075.99068996042</v>
      </c>
    </row>
    <row r="159" spans="1:20" x14ac:dyDescent="0.25">
      <c r="B159" s="375">
        <f t="shared" si="65"/>
        <v>2030</v>
      </c>
      <c r="C159" s="401">
        <f>MAX(TREND(C152:C153,$B152:$B153,$B159),0)</f>
        <v>19432673</v>
      </c>
      <c r="D159" s="402">
        <f>MAX(TREND(D152:D153,$B152:$B153,$B159),0)</f>
        <v>17865217</v>
      </c>
      <c r="E159" s="401">
        <f>MAX(TREND(E152:E153,$B152:$B153,$B159),0)</f>
        <v>280320</v>
      </c>
      <c r="F159" s="813">
        <f>MAX(TREND(F152:F153,$B152:$B153,$B159),0)</f>
        <v>257106</v>
      </c>
      <c r="G159" s="435">
        <f t="shared" si="58"/>
        <v>69.3</v>
      </c>
      <c r="H159" s="436">
        <f t="shared" si="59"/>
        <v>69.5</v>
      </c>
      <c r="I159" s="401">
        <f>MAX(TREND(I152:I153,$B152:$B153,$B159),0)</f>
        <v>0</v>
      </c>
      <c r="J159" s="813">
        <f>MAX(TREND(J152:J153,$B152:$B153,$B159),0)</f>
        <v>0</v>
      </c>
      <c r="K159" s="402">
        <f>TREND(K152:K153,$B152:$B153,$B159)</f>
        <v>1</v>
      </c>
      <c r="L159" s="816">
        <f>MIN(MAX(TREND(L152:L153,$B152:$B153,$B159),0),1)</f>
        <v>0.24</v>
      </c>
      <c r="M159" s="406">
        <f>MIN(MAX(TREND(M152:M153,$B152:$B153,$B159),0),1)</f>
        <v>0.24</v>
      </c>
      <c r="N159" s="828">
        <f>MAX(TREND(N152:N153,$B152:$B153,$B159),0)</f>
        <v>0</v>
      </c>
      <c r="O159" s="829">
        <f>MAX(TREND(O152:O153,$B152:$B153,$B159),0)</f>
        <v>0</v>
      </c>
      <c r="P159" s="399">
        <f t="shared" si="60"/>
        <v>247532.65151999996</v>
      </c>
      <c r="Q159" s="706">
        <f t="shared" si="61"/>
        <v>589614.24895999988</v>
      </c>
      <c r="R159" s="400">
        <f t="shared" si="62"/>
        <v>0</v>
      </c>
      <c r="S159" s="369">
        <f t="shared" si="63"/>
        <v>837146.90047999984</v>
      </c>
      <c r="T159" s="370">
        <f t="shared" si="64"/>
        <v>611695.04032850638</v>
      </c>
    </row>
    <row r="160" spans="1:20" x14ac:dyDescent="0.25">
      <c r="B160" s="375">
        <f t="shared" si="65"/>
        <v>2031</v>
      </c>
      <c r="C160" s="401">
        <f>MAX(TREND(C152:C153,$B152:$B153,$B160),0)</f>
        <v>19681073.75</v>
      </c>
      <c r="D160" s="402">
        <f>MAX(TREND(D152:D153,$B152:$B153,$B160),0)</f>
        <v>18041950</v>
      </c>
      <c r="E160" s="401">
        <f>MAX(TREND(E152:E153,$B152:$B153,$B160),0)</f>
        <v>283970</v>
      </c>
      <c r="F160" s="813">
        <f>MAX(TREND(F152:F153,$B152:$B153,$B160),0)</f>
        <v>259697.5</v>
      </c>
      <c r="G160" s="435">
        <f t="shared" si="58"/>
        <v>69.3</v>
      </c>
      <c r="H160" s="436">
        <f t="shared" si="59"/>
        <v>69.5</v>
      </c>
      <c r="I160" s="401">
        <f>MAX(TREND(I152:I153,$B152:$B153,$B160),0)</f>
        <v>0</v>
      </c>
      <c r="J160" s="813">
        <f>MAX(TREND(J152:J153,$B152:$B153,$B160),0)</f>
        <v>0</v>
      </c>
      <c r="K160" s="402">
        <f>TREND(K152:K153,$B152:$B153,$B160)</f>
        <v>1</v>
      </c>
      <c r="L160" s="816">
        <f>MIN(MAX(TREND(L152:L153,$B152:$B153,$B160),0),1)</f>
        <v>0.24</v>
      </c>
      <c r="M160" s="406">
        <f>MIN(MAX(TREND(M152:M153,$B152:$B153,$B160),0),1)</f>
        <v>0.24</v>
      </c>
      <c r="N160" s="828">
        <f>MAX(TREND(N152:N153,$B152:$B153,$B160),0)</f>
        <v>0</v>
      </c>
      <c r="O160" s="829">
        <f>MAX(TREND(O152:O153,$B152:$B153,$B160),0)</f>
        <v>0</v>
      </c>
      <c r="P160" s="399">
        <f t="shared" si="60"/>
        <v>258850.42260000028</v>
      </c>
      <c r="Q160" s="706">
        <f t="shared" si="61"/>
        <v>616572.78980000038</v>
      </c>
      <c r="R160" s="400">
        <f t="shared" si="62"/>
        <v>0</v>
      </c>
      <c r="S160" s="369">
        <f t="shared" si="63"/>
        <v>875423.21240000066</v>
      </c>
      <c r="T160" s="370">
        <f t="shared" si="64"/>
        <v>615060.73705004959</v>
      </c>
    </row>
    <row r="161" spans="2:20" x14ac:dyDescent="0.25">
      <c r="B161" s="375">
        <f t="shared" si="65"/>
        <v>2032</v>
      </c>
      <c r="C161" s="401">
        <f>MAX(TREND(C152:C153,$B152:$B153,$B161),0)</f>
        <v>19929474.5</v>
      </c>
      <c r="D161" s="402">
        <f>MAX(TREND(D152:D153,$B152:$B153,$B161),0)</f>
        <v>18218683</v>
      </c>
      <c r="E161" s="401">
        <f>MAX(TREND(E152:E153,$B152:$B153,$B161),0)</f>
        <v>287620</v>
      </c>
      <c r="F161" s="813">
        <f>MAX(TREND(F152:F153,$B152:$B153,$B161),0)</f>
        <v>262289</v>
      </c>
      <c r="G161" s="435">
        <f t="shared" si="58"/>
        <v>69.3</v>
      </c>
      <c r="H161" s="436">
        <f t="shared" si="59"/>
        <v>69.5</v>
      </c>
      <c r="I161" s="401">
        <f>MAX(TREND(I152:I153,$B152:$B153,$B161),0)</f>
        <v>0</v>
      </c>
      <c r="J161" s="813">
        <f>MAX(TREND(J152:J153,$B152:$B153,$B161),0)</f>
        <v>0</v>
      </c>
      <c r="K161" s="402">
        <f>TREND(K152:K153,$B152:$B153,$B161)</f>
        <v>1</v>
      </c>
      <c r="L161" s="816">
        <f>MIN(MAX(TREND(L152:L153,$B152:$B153,$B161),0),1)</f>
        <v>0.24</v>
      </c>
      <c r="M161" s="406">
        <f>MIN(MAX(TREND(M152:M153,$B152:$B153,$B161),0),1)</f>
        <v>0.24</v>
      </c>
      <c r="N161" s="828">
        <f>MAX(TREND(N152:N153,$B152:$B153,$B161),0)</f>
        <v>0</v>
      </c>
      <c r="O161" s="829">
        <f>MAX(TREND(O152:O153,$B152:$B153,$B161),0)</f>
        <v>0</v>
      </c>
      <c r="P161" s="399">
        <f t="shared" si="60"/>
        <v>270168.19368000026</v>
      </c>
      <c r="Q161" s="706">
        <f t="shared" si="61"/>
        <v>643531.33064000029</v>
      </c>
      <c r="R161" s="400">
        <f t="shared" si="62"/>
        <v>0</v>
      </c>
      <c r="S161" s="369">
        <f t="shared" si="63"/>
        <v>913699.52432000055</v>
      </c>
      <c r="T161" s="370">
        <f t="shared" si="64"/>
        <v>617262.65970376867</v>
      </c>
    </row>
    <row r="162" spans="2:20" x14ac:dyDescent="0.25">
      <c r="B162" s="375">
        <f t="shared" si="65"/>
        <v>2033</v>
      </c>
      <c r="C162" s="401">
        <f>MAX(TREND(C152:C153,$B152:$B153,$B162),0)</f>
        <v>20177875.25</v>
      </c>
      <c r="D162" s="402">
        <f>MAX(TREND(D152:D153,$B152:$B153,$B162),0)</f>
        <v>18395416</v>
      </c>
      <c r="E162" s="401">
        <f>MAX(TREND(E152:E153,$B152:$B153,$B162),0)</f>
        <v>291270</v>
      </c>
      <c r="F162" s="813">
        <f>MAX(TREND(F152:F153,$B152:$B153,$B162),0)</f>
        <v>264880.5</v>
      </c>
      <c r="G162" s="435">
        <f t="shared" si="58"/>
        <v>69.3</v>
      </c>
      <c r="H162" s="436">
        <f t="shared" si="59"/>
        <v>69.400000000000006</v>
      </c>
      <c r="I162" s="401">
        <f>MAX(TREND(I152:I153,$B152:$B153,$B162),0)</f>
        <v>0</v>
      </c>
      <c r="J162" s="813">
        <f>MAX(TREND(J152:J153,$B152:$B153,$B162),0)</f>
        <v>0</v>
      </c>
      <c r="K162" s="402">
        <f>TREND(K152:K153,$B152:$B153,$B162)</f>
        <v>1</v>
      </c>
      <c r="L162" s="816">
        <f>MIN(MAX(TREND(L152:L153,$B152:$B153,$B162),0),1)</f>
        <v>0.24</v>
      </c>
      <c r="M162" s="406">
        <f>MIN(MAX(TREND(M152:M153,$B152:$B153,$B162),0),1)</f>
        <v>0.24</v>
      </c>
      <c r="N162" s="828">
        <f>MAX(TREND(N152:N153,$B152:$B153,$B162),0)</f>
        <v>0</v>
      </c>
      <c r="O162" s="829">
        <f>MAX(TREND(O152:O153,$B152:$B153,$B162),0)</f>
        <v>0</v>
      </c>
      <c r="P162" s="399">
        <f t="shared" si="60"/>
        <v>281485.96475999994</v>
      </c>
      <c r="Q162" s="706">
        <f t="shared" si="61"/>
        <v>670489.87147999962</v>
      </c>
      <c r="R162" s="400">
        <f t="shared" si="62"/>
        <v>0</v>
      </c>
      <c r="S162" s="369">
        <f t="shared" si="63"/>
        <v>951975.83623999963</v>
      </c>
      <c r="T162" s="370">
        <f t="shared" si="64"/>
        <v>618385.35053049994</v>
      </c>
    </row>
    <row r="163" spans="2:20" x14ac:dyDescent="0.25">
      <c r="B163" s="375">
        <f t="shared" si="65"/>
        <v>2034</v>
      </c>
      <c r="C163" s="401">
        <f>MAX(TREND(C152:C153,$B152:$B153,$B163),0)</f>
        <v>20426276</v>
      </c>
      <c r="D163" s="402">
        <f>MAX(TREND(D152:D153,$B152:$B153,$B163),0)</f>
        <v>18572149</v>
      </c>
      <c r="E163" s="401">
        <f>MAX(TREND(E152:E153,$B152:$B153,$B163),0)</f>
        <v>294920</v>
      </c>
      <c r="F163" s="813">
        <f>MAX(TREND(F152:F153,$B152:$B153,$B163),0)</f>
        <v>267472</v>
      </c>
      <c r="G163" s="435">
        <f t="shared" si="58"/>
        <v>69.3</v>
      </c>
      <c r="H163" s="436">
        <f t="shared" si="59"/>
        <v>69.400000000000006</v>
      </c>
      <c r="I163" s="401">
        <f>MAX(TREND(I152:I153,$B152:$B153,$B163),0)</f>
        <v>0</v>
      </c>
      <c r="J163" s="813">
        <f>MAX(TREND(J152:J153,$B152:$B153,$B163),0)</f>
        <v>0</v>
      </c>
      <c r="K163" s="402">
        <f>TREND(K152:K153,$B152:$B153,$B163)</f>
        <v>1</v>
      </c>
      <c r="L163" s="816">
        <f>MIN(MAX(TREND(L152:L153,$B152:$B153,$B163),0),1)</f>
        <v>0.24</v>
      </c>
      <c r="M163" s="406">
        <f>MIN(MAX(TREND(M152:M153,$B152:$B153,$B163),0),1)</f>
        <v>0.24</v>
      </c>
      <c r="N163" s="828">
        <f>MAX(TREND(N152:N153,$B152:$B153,$B163),0)</f>
        <v>0</v>
      </c>
      <c r="O163" s="829">
        <f>MAX(TREND(O152:O153,$B152:$B153,$B163),0)</f>
        <v>0</v>
      </c>
      <c r="P163" s="399">
        <f t="shared" si="60"/>
        <v>292803.73583999998</v>
      </c>
      <c r="Q163" s="706">
        <f t="shared" si="61"/>
        <v>697448.41232</v>
      </c>
      <c r="R163" s="400">
        <f t="shared" si="62"/>
        <v>0</v>
      </c>
      <c r="S163" s="369">
        <f t="shared" si="63"/>
        <v>990252.14815999998</v>
      </c>
      <c r="T163" s="370">
        <f t="shared" si="64"/>
        <v>618508.57008105749</v>
      </c>
    </row>
    <row r="164" spans="2:20" x14ac:dyDescent="0.25">
      <c r="B164" s="375">
        <f t="shared" si="65"/>
        <v>2035</v>
      </c>
      <c r="C164" s="401">
        <f>MAX(TREND(C152:C153,$B152:$B153,$B164),0)</f>
        <v>20674676.75</v>
      </c>
      <c r="D164" s="402">
        <f>MAX(TREND(D152:D153,$B152:$B153,$B164),0)</f>
        <v>18748882</v>
      </c>
      <c r="E164" s="401">
        <f>MAX(TREND(E152:E153,$B152:$B153,$B164),0)</f>
        <v>298570</v>
      </c>
      <c r="F164" s="813">
        <f>MAX(TREND(F152:F153,$B152:$B153,$B164),0)</f>
        <v>270063.5</v>
      </c>
      <c r="G164" s="435">
        <f t="shared" si="58"/>
        <v>69.2</v>
      </c>
      <c r="H164" s="436">
        <f t="shared" si="59"/>
        <v>69.400000000000006</v>
      </c>
      <c r="I164" s="401">
        <f>MAX(TREND(I152:I153,$B152:$B153,$B164),0)</f>
        <v>0</v>
      </c>
      <c r="J164" s="813">
        <f>MAX(TREND(J152:J153,$B152:$B153,$B164),0)</f>
        <v>0</v>
      </c>
      <c r="K164" s="402">
        <f>TREND(K152:K153,$B152:$B153,$B164)</f>
        <v>1</v>
      </c>
      <c r="L164" s="816">
        <f>MIN(MAX(TREND(L152:L153,$B152:$B153,$B164),0),1)</f>
        <v>0.24</v>
      </c>
      <c r="M164" s="406">
        <f>MIN(MAX(TREND(M152:M153,$B152:$B153,$B164),0),1)</f>
        <v>0.24</v>
      </c>
      <c r="N164" s="828">
        <f>MAX(TREND(N152:N153,$B152:$B153,$B164),0)</f>
        <v>0</v>
      </c>
      <c r="O164" s="829">
        <f>MAX(TREND(O152:O153,$B152:$B153,$B164),0)</f>
        <v>0</v>
      </c>
      <c r="P164" s="399">
        <f t="shared" si="60"/>
        <v>304121.50691999978</v>
      </c>
      <c r="Q164" s="706">
        <f t="shared" si="61"/>
        <v>724406.95316000003</v>
      </c>
      <c r="R164" s="400">
        <f t="shared" si="62"/>
        <v>0</v>
      </c>
      <c r="S164" s="369">
        <f t="shared" si="63"/>
        <v>1028528.4600799999</v>
      </c>
      <c r="T164" s="370">
        <f t="shared" si="64"/>
        <v>617707.53997605352</v>
      </c>
    </row>
    <row r="165" spans="2:20" x14ac:dyDescent="0.25">
      <c r="B165" s="375">
        <f t="shared" si="65"/>
        <v>2036</v>
      </c>
      <c r="C165" s="401">
        <f>MAX(TREND(C152:C153,$B152:$B153,$B165),0)</f>
        <v>20923077.5</v>
      </c>
      <c r="D165" s="402">
        <f>MAX(TREND(D152:D153,$B152:$B153,$B165),0)</f>
        <v>18925615</v>
      </c>
      <c r="E165" s="401">
        <f>MAX(TREND(E152:E153,$B152:$B153,$B165),0)</f>
        <v>302220</v>
      </c>
      <c r="F165" s="813">
        <f>MAX(TREND(F152:F153,$B152:$B153,$B165),0)</f>
        <v>272655</v>
      </c>
      <c r="G165" s="435">
        <f t="shared" si="58"/>
        <v>69.2</v>
      </c>
      <c r="H165" s="436">
        <f t="shared" si="59"/>
        <v>69.400000000000006</v>
      </c>
      <c r="I165" s="401">
        <f>MAX(TREND(I152:I153,$B152:$B153,$B165),0)</f>
        <v>0</v>
      </c>
      <c r="J165" s="813">
        <f>MAX(TREND(J152:J153,$B152:$B153,$B165),0)</f>
        <v>0</v>
      </c>
      <c r="K165" s="402">
        <f>TREND(K152:K153,$B152:$B153,$B165)</f>
        <v>1</v>
      </c>
      <c r="L165" s="816">
        <f>MIN(MAX(TREND(L152:L153,$B152:$B153,$B165),0),1)</f>
        <v>0.24</v>
      </c>
      <c r="M165" s="406">
        <f>MIN(MAX(TREND(M152:M153,$B152:$B153,$B165),0),1)</f>
        <v>0.24</v>
      </c>
      <c r="N165" s="828">
        <f>MAX(TREND(N152:N153,$B152:$B153,$B165),0)</f>
        <v>0</v>
      </c>
      <c r="O165" s="829">
        <f>MAX(TREND(O152:O153,$B152:$B153,$B165),0)</f>
        <v>0</v>
      </c>
      <c r="P165" s="399">
        <f t="shared" si="60"/>
        <v>315439.27799999982</v>
      </c>
      <c r="Q165" s="706">
        <f t="shared" si="61"/>
        <v>751365.49400000006</v>
      </c>
      <c r="R165" s="400">
        <f t="shared" si="62"/>
        <v>0</v>
      </c>
      <c r="S165" s="369">
        <f t="shared" si="63"/>
        <v>1066804.7719999999</v>
      </c>
      <c r="T165" s="370">
        <f t="shared" si="64"/>
        <v>616053.17406539759</v>
      </c>
    </row>
    <row r="166" spans="2:20" x14ac:dyDescent="0.25">
      <c r="B166" s="375">
        <f t="shared" si="65"/>
        <v>2037</v>
      </c>
      <c r="C166" s="401">
        <f>MAX(TREND(C152:C153,$B152:$B153,$B166),0)</f>
        <v>21171478.25</v>
      </c>
      <c r="D166" s="402">
        <f>MAX(TREND(D152:D153,$B152:$B153,$B166),0)</f>
        <v>19102348</v>
      </c>
      <c r="E166" s="401">
        <f>MAX(TREND(E152:E153,$B152:$B153,$B166),0)</f>
        <v>305870</v>
      </c>
      <c r="F166" s="813">
        <f>MAX(TREND(F152:F153,$B152:$B153,$B166),0)</f>
        <v>275246.5</v>
      </c>
      <c r="G166" s="435">
        <f t="shared" si="58"/>
        <v>69.2</v>
      </c>
      <c r="H166" s="436">
        <f t="shared" si="59"/>
        <v>69.400000000000006</v>
      </c>
      <c r="I166" s="401">
        <f>MAX(TREND(I152:I153,$B152:$B153,$B166),0)</f>
        <v>0</v>
      </c>
      <c r="J166" s="813">
        <f>MAX(TREND(J152:J153,$B152:$B153,$B166),0)</f>
        <v>0</v>
      </c>
      <c r="K166" s="402">
        <f>TREND(K152:K153,$B152:$B153,$B166)</f>
        <v>1</v>
      </c>
      <c r="L166" s="816">
        <f>MIN(MAX(TREND(L152:L153,$B152:$B153,$B166),0),1)</f>
        <v>0.24</v>
      </c>
      <c r="M166" s="406">
        <f>MIN(MAX(TREND(M152:M153,$B152:$B153,$B166),0),1)</f>
        <v>0.24</v>
      </c>
      <c r="N166" s="828">
        <f>MAX(TREND(N152:N153,$B152:$B153,$B166),0)</f>
        <v>0</v>
      </c>
      <c r="O166" s="829">
        <f>MAX(TREND(O152:O153,$B152:$B153,$B166),0)</f>
        <v>0</v>
      </c>
      <c r="P166" s="399">
        <f t="shared" si="60"/>
        <v>326757.04908000026</v>
      </c>
      <c r="Q166" s="706">
        <f t="shared" si="61"/>
        <v>778324.03484000044</v>
      </c>
      <c r="R166" s="400">
        <f t="shared" si="62"/>
        <v>0</v>
      </c>
      <c r="S166" s="369">
        <f t="shared" si="63"/>
        <v>1105081.0839200006</v>
      </c>
      <c r="T166" s="370">
        <f t="shared" si="64"/>
        <v>613612.29852068587</v>
      </c>
    </row>
    <row r="167" spans="2:20" x14ac:dyDescent="0.25">
      <c r="B167" s="375">
        <f t="shared" si="65"/>
        <v>2038</v>
      </c>
      <c r="C167" s="401">
        <f>MAX(TREND(C152:C153,$B152:$B153,$B167),0)</f>
        <v>21419879</v>
      </c>
      <c r="D167" s="402">
        <f>MAX(TREND(D152:D153,$B152:$B153,$B167),0)</f>
        <v>19279081</v>
      </c>
      <c r="E167" s="401">
        <f>MAX(TREND(E152:E153,$B152:$B153,$B167),0)</f>
        <v>309520</v>
      </c>
      <c r="F167" s="813">
        <f>MAX(TREND(F152:F153,$B152:$B153,$B167),0)</f>
        <v>277838</v>
      </c>
      <c r="G167" s="435">
        <f t="shared" si="58"/>
        <v>69.2</v>
      </c>
      <c r="H167" s="436">
        <f t="shared" si="59"/>
        <v>69.400000000000006</v>
      </c>
      <c r="I167" s="401">
        <f>MAX(TREND(I152:I153,$B152:$B153,$B167),0)</f>
        <v>0</v>
      </c>
      <c r="J167" s="813">
        <f>MAX(TREND(J152:J153,$B152:$B153,$B167),0)</f>
        <v>0</v>
      </c>
      <c r="K167" s="402">
        <f>TREND(K152:K153,$B152:$B153,$B167)</f>
        <v>1</v>
      </c>
      <c r="L167" s="816">
        <f>MIN(MAX(TREND(L152:L153,$B152:$B153,$B167),0),1)</f>
        <v>0.24</v>
      </c>
      <c r="M167" s="406">
        <f>MIN(MAX(TREND(M152:M153,$B152:$B153,$B167),0),1)</f>
        <v>0.24</v>
      </c>
      <c r="N167" s="828">
        <f>MAX(TREND(N152:N153,$B152:$B153,$B167),0)</f>
        <v>0</v>
      </c>
      <c r="O167" s="829">
        <f>MAX(TREND(O152:O153,$B152:$B153,$B167),0)</f>
        <v>0</v>
      </c>
      <c r="P167" s="399">
        <f t="shared" si="60"/>
        <v>338074.82016000029</v>
      </c>
      <c r="Q167" s="706">
        <f t="shared" si="61"/>
        <v>805282.57568000036</v>
      </c>
      <c r="R167" s="400">
        <f t="shared" si="62"/>
        <v>0</v>
      </c>
      <c r="S167" s="369">
        <f t="shared" si="63"/>
        <v>1143357.3958400006</v>
      </c>
      <c r="T167" s="370">
        <f t="shared" si="64"/>
        <v>610447.86136984872</v>
      </c>
    </row>
    <row r="168" spans="2:20" x14ac:dyDescent="0.25">
      <c r="B168" s="375">
        <f t="shared" si="65"/>
        <v>2039</v>
      </c>
      <c r="C168" s="401">
        <f>MAX(TREND(C152:C153,$B152:$B153,$B168),0)</f>
        <v>21668279.75</v>
      </c>
      <c r="D168" s="402">
        <f>MAX(TREND(D152:D153,$B152:$B153,$B168),0)</f>
        <v>19455814</v>
      </c>
      <c r="E168" s="401">
        <f>MAX(TREND(E152:E153,$B152:$B153,$B168),0)</f>
        <v>313170</v>
      </c>
      <c r="F168" s="813">
        <f>MAX(TREND(F152:F153,$B152:$B153,$B168),0)</f>
        <v>280429.5</v>
      </c>
      <c r="G168" s="435">
        <f t="shared" si="58"/>
        <v>69.2</v>
      </c>
      <c r="H168" s="436">
        <f t="shared" si="59"/>
        <v>69.400000000000006</v>
      </c>
      <c r="I168" s="401">
        <f>MAX(TREND(I152:I153,$B152:$B153,$B168),0)</f>
        <v>0</v>
      </c>
      <c r="J168" s="813">
        <f>MAX(TREND(J152:J153,$B152:$B153,$B168),0)</f>
        <v>0</v>
      </c>
      <c r="K168" s="402">
        <f>TREND(K152:K153,$B152:$B153,$B168)</f>
        <v>1</v>
      </c>
      <c r="L168" s="816">
        <f>MIN(MAX(TREND(L152:L153,$B152:$B153,$B168),0),1)</f>
        <v>0.24</v>
      </c>
      <c r="M168" s="406">
        <f>MIN(MAX(TREND(M152:M153,$B152:$B153,$B168),0),1)</f>
        <v>0.24</v>
      </c>
      <c r="N168" s="828">
        <f>MAX(TREND(N152:N153,$B152:$B153,$B168),0)</f>
        <v>0</v>
      </c>
      <c r="O168" s="829">
        <f>MAX(TREND(O152:O153,$B152:$B153,$B168),0)</f>
        <v>0</v>
      </c>
      <c r="P168" s="399">
        <f t="shared" si="60"/>
        <v>349392.59123999998</v>
      </c>
      <c r="Q168" s="706">
        <f t="shared" si="61"/>
        <v>832241.11651999969</v>
      </c>
      <c r="R168" s="400">
        <f t="shared" si="62"/>
        <v>0</v>
      </c>
      <c r="S168" s="369">
        <f t="shared" si="63"/>
        <v>1181633.7077599997</v>
      </c>
      <c r="T168" s="370">
        <f t="shared" si="64"/>
        <v>606619.13196061319</v>
      </c>
    </row>
    <row r="169" spans="2:20" x14ac:dyDescent="0.25">
      <c r="B169" s="375">
        <f t="shared" si="65"/>
        <v>2040</v>
      </c>
      <c r="C169" s="401">
        <f>MAX(TREND(C152:C153,$B152:$B153,$B169),0)</f>
        <v>21916680.5</v>
      </c>
      <c r="D169" s="402">
        <f>MAX(TREND(D152:D153,$B152:$B153,$B169),0)</f>
        <v>19632547</v>
      </c>
      <c r="E169" s="401">
        <f>MAX(TREND(E152:E153,$B152:$B153,$B169),0)</f>
        <v>316820</v>
      </c>
      <c r="F169" s="813">
        <f>MAX(TREND(F152:F153,$B152:$B153,$B169),0)</f>
        <v>283021</v>
      </c>
      <c r="G169" s="435">
        <f t="shared" si="58"/>
        <v>69.2</v>
      </c>
      <c r="H169" s="436">
        <f t="shared" si="59"/>
        <v>69.400000000000006</v>
      </c>
      <c r="I169" s="401">
        <f>MAX(TREND(I152:I153,$B152:$B153,$B169),0)</f>
        <v>0</v>
      </c>
      <c r="J169" s="813">
        <f>MAX(TREND(J152:J153,$B152:$B153,$B169),0)</f>
        <v>0</v>
      </c>
      <c r="K169" s="402">
        <f>TREND(K152:K153,$B152:$B153,$B169)</f>
        <v>1</v>
      </c>
      <c r="L169" s="816">
        <f>MIN(MAX(TREND(L152:L153,$B152:$B153,$B169),0),1)</f>
        <v>0.24</v>
      </c>
      <c r="M169" s="406">
        <f>MIN(MAX(TREND(M152:M153,$B152:$B153,$B169),0),1)</f>
        <v>0.24</v>
      </c>
      <c r="N169" s="828">
        <f>MAX(TREND(N152:N153,$B152:$B153,$B169),0)</f>
        <v>0</v>
      </c>
      <c r="O169" s="829">
        <f>MAX(TREND(O152:O153,$B152:$B153,$B169),0)</f>
        <v>0</v>
      </c>
      <c r="P169" s="399">
        <f t="shared" si="60"/>
        <v>360710.36231999949</v>
      </c>
      <c r="Q169" s="706">
        <f t="shared" si="61"/>
        <v>859199.65735999914</v>
      </c>
      <c r="R169" s="400">
        <f t="shared" si="62"/>
        <v>0</v>
      </c>
      <c r="S169" s="369">
        <f t="shared" si="63"/>
        <v>1219910.0196799985</v>
      </c>
      <c r="T169" s="370">
        <f t="shared" si="64"/>
        <v>602181.89081751695</v>
      </c>
    </row>
    <row r="170" spans="2:20" x14ac:dyDescent="0.25">
      <c r="B170" s="375">
        <f t="shared" si="65"/>
        <v>2041</v>
      </c>
      <c r="C170" s="401">
        <f>MAX(TREND(C152:C153,$B152:$B153,$B170),0)</f>
        <v>22165081.25</v>
      </c>
      <c r="D170" s="402">
        <f>MAX(TREND(D152:D153,$B152:$B153,$B170),0)</f>
        <v>19809280</v>
      </c>
      <c r="E170" s="401">
        <f>MAX(TREND(E152:E153,$B152:$B153,$B170),0)</f>
        <v>320470</v>
      </c>
      <c r="F170" s="813">
        <f>MAX(TREND(F152:F153,$B152:$B153,$B170),0)</f>
        <v>285612.5</v>
      </c>
      <c r="G170" s="435">
        <f t="shared" si="58"/>
        <v>69.2</v>
      </c>
      <c r="H170" s="436">
        <f t="shared" si="59"/>
        <v>69.400000000000006</v>
      </c>
      <c r="I170" s="401">
        <f>MAX(TREND(I152:I153,$B152:$B153,$B170),0)</f>
        <v>0</v>
      </c>
      <c r="J170" s="813">
        <f>MAX(TREND(J152:J153,$B152:$B153,$B170),0)</f>
        <v>0</v>
      </c>
      <c r="K170" s="402">
        <f>TREND(K152:K153,$B152:$B153,$B170)</f>
        <v>1</v>
      </c>
      <c r="L170" s="816">
        <f>MIN(MAX(TREND(L152:L153,$B152:$B153,$B170),0),1)</f>
        <v>0.24</v>
      </c>
      <c r="M170" s="406">
        <f>MIN(MAX(TREND(M152:M153,$B152:$B153,$B170),0),1)</f>
        <v>0.24</v>
      </c>
      <c r="N170" s="828">
        <f>MAX(TREND(N152:N153,$B152:$B153,$B170),0)</f>
        <v>0</v>
      </c>
      <c r="O170" s="829">
        <f>MAX(TREND(O152:O153,$B152:$B153,$B170),0)</f>
        <v>0</v>
      </c>
      <c r="P170" s="399">
        <f t="shared" si="60"/>
        <v>372028.13339999993</v>
      </c>
      <c r="Q170" s="706">
        <f t="shared" si="61"/>
        <v>886158.19819999952</v>
      </c>
      <c r="R170" s="400">
        <f t="shared" si="62"/>
        <v>0</v>
      </c>
      <c r="S170" s="369">
        <f t="shared" si="63"/>
        <v>1258186.3315999995</v>
      </c>
      <c r="T170" s="370">
        <f t="shared" si="64"/>
        <v>597188.61033637519</v>
      </c>
    </row>
    <row r="171" spans="2:20" x14ac:dyDescent="0.25">
      <c r="B171" s="375">
        <f t="shared" si="65"/>
        <v>2042</v>
      </c>
      <c r="C171" s="401">
        <f>MAX(TREND(C152:C153,$B152:$B153,$B171),0)</f>
        <v>22413482</v>
      </c>
      <c r="D171" s="402">
        <f>MAX(TREND(D152:D153,$B152:$B153,$B171),0)</f>
        <v>19986013</v>
      </c>
      <c r="E171" s="401">
        <f>MAX(TREND(E152:E153,$B152:$B153,$B171),0)</f>
        <v>324120</v>
      </c>
      <c r="F171" s="813">
        <f>MAX(TREND(F152:F153,$B152:$B153,$B171),0)</f>
        <v>288204</v>
      </c>
      <c r="G171" s="435">
        <f t="shared" si="58"/>
        <v>69.2</v>
      </c>
      <c r="H171" s="436">
        <f t="shared" si="59"/>
        <v>69.3</v>
      </c>
      <c r="I171" s="401">
        <f>MAX(TREND(I152:I153,$B152:$B153,$B171),0)</f>
        <v>0</v>
      </c>
      <c r="J171" s="813">
        <f>MAX(TREND(J152:J153,$B152:$B153,$B171),0)</f>
        <v>0</v>
      </c>
      <c r="K171" s="402">
        <f>TREND(K152:K153,$B152:$B153,$B171)</f>
        <v>1</v>
      </c>
      <c r="L171" s="816">
        <f>MIN(MAX(TREND(L152:L153,$B152:$B153,$B171),0),1)</f>
        <v>0.24</v>
      </c>
      <c r="M171" s="406">
        <f>MIN(MAX(TREND(M152:M153,$B152:$B153,$B171),0),1)</f>
        <v>0.24</v>
      </c>
      <c r="N171" s="828">
        <f>MAX(TREND(N152:N153,$B152:$B153,$B171),0)</f>
        <v>0</v>
      </c>
      <c r="O171" s="829">
        <f>MAX(TREND(O152:O153,$B152:$B153,$B171),0)</f>
        <v>0</v>
      </c>
      <c r="P171" s="399">
        <f t="shared" si="60"/>
        <v>383345.90447999979</v>
      </c>
      <c r="Q171" s="706">
        <f t="shared" si="61"/>
        <v>913116.73903999955</v>
      </c>
      <c r="R171" s="400">
        <f t="shared" si="62"/>
        <v>0</v>
      </c>
      <c r="S171" s="369">
        <f t="shared" si="63"/>
        <v>1296462.6435199995</v>
      </c>
      <c r="T171" s="370">
        <f t="shared" si="64"/>
        <v>591688.62674014689</v>
      </c>
    </row>
    <row r="172" spans="2:20" x14ac:dyDescent="0.25">
      <c r="B172" s="375">
        <f t="shared" si="65"/>
        <v>2043</v>
      </c>
      <c r="C172" s="401">
        <f>MAX(TREND(C152:C153,$B152:$B153,$B172),0)</f>
        <v>22661882.75</v>
      </c>
      <c r="D172" s="402">
        <f>MAX(TREND(D152:D153,$B152:$B153,$B172),0)</f>
        <v>20162746</v>
      </c>
      <c r="E172" s="401">
        <f>MAX(TREND(E152:E153,$B152:$B153,$B172),0)</f>
        <v>327770</v>
      </c>
      <c r="F172" s="813">
        <f>MAX(TREND(F152:F153,$B152:$B153,$B172),0)</f>
        <v>290795.5</v>
      </c>
      <c r="G172" s="435">
        <f t="shared" si="58"/>
        <v>69.099999999999994</v>
      </c>
      <c r="H172" s="436">
        <f t="shared" si="59"/>
        <v>69.3</v>
      </c>
      <c r="I172" s="401">
        <f>MAX(TREND(I152:I153,$B152:$B153,$B172),0)</f>
        <v>0</v>
      </c>
      <c r="J172" s="813">
        <f>MAX(TREND(J152:J153,$B152:$B153,$B172),0)</f>
        <v>0</v>
      </c>
      <c r="K172" s="402">
        <f>TREND(K152:K153,$B152:$B153,$B172)</f>
        <v>1</v>
      </c>
      <c r="L172" s="816">
        <f>MIN(MAX(TREND(L152:L153,$B152:$B153,$B172),0),1)</f>
        <v>0.24</v>
      </c>
      <c r="M172" s="406">
        <f>MIN(MAX(TREND(M152:M153,$B152:$B153,$B172),0),1)</f>
        <v>0.24</v>
      </c>
      <c r="N172" s="828">
        <f>MAX(TREND(N152:N153,$B152:$B153,$B172),0)</f>
        <v>0</v>
      </c>
      <c r="O172" s="829">
        <f>MAX(TREND(O152:O153,$B152:$B153,$B172),0)</f>
        <v>0</v>
      </c>
      <c r="P172" s="399">
        <f t="shared" si="60"/>
        <v>394663.67555999965</v>
      </c>
      <c r="Q172" s="706">
        <f t="shared" si="61"/>
        <v>940075.27987999958</v>
      </c>
      <c r="R172" s="400">
        <f t="shared" si="62"/>
        <v>0</v>
      </c>
      <c r="S172" s="369">
        <f t="shared" si="63"/>
        <v>1334738.9554399992</v>
      </c>
      <c r="T172" s="370">
        <f t="shared" si="64"/>
        <v>585728.3037011188</v>
      </c>
    </row>
    <row r="173" spans="2:20" x14ac:dyDescent="0.25">
      <c r="B173" s="375">
        <f t="shared" si="65"/>
        <v>2044</v>
      </c>
      <c r="C173" s="401">
        <f>MAX(TREND(C152:C153,$B152:$B153,$B173),0)</f>
        <v>22910283.5</v>
      </c>
      <c r="D173" s="402">
        <f>MAX(TREND(D152:D153,$B152:$B153,$B173),0)</f>
        <v>20339479</v>
      </c>
      <c r="E173" s="401">
        <f>MAX(TREND(E152:E153,$B152:$B153,$B173),0)</f>
        <v>331420</v>
      </c>
      <c r="F173" s="813">
        <f>MAX(TREND(F152:F153,$B152:$B153,$B173),0)</f>
        <v>293387</v>
      </c>
      <c r="G173" s="435">
        <f t="shared" si="58"/>
        <v>69.099999999999994</v>
      </c>
      <c r="H173" s="436">
        <f t="shared" si="59"/>
        <v>69.3</v>
      </c>
      <c r="I173" s="401">
        <f>MAX(TREND(I152:I153,$B152:$B153,$B173),0)</f>
        <v>0</v>
      </c>
      <c r="J173" s="813">
        <f>MAX(TREND(J152:J153,$B152:$B153,$B173),0)</f>
        <v>0</v>
      </c>
      <c r="K173" s="402">
        <f>TREND(K152:K153,$B152:$B153,$B173)</f>
        <v>1</v>
      </c>
      <c r="L173" s="816">
        <f>MIN(MAX(TREND(L152:L153,$B152:$B153,$B173),0),1)</f>
        <v>0.24</v>
      </c>
      <c r="M173" s="406">
        <f>MIN(MAX(TREND(M152:M153,$B152:$B153,$B173),0),1)</f>
        <v>0.24</v>
      </c>
      <c r="N173" s="828">
        <f>MAX(TREND(N152:N153,$B152:$B153,$B173),0)</f>
        <v>0</v>
      </c>
      <c r="O173" s="829">
        <f>MAX(TREND(O152:O153,$B152:$B153,$B173),0)</f>
        <v>0</v>
      </c>
      <c r="P173" s="399">
        <f t="shared" si="60"/>
        <v>405981.44663999981</v>
      </c>
      <c r="Q173" s="706">
        <f t="shared" si="61"/>
        <v>967033.82071999996</v>
      </c>
      <c r="R173" s="400">
        <f t="shared" si="62"/>
        <v>0</v>
      </c>
      <c r="S173" s="369">
        <f t="shared" si="63"/>
        <v>1373015.2673599997</v>
      </c>
      <c r="T173" s="370">
        <f t="shared" si="64"/>
        <v>579351.18801606947</v>
      </c>
    </row>
    <row r="174" spans="2:20" x14ac:dyDescent="0.25">
      <c r="B174" s="375">
        <f t="shared" si="65"/>
        <v>2045</v>
      </c>
      <c r="C174" s="401">
        <f>MAX(TREND(C152:C153,$B152:$B153,$B174),0)</f>
        <v>23158684.25</v>
      </c>
      <c r="D174" s="402">
        <f>MAX(TREND(D152:D153,$B152:$B153,$B174),0)</f>
        <v>20516212</v>
      </c>
      <c r="E174" s="401">
        <f>MAX(TREND(E152:E153,$B152:$B153,$B174),0)</f>
        <v>335070</v>
      </c>
      <c r="F174" s="813">
        <f>MAX(TREND(F152:F153,$B152:$B153,$B174),0)</f>
        <v>295978.5</v>
      </c>
      <c r="G174" s="435">
        <f t="shared" si="58"/>
        <v>69.099999999999994</v>
      </c>
      <c r="H174" s="436">
        <f t="shared" si="59"/>
        <v>69.3</v>
      </c>
      <c r="I174" s="401">
        <f>MAX(TREND(I152:I153,$B152:$B153,$B174),0)</f>
        <v>0</v>
      </c>
      <c r="J174" s="813">
        <f>MAX(TREND(J152:J153,$B152:$B153,$B174),0)</f>
        <v>0</v>
      </c>
      <c r="K174" s="402">
        <f>TREND(K152:K153,$B152:$B153,$B174)</f>
        <v>1</v>
      </c>
      <c r="L174" s="816">
        <f>MIN(MAX(TREND(L152:L153,$B152:$B153,$B174),0),1)</f>
        <v>0.24</v>
      </c>
      <c r="M174" s="406">
        <f>MIN(MAX(TREND(M152:M153,$B152:$B153,$B174),0),1)</f>
        <v>0.24</v>
      </c>
      <c r="N174" s="828">
        <f>MAX(TREND(N152:N153,$B152:$B153,$B174),0)</f>
        <v>0</v>
      </c>
      <c r="O174" s="829">
        <f>MAX(TREND(O152:O153,$B152:$B153,$B174),0)</f>
        <v>0</v>
      </c>
      <c r="P174" s="399">
        <f t="shared" si="60"/>
        <v>417299.21771999996</v>
      </c>
      <c r="Q174" s="706">
        <f t="shared" si="61"/>
        <v>993992.36155999999</v>
      </c>
      <c r="R174" s="400">
        <f t="shared" si="62"/>
        <v>0</v>
      </c>
      <c r="S174" s="369">
        <f t="shared" si="63"/>
        <v>1411291.5792799999</v>
      </c>
      <c r="T174" s="370">
        <f t="shared" si="64"/>
        <v>572598.15770368488</v>
      </c>
    </row>
    <row r="175" spans="2:20" x14ac:dyDescent="0.25">
      <c r="B175" s="385"/>
      <c r="C175" s="386"/>
      <c r="D175" s="386"/>
      <c r="E175" s="386"/>
      <c r="F175" s="386"/>
      <c r="G175" s="388"/>
      <c r="H175" s="388"/>
      <c r="I175" s="388"/>
      <c r="J175" s="388"/>
      <c r="K175" s="388"/>
      <c r="L175" s="388"/>
      <c r="M175" s="388"/>
      <c r="N175" s="388"/>
      <c r="O175" s="388"/>
      <c r="P175" s="388"/>
      <c r="Q175" s="388"/>
      <c r="R175" s="388"/>
      <c r="S175" s="388"/>
      <c r="T175" s="389"/>
    </row>
    <row r="176" spans="2:20" x14ac:dyDescent="0.25">
      <c r="B176" s="407" t="s">
        <v>56</v>
      </c>
      <c r="C176" s="413"/>
      <c r="D176" s="414"/>
      <c r="E176" s="414"/>
      <c r="F176" s="414"/>
      <c r="G176" s="414"/>
      <c r="H176" s="414"/>
      <c r="I176" s="414"/>
      <c r="J176" s="414"/>
      <c r="K176" s="414"/>
      <c r="L176" s="414"/>
      <c r="M176" s="414"/>
      <c r="N176" s="414"/>
      <c r="O176" s="414"/>
      <c r="P176" s="414"/>
      <c r="Q176" s="415"/>
      <c r="R176" s="415"/>
      <c r="S176" s="414"/>
      <c r="T176" s="409">
        <f>SUM(T155:T174)</f>
        <v>12060688.223162111</v>
      </c>
    </row>
    <row r="177" spans="1:20" x14ac:dyDescent="0.25">
      <c r="B177" s="2"/>
      <c r="C177" s="418"/>
      <c r="D177" s="2"/>
      <c r="E177" s="2"/>
      <c r="F177" s="2"/>
      <c r="G177" s="2"/>
      <c r="H177" s="2"/>
      <c r="I177" s="2"/>
      <c r="J177" s="2"/>
      <c r="K177" s="2"/>
      <c r="L177" s="2"/>
      <c r="M177" s="2"/>
      <c r="N177" s="2"/>
      <c r="O177" s="2"/>
      <c r="P177" s="2"/>
      <c r="Q177" s="2"/>
      <c r="R177" s="2"/>
      <c r="S177" s="2"/>
      <c r="T177" s="2"/>
    </row>
    <row r="178" spans="1:20" x14ac:dyDescent="0.25">
      <c r="A178" s="1">
        <f>MAX($A$1:A177)+1</f>
        <v>6</v>
      </c>
      <c r="B178" s="319" t="str">
        <f>IF(ISBLANK(INDEX(ModelGroup,A178,1)),"Not Used",INDEX(ModelGroup,A178,1))</f>
        <v>SB Mainline</v>
      </c>
      <c r="C178" s="2"/>
      <c r="D178" s="2"/>
      <c r="E178" s="2"/>
      <c r="F178" s="2"/>
      <c r="G178" s="2"/>
      <c r="H178" s="320"/>
      <c r="I178" s="320"/>
      <c r="J178" s="320"/>
      <c r="K178" s="320"/>
      <c r="L178" s="320"/>
      <c r="M178" s="320"/>
      <c r="N178" s="320"/>
      <c r="O178" s="320"/>
      <c r="P178" s="320"/>
      <c r="Q178" s="2"/>
      <c r="R178" s="2"/>
      <c r="S178" s="2"/>
      <c r="T178" s="2"/>
    </row>
    <row r="179" spans="1:20" x14ac:dyDescent="0.25">
      <c r="B179" s="2"/>
      <c r="C179" s="2"/>
      <c r="D179" s="321"/>
      <c r="E179" s="321"/>
      <c r="F179" s="321"/>
      <c r="G179" s="2"/>
      <c r="H179" s="2"/>
      <c r="I179" s="2"/>
      <c r="J179" s="2"/>
      <c r="K179" s="2"/>
      <c r="L179" s="2"/>
      <c r="M179" s="2"/>
      <c r="N179" s="2"/>
      <c r="O179" s="2"/>
      <c r="P179" s="2"/>
      <c r="Q179" s="2"/>
      <c r="R179" s="2"/>
      <c r="S179" s="2"/>
      <c r="T179" s="149"/>
    </row>
    <row r="180" spans="1:20" ht="15.75" x14ac:dyDescent="0.25">
      <c r="B180" s="322"/>
      <c r="C180" s="325" t="s">
        <v>271</v>
      </c>
      <c r="D180" s="326"/>
      <c r="E180" s="325" t="s">
        <v>190</v>
      </c>
      <c r="F180" s="776"/>
      <c r="G180" s="325" t="s">
        <v>272</v>
      </c>
      <c r="H180" s="324"/>
      <c r="I180" s="325" t="str">
        <f>IF(INDEX(HwyTransitModelGroup,A178,1)=Hwy,"TOTAL VEHICLE TRIPS","TOTAL PERSON TRIPS")</f>
        <v>TOTAL VEHICLE TRIPS</v>
      </c>
      <c r="J180" s="324"/>
      <c r="K180" s="427"/>
      <c r="L180" s="323" t="s">
        <v>192</v>
      </c>
      <c r="M180" s="326"/>
      <c r="N180" s="323" t="s">
        <v>228</v>
      </c>
      <c r="O180" s="776"/>
      <c r="P180" s="325" t="s">
        <v>273</v>
      </c>
      <c r="Q180" s="323"/>
      <c r="R180" s="876"/>
      <c r="S180" s="329"/>
      <c r="T180" s="330"/>
    </row>
    <row r="181" spans="1:20" x14ac:dyDescent="0.25">
      <c r="B181" s="335"/>
      <c r="C181" s="338" t="s">
        <v>274</v>
      </c>
      <c r="D181" s="339"/>
      <c r="E181" s="338" t="s">
        <v>275</v>
      </c>
      <c r="F181" s="336"/>
      <c r="G181" s="338" t="s">
        <v>276</v>
      </c>
      <c r="H181" s="337"/>
      <c r="I181" s="817" t="s">
        <v>199</v>
      </c>
      <c r="J181" s="337"/>
      <c r="K181" s="428"/>
      <c r="L181" s="336" t="s">
        <v>277</v>
      </c>
      <c r="M181" s="339"/>
      <c r="N181" s="336" t="s">
        <v>230</v>
      </c>
      <c r="O181" s="336"/>
      <c r="P181" s="340" t="s">
        <v>203</v>
      </c>
      <c r="Q181" s="838"/>
      <c r="R181" s="341"/>
      <c r="S181" s="342"/>
      <c r="T181" s="343"/>
    </row>
    <row r="182" spans="1:20" x14ac:dyDescent="0.25">
      <c r="B182" s="77" t="s">
        <v>34</v>
      </c>
      <c r="C182" s="348"/>
      <c r="D182" s="349"/>
      <c r="E182" s="348"/>
      <c r="F182" s="781"/>
      <c r="G182" s="723"/>
      <c r="H182" s="349"/>
      <c r="I182" s="723"/>
      <c r="J182" s="781"/>
      <c r="K182" s="349" t="s">
        <v>278</v>
      </c>
      <c r="L182" s="348"/>
      <c r="M182" s="349"/>
      <c r="N182" s="348"/>
      <c r="O182" s="781"/>
      <c r="P182" s="350" t="s">
        <v>279</v>
      </c>
      <c r="Q182" s="839" t="s">
        <v>280</v>
      </c>
      <c r="R182" s="349" t="s">
        <v>281</v>
      </c>
      <c r="S182" s="351" t="s">
        <v>208</v>
      </c>
      <c r="T182" s="347" t="s">
        <v>39</v>
      </c>
    </row>
    <row r="183" spans="1:20" x14ac:dyDescent="0.25">
      <c r="B183" s="355"/>
      <c r="C183" s="356" t="s">
        <v>74</v>
      </c>
      <c r="D183" s="357" t="s">
        <v>125</v>
      </c>
      <c r="E183" s="356" t="s">
        <v>74</v>
      </c>
      <c r="F183" s="783" t="s">
        <v>125</v>
      </c>
      <c r="G183" s="724" t="s">
        <v>74</v>
      </c>
      <c r="H183" s="357" t="s">
        <v>125</v>
      </c>
      <c r="I183" s="724" t="s">
        <v>74</v>
      </c>
      <c r="J183" s="783" t="s">
        <v>125</v>
      </c>
      <c r="K183" s="357" t="s">
        <v>125</v>
      </c>
      <c r="L183" s="356" t="s">
        <v>74</v>
      </c>
      <c r="M183" s="357" t="s">
        <v>125</v>
      </c>
      <c r="N183" s="356" t="s">
        <v>74</v>
      </c>
      <c r="O183" s="783" t="s">
        <v>125</v>
      </c>
      <c r="P183" s="358" t="s">
        <v>283</v>
      </c>
      <c r="Q183" s="840" t="s">
        <v>283</v>
      </c>
      <c r="R183" s="357" t="s">
        <v>284</v>
      </c>
      <c r="S183" s="359" t="s">
        <v>48</v>
      </c>
      <c r="T183" s="360" t="s">
        <v>49</v>
      </c>
    </row>
    <row r="184" spans="1:20" x14ac:dyDescent="0.25">
      <c r="B184" s="363">
        <f>YearFirst</f>
        <v>2026</v>
      </c>
      <c r="C184" s="364">
        <f>INDEX(ModelData1NB,A178,2)*AnnualFactor</f>
        <v>17745205</v>
      </c>
      <c r="D184" s="365">
        <f>INDEX(ModelData1B,A178,2)*AnnualFactor</f>
        <v>15841365</v>
      </c>
      <c r="E184" s="364">
        <f>IF(INDEX(HwyTransitModelGroup,A178,1)=Hwy,INDEX(ModelData1NB,A178,3),0)*AnnualFactor</f>
        <v>255500</v>
      </c>
      <c r="F184" s="365">
        <f>IF(INDEX(HwyTransitModelGroup,A178,1)=Hwy,INDEX(ModelData1B,A178,3),0)*AnnualFactor</f>
        <v>227760</v>
      </c>
      <c r="G184" s="429">
        <f>IF(E184=0,55,MAX(5,ROUND(C184/E184,1)))</f>
        <v>69.5</v>
      </c>
      <c r="H184" s="430">
        <f>IF(F184=0,55,MAX(5,ROUND(D184/F184,1)))</f>
        <v>69.599999999999994</v>
      </c>
      <c r="I184" s="364">
        <f>INDEX(ModelData1NB,A178,1)*AnnualFactor</f>
        <v>0</v>
      </c>
      <c r="J184" s="914">
        <f>INDEX(ModelData1B,A178,1)*AnnualFactor</f>
        <v>0</v>
      </c>
      <c r="K184" s="918">
        <f>'Travel Time'!O184</f>
        <v>1</v>
      </c>
      <c r="L184" s="818">
        <f>INDEX(ModelData1NB,A178,9)</f>
        <v>0.24</v>
      </c>
      <c r="M184" s="819">
        <f>INDEX(ModelData1B,A178,9)</f>
        <v>0.24</v>
      </c>
      <c r="N184" s="822">
        <f>INDEX(ModelData1NB,A178,6)</f>
        <v>0</v>
      </c>
      <c r="O184" s="823">
        <f>INDEX(ModelData1B,A178,6)</f>
        <v>0</v>
      </c>
      <c r="P184" s="367">
        <f>(C184*(1-L184)*VLOOKUP(G184,FuelCon,2)-D184*(1-M184)*VLOOKUP(H184,FuelCon,2))*FuelAuto+(C184*L184*VLOOKUP(G184,FuelCon,3)-D184*M184*VLOOKUP(H184,FuelCon,3))*FuelTruck</f>
        <v>300654.41280000028</v>
      </c>
      <c r="Q184" s="701">
        <f>(C184*(1-L184)-D184*(1-M184))*NonFuelAuto+(C184*L184-D184*M184)*NonFuelTruck</f>
        <v>716148.4544000004</v>
      </c>
      <c r="R184" s="368">
        <f>I184*N184-K184*O184</f>
        <v>0</v>
      </c>
      <c r="S184" s="369">
        <f>SUM(P184:R184)</f>
        <v>1016802.8672000007</v>
      </c>
      <c r="T184" s="370">
        <f>S184/(1+DiscRate)^(B184-YearCurrent)</f>
        <v>869167.35233360215</v>
      </c>
    </row>
    <row r="185" spans="1:20" x14ac:dyDescent="0.25">
      <c r="B185" s="379">
        <f>YearLast</f>
        <v>2046</v>
      </c>
      <c r="C185" s="380">
        <f>INDEX(ModelData20NB,A178,2)*AnnualFactor</f>
        <v>22525610</v>
      </c>
      <c r="D185" s="381">
        <f>INDEX(ModelData20B,A178,2)*AnnualFactor</f>
        <v>19454865</v>
      </c>
      <c r="E185" s="380">
        <f>IF(INDEX(HwyTransitModelGroup,A178,1)=Hwy,INDEX(ModelData20NB,A178,3),0)*AnnualFactor</f>
        <v>325945</v>
      </c>
      <c r="F185" s="381">
        <f>IF(INDEX(HwyTransitModelGroup,A178,1)=Hwy,INDEX(ModelData20B,A178,3),0)*AnnualFactor</f>
        <v>280685</v>
      </c>
      <c r="G185" s="432">
        <f>IF(E185=0,55,MAX(5,ROUND(C185/E185,1)))</f>
        <v>69.099999999999994</v>
      </c>
      <c r="H185" s="433">
        <f>IF(F185=0,55,MAX(5,ROUND(D185/F185,1)))</f>
        <v>69.3</v>
      </c>
      <c r="I185" s="380">
        <f>INDEX(ModelData20NB,A178,1)*AnnualFactor</f>
        <v>0</v>
      </c>
      <c r="J185" s="381">
        <f>INDEX(ModelData20B,A178,1)*AnnualFactor</f>
        <v>0</v>
      </c>
      <c r="K185" s="917">
        <f>'Travel Time'!O185</f>
        <v>1</v>
      </c>
      <c r="L185" s="820">
        <f>INDEX(ModelData20NB,A178,9)</f>
        <v>0.24</v>
      </c>
      <c r="M185" s="821">
        <f>INDEX(ModelData20B,A178,9)</f>
        <v>0.24</v>
      </c>
      <c r="N185" s="824">
        <f>INDEX(ModelData20NB,A178,6)</f>
        <v>0</v>
      </c>
      <c r="O185" s="825">
        <f>INDEX(ModelData20B,A178,6)</f>
        <v>0</v>
      </c>
      <c r="P185" s="383">
        <f>(C185*(1-L185)*VLOOKUP(G185,FuelCon,2)-D185*(1-M185)*VLOOKUP(H185,FuelCon,2))*FuelAuto+(C185*L185*VLOOKUP(G185,FuelCon,3)-D185*M185*VLOOKUP(H185,FuelCon,3))*FuelTruck</f>
        <v>484932.05039999995</v>
      </c>
      <c r="Q185" s="702">
        <f>(C185*(1-L185)-D185*(1-M185))*NonFuelAuto+(C185*L185-D185*M185)*NonFuelTruck</f>
        <v>1155091.4392000004</v>
      </c>
      <c r="R185" s="384">
        <f>I185*N185-K185*O185</f>
        <v>0</v>
      </c>
      <c r="S185" s="369">
        <f>SUM(P185:R185)</f>
        <v>1640023.4896000004</v>
      </c>
      <c r="T185" s="370">
        <f>S185/(1+DiscRate)^(B185-YearCurrent)</f>
        <v>639808.38172174466</v>
      </c>
    </row>
    <row r="186" spans="1:20" x14ac:dyDescent="0.25">
      <c r="B186" s="385"/>
      <c r="C186" s="388"/>
      <c r="D186" s="388"/>
      <c r="E186" s="388"/>
      <c r="F186" s="388"/>
      <c r="G186" s="814"/>
      <c r="H186" s="815"/>
      <c r="I186" s="814"/>
      <c r="J186" s="434"/>
      <c r="K186" s="916"/>
      <c r="L186" s="434"/>
      <c r="M186" s="434"/>
      <c r="N186" s="434"/>
      <c r="O186" s="434"/>
      <c r="P186" s="388"/>
      <c r="Q186" s="388"/>
      <c r="R186" s="388"/>
      <c r="S186" s="388"/>
      <c r="T186" s="389"/>
    </row>
    <row r="187" spans="1:20" x14ac:dyDescent="0.25">
      <c r="B187" s="375">
        <f>YearOpen</f>
        <v>2026</v>
      </c>
      <c r="C187" s="401">
        <f>MAX(TREND(C184:C185,$B184:$B185,$B187),0)</f>
        <v>17745205</v>
      </c>
      <c r="D187" s="402">
        <f>MAX(TREND(D184:D185,$B184:$B185,$B187),0)</f>
        <v>15841365</v>
      </c>
      <c r="E187" s="401">
        <f>MAX(TREND(E184:E185,$B184:$B185,$B187),0)</f>
        <v>255500</v>
      </c>
      <c r="F187" s="813">
        <f>MAX(TREND(F184:F185,$B184:$B185,$B187),0)</f>
        <v>227760</v>
      </c>
      <c r="G187" s="435">
        <f t="shared" ref="G187:G206" si="66">IF(E187=0,55,MAX(5,ROUND(C187/E187,1)))</f>
        <v>69.5</v>
      </c>
      <c r="H187" s="436">
        <f t="shared" ref="H187:H206" si="67">IF(F187=0,55,MAX(5,ROUND(D187/F187,1)))</f>
        <v>69.599999999999994</v>
      </c>
      <c r="I187" s="393">
        <f>MAX(TREND(I184:I185,$B184:$B185,$B187),0)</f>
        <v>0</v>
      </c>
      <c r="J187" s="915">
        <f>MAX(TREND(J184:J185,$B184:$B185,$B187),0)</f>
        <v>0</v>
      </c>
      <c r="K187" s="394">
        <f>TREND(K184:K185,$B184:$B185,$B187)</f>
        <v>1</v>
      </c>
      <c r="L187" s="816">
        <f>MIN(MAX(TREND(L184:L185,$B184:$B185,$B187),0),1)</f>
        <v>0.24</v>
      </c>
      <c r="M187" s="406">
        <f>MIN(MAX(TREND(M184:M185,$B184:$B185,$B187),0),1)</f>
        <v>0.24</v>
      </c>
      <c r="N187" s="826">
        <f>MAX(TREND(N184:N185,$B184:$B185,$B187),0)</f>
        <v>0</v>
      </c>
      <c r="O187" s="827">
        <f>MAX(TREND(O184:O185,$B184:$B185,$B187),0)</f>
        <v>0</v>
      </c>
      <c r="P187" s="367">
        <f t="shared" ref="P187:P206" si="68">(C187*(1-L187)*VLOOKUP(G187,FuelCon,2)-D187*(1-M187)*VLOOKUP(H187,FuelCon,2))*FuelAuto+(C187*L187*VLOOKUP(G187,FuelCon,3)-D187*M187*VLOOKUP(H187,FuelCon,3))*FuelTruck</f>
        <v>300654.41280000028</v>
      </c>
      <c r="Q187" s="701">
        <f t="shared" ref="Q187:Q206" si="69">(C187*(1-L187)-D187*(1-M187))*NonFuelAuto+(C187*L187-D187*M187)*NonFuelTruck</f>
        <v>716148.4544000004</v>
      </c>
      <c r="R187" s="368">
        <f t="shared" ref="R187:R206" si="70">I187*N187-K187*O187</f>
        <v>0</v>
      </c>
      <c r="S187" s="369">
        <f t="shared" ref="S187:S206" si="71">SUM(P187:R187)</f>
        <v>1016802.8672000007</v>
      </c>
      <c r="T187" s="370">
        <f t="shared" ref="T187:T206" si="72">S187/(1+DiscRate)^(B187-YearCurrent)</f>
        <v>869167.35233360215</v>
      </c>
    </row>
    <row r="188" spans="1:20" x14ac:dyDescent="0.25">
      <c r="B188" s="375">
        <f>B187+1</f>
        <v>2027</v>
      </c>
      <c r="C188" s="401">
        <f>MAX(TREND(C184:C185,$B184:$B185,$B188),0)</f>
        <v>17984225.25</v>
      </c>
      <c r="D188" s="402">
        <f>MAX(TREND(D184:D185,$B184:$B185,$B188),0)</f>
        <v>16022040</v>
      </c>
      <c r="E188" s="401">
        <f>MAX(TREND(E184:E185,$B184:$B185,$B188),0)</f>
        <v>259022.25</v>
      </c>
      <c r="F188" s="813">
        <f>MAX(TREND(F184:F185,$B184:$B185,$B188),0)</f>
        <v>230406.25</v>
      </c>
      <c r="G188" s="435">
        <f t="shared" si="66"/>
        <v>69.400000000000006</v>
      </c>
      <c r="H188" s="436">
        <f t="shared" si="67"/>
        <v>69.5</v>
      </c>
      <c r="I188" s="401">
        <f>MAX(TREND(I184:I185,$B184:$B185,$B188),0)</f>
        <v>0</v>
      </c>
      <c r="J188" s="813">
        <f>MAX(TREND(J184:J185,$B184:$B185,$B188),0)</f>
        <v>0</v>
      </c>
      <c r="K188" s="402">
        <f>TREND(K184:K185,$B184:$B185,$B188)</f>
        <v>1</v>
      </c>
      <c r="L188" s="816">
        <f>MIN(MAX(TREND(L184:L185,$B184:$B185,$B188),0),1)</f>
        <v>0.24</v>
      </c>
      <c r="M188" s="406">
        <f>MIN(MAX(TREND(M184:M185,$B184:$B185,$B188),0),1)</f>
        <v>0.24</v>
      </c>
      <c r="N188" s="828">
        <f>MAX(TREND(N184:N185,$B184:$B185,$B188),0)</f>
        <v>0</v>
      </c>
      <c r="O188" s="829">
        <f>MAX(TREND(O184:O185,$B184:$B185,$B188),0)</f>
        <v>0</v>
      </c>
      <c r="P188" s="399">
        <f t="shared" si="68"/>
        <v>309868.29467999993</v>
      </c>
      <c r="Q188" s="706">
        <f t="shared" si="69"/>
        <v>738095.60363999964</v>
      </c>
      <c r="R188" s="400">
        <f t="shared" si="70"/>
        <v>0</v>
      </c>
      <c r="S188" s="369">
        <f t="shared" si="71"/>
        <v>1047963.8983199996</v>
      </c>
      <c r="T188" s="370">
        <f t="shared" si="72"/>
        <v>861349.93493440852</v>
      </c>
    </row>
    <row r="189" spans="1:20" x14ac:dyDescent="0.25">
      <c r="B189" s="375">
        <f t="shared" ref="B189:B206" si="73">B188+1</f>
        <v>2028</v>
      </c>
      <c r="C189" s="401">
        <f>MAX(TREND(C184:C185,$B184:$B185,$B189),0)</f>
        <v>18223245.5</v>
      </c>
      <c r="D189" s="402">
        <f>MAX(TREND(D184:D185,$B184:$B185,$B189),0)</f>
        <v>16202715</v>
      </c>
      <c r="E189" s="401">
        <f>MAX(TREND(E184:E185,$B184:$B185,$B189),0)</f>
        <v>262544.5</v>
      </c>
      <c r="F189" s="813">
        <f>MAX(TREND(F184:F185,$B184:$B185,$B189),0)</f>
        <v>233052.5</v>
      </c>
      <c r="G189" s="435">
        <f t="shared" si="66"/>
        <v>69.400000000000006</v>
      </c>
      <c r="H189" s="436">
        <f t="shared" si="67"/>
        <v>69.5</v>
      </c>
      <c r="I189" s="401">
        <f>MAX(TREND(I184:I185,$B184:$B185,$B189),0)</f>
        <v>0</v>
      </c>
      <c r="J189" s="813">
        <f>MAX(TREND(J184:J185,$B184:$B185,$B189),0)</f>
        <v>0</v>
      </c>
      <c r="K189" s="402">
        <f>TREND(K184:K185,$B184:$B185,$B189)</f>
        <v>1</v>
      </c>
      <c r="L189" s="816">
        <f>MIN(MAX(TREND(L184:L185,$B184:$B185,$B189),0),1)</f>
        <v>0.24</v>
      </c>
      <c r="M189" s="406">
        <f>MIN(MAX(TREND(M184:M185,$B184:$B185,$B189),0),1)</f>
        <v>0.24</v>
      </c>
      <c r="N189" s="828">
        <f>MAX(TREND(N184:N185,$B184:$B185,$B189),0)</f>
        <v>0</v>
      </c>
      <c r="O189" s="829">
        <f>MAX(TREND(O184:O185,$B184:$B185,$B189),0)</f>
        <v>0</v>
      </c>
      <c r="P189" s="399">
        <f t="shared" si="68"/>
        <v>319082.17656000005</v>
      </c>
      <c r="Q189" s="706">
        <f t="shared" si="69"/>
        <v>760042.75288000004</v>
      </c>
      <c r="R189" s="400">
        <f t="shared" si="70"/>
        <v>0</v>
      </c>
      <c r="S189" s="369">
        <f t="shared" si="71"/>
        <v>1079124.9294400001</v>
      </c>
      <c r="T189" s="370">
        <f t="shared" si="72"/>
        <v>852848.10681395058</v>
      </c>
    </row>
    <row r="190" spans="1:20" x14ac:dyDescent="0.25">
      <c r="B190" s="375">
        <f t="shared" si="73"/>
        <v>2029</v>
      </c>
      <c r="C190" s="401">
        <f>MAX(TREND(C184:C185,$B184:$B185,$B190),0)</f>
        <v>18462265.75</v>
      </c>
      <c r="D190" s="402">
        <f>MAX(TREND(D184:D185,$B184:$B185,$B190),0)</f>
        <v>16383390</v>
      </c>
      <c r="E190" s="401">
        <f>MAX(TREND(E184:E185,$B184:$B185,$B190),0)</f>
        <v>266066.75</v>
      </c>
      <c r="F190" s="813">
        <f>MAX(TREND(F184:F185,$B184:$B185,$B190),0)</f>
        <v>235698.75</v>
      </c>
      <c r="G190" s="435">
        <f t="shared" si="66"/>
        <v>69.400000000000006</v>
      </c>
      <c r="H190" s="436">
        <f t="shared" si="67"/>
        <v>69.5</v>
      </c>
      <c r="I190" s="401">
        <f>MAX(TREND(I184:I185,$B184:$B185,$B190),0)</f>
        <v>0</v>
      </c>
      <c r="J190" s="813">
        <f>MAX(TREND(J184:J185,$B184:$B185,$B190),0)</f>
        <v>0</v>
      </c>
      <c r="K190" s="402">
        <f>TREND(K184:K185,$B184:$B185,$B190)</f>
        <v>1</v>
      </c>
      <c r="L190" s="816">
        <f>MIN(MAX(TREND(L184:L185,$B184:$B185,$B190),0),1)</f>
        <v>0.24</v>
      </c>
      <c r="M190" s="406">
        <f>MIN(MAX(TREND(M184:M185,$B184:$B185,$B190),0),1)</f>
        <v>0.24</v>
      </c>
      <c r="N190" s="828">
        <f>MAX(TREND(N184:N185,$B184:$B185,$B190),0)</f>
        <v>0</v>
      </c>
      <c r="O190" s="829">
        <f>MAX(TREND(O184:O185,$B184:$B185,$B190),0)</f>
        <v>0</v>
      </c>
      <c r="P190" s="399">
        <f t="shared" si="68"/>
        <v>328296.0584400004</v>
      </c>
      <c r="Q190" s="706">
        <f t="shared" si="69"/>
        <v>781989.90212000045</v>
      </c>
      <c r="R190" s="400">
        <f t="shared" si="70"/>
        <v>0</v>
      </c>
      <c r="S190" s="369">
        <f t="shared" si="71"/>
        <v>1110285.960560001</v>
      </c>
      <c r="T190" s="370">
        <f t="shared" si="72"/>
        <v>843726.07917770813</v>
      </c>
    </row>
    <row r="191" spans="1:20" x14ac:dyDescent="0.25">
      <c r="B191" s="375">
        <f t="shared" si="73"/>
        <v>2030</v>
      </c>
      <c r="C191" s="401">
        <f>MAX(TREND(C184:C185,$B184:$B185,$B191),0)</f>
        <v>18701286</v>
      </c>
      <c r="D191" s="402">
        <f>MAX(TREND(D184:D185,$B184:$B185,$B191),0)</f>
        <v>16564065</v>
      </c>
      <c r="E191" s="401">
        <f>MAX(TREND(E184:E185,$B184:$B185,$B191),0)</f>
        <v>269589</v>
      </c>
      <c r="F191" s="813">
        <f>MAX(TREND(F184:F185,$B184:$B185,$B191),0)</f>
        <v>238345</v>
      </c>
      <c r="G191" s="435">
        <f t="shared" si="66"/>
        <v>69.400000000000006</v>
      </c>
      <c r="H191" s="436">
        <f t="shared" si="67"/>
        <v>69.5</v>
      </c>
      <c r="I191" s="401">
        <f>MAX(TREND(I184:I185,$B184:$B185,$B191),0)</f>
        <v>0</v>
      </c>
      <c r="J191" s="813">
        <f>MAX(TREND(J184:J185,$B184:$B185,$B191),0)</f>
        <v>0</v>
      </c>
      <c r="K191" s="402">
        <f>TREND(K184:K185,$B184:$B185,$B191)</f>
        <v>1</v>
      </c>
      <c r="L191" s="816">
        <f>MIN(MAX(TREND(L184:L185,$B184:$B185,$B191),0),1)</f>
        <v>0.24</v>
      </c>
      <c r="M191" s="406">
        <f>MIN(MAX(TREND(M184:M185,$B184:$B185,$B191),0),1)</f>
        <v>0.24</v>
      </c>
      <c r="N191" s="828">
        <f>MAX(TREND(N184:N185,$B184:$B185,$B191),0)</f>
        <v>0</v>
      </c>
      <c r="O191" s="829">
        <f>MAX(TREND(O184:O185,$B184:$B185,$B191),0)</f>
        <v>0</v>
      </c>
      <c r="P191" s="399">
        <f t="shared" si="68"/>
        <v>337509.94031999982</v>
      </c>
      <c r="Q191" s="706">
        <f t="shared" si="69"/>
        <v>803937.05135999969</v>
      </c>
      <c r="R191" s="400">
        <f t="shared" si="70"/>
        <v>0</v>
      </c>
      <c r="S191" s="369">
        <f t="shared" si="71"/>
        <v>1141446.9916799995</v>
      </c>
      <c r="T191" s="370">
        <f t="shared" si="72"/>
        <v>834044.1363495565</v>
      </c>
    </row>
    <row r="192" spans="1:20" x14ac:dyDescent="0.25">
      <c r="B192" s="375">
        <f t="shared" si="73"/>
        <v>2031</v>
      </c>
      <c r="C192" s="401">
        <f>MAX(TREND(C184:C185,$B184:$B185,$B192),0)</f>
        <v>18940306.25</v>
      </c>
      <c r="D192" s="402">
        <f>MAX(TREND(D184:D185,$B184:$B185,$B192),0)</f>
        <v>16744740</v>
      </c>
      <c r="E192" s="401">
        <f>MAX(TREND(E184:E185,$B184:$B185,$B192),0)</f>
        <v>273111.25</v>
      </c>
      <c r="F192" s="813">
        <f>MAX(TREND(F184:F185,$B184:$B185,$B192),0)</f>
        <v>240991.25</v>
      </c>
      <c r="G192" s="435">
        <f t="shared" si="66"/>
        <v>69.400000000000006</v>
      </c>
      <c r="H192" s="436">
        <f t="shared" si="67"/>
        <v>69.5</v>
      </c>
      <c r="I192" s="401">
        <f>MAX(TREND(I184:I185,$B184:$B185,$B192),0)</f>
        <v>0</v>
      </c>
      <c r="J192" s="813">
        <f>MAX(TREND(J184:J185,$B184:$B185,$B192),0)</f>
        <v>0</v>
      </c>
      <c r="K192" s="402">
        <f>TREND(K184:K185,$B184:$B185,$B192)</f>
        <v>1</v>
      </c>
      <c r="L192" s="816">
        <f>MIN(MAX(TREND(L184:L185,$B184:$B185,$B192),0),1)</f>
        <v>0.24</v>
      </c>
      <c r="M192" s="406">
        <f>MIN(MAX(TREND(M184:M185,$B184:$B185,$B192),0),1)</f>
        <v>0.24</v>
      </c>
      <c r="N192" s="828">
        <f>MAX(TREND(N184:N185,$B184:$B185,$B192),0)</f>
        <v>0</v>
      </c>
      <c r="O192" s="829">
        <f>MAX(TREND(O184:O185,$B184:$B185,$B192),0)</f>
        <v>0</v>
      </c>
      <c r="P192" s="399">
        <f t="shared" si="68"/>
        <v>346723.82220000017</v>
      </c>
      <c r="Q192" s="706">
        <f t="shared" si="69"/>
        <v>825884.2006000001</v>
      </c>
      <c r="R192" s="400">
        <f t="shared" si="70"/>
        <v>0</v>
      </c>
      <c r="S192" s="369">
        <f t="shared" si="71"/>
        <v>1172608.0228000004</v>
      </c>
      <c r="T192" s="370">
        <f t="shared" si="72"/>
        <v>823858.8428525991</v>
      </c>
    </row>
    <row r="193" spans="2:20" x14ac:dyDescent="0.25">
      <c r="B193" s="375">
        <f t="shared" si="73"/>
        <v>2032</v>
      </c>
      <c r="C193" s="401">
        <f>MAX(TREND(C184:C185,$B184:$B185,$B193),0)</f>
        <v>19179326.5</v>
      </c>
      <c r="D193" s="402">
        <f>MAX(TREND(D184:D185,$B184:$B185,$B193),0)</f>
        <v>16925415</v>
      </c>
      <c r="E193" s="401">
        <f>MAX(TREND(E184:E185,$B184:$B185,$B193),0)</f>
        <v>276633.5</v>
      </c>
      <c r="F193" s="813">
        <f>MAX(TREND(F184:F185,$B184:$B185,$B193),0)</f>
        <v>243637.5</v>
      </c>
      <c r="G193" s="435">
        <f t="shared" si="66"/>
        <v>69.3</v>
      </c>
      <c r="H193" s="436">
        <f t="shared" si="67"/>
        <v>69.5</v>
      </c>
      <c r="I193" s="401">
        <f>MAX(TREND(I184:I185,$B184:$B185,$B193),0)</f>
        <v>0</v>
      </c>
      <c r="J193" s="813">
        <f>MAX(TREND(J184:J185,$B184:$B185,$B193),0)</f>
        <v>0</v>
      </c>
      <c r="K193" s="402">
        <f>TREND(K184:K185,$B184:$B185,$B193)</f>
        <v>1</v>
      </c>
      <c r="L193" s="816">
        <f>MIN(MAX(TREND(L184:L185,$B184:$B185,$B193),0),1)</f>
        <v>0.24</v>
      </c>
      <c r="M193" s="406">
        <f>MIN(MAX(TREND(M184:M185,$B184:$B185,$B193),0),1)</f>
        <v>0.24</v>
      </c>
      <c r="N193" s="828">
        <f>MAX(TREND(N184:N185,$B184:$B185,$B193),0)</f>
        <v>0</v>
      </c>
      <c r="O193" s="829">
        <f>MAX(TREND(O184:O185,$B184:$B185,$B193),0)</f>
        <v>0</v>
      </c>
      <c r="P193" s="399">
        <f t="shared" si="68"/>
        <v>355937.70408000029</v>
      </c>
      <c r="Q193" s="706">
        <f t="shared" si="69"/>
        <v>847831.34983999992</v>
      </c>
      <c r="R193" s="400">
        <f t="shared" si="70"/>
        <v>0</v>
      </c>
      <c r="S193" s="369">
        <f t="shared" si="71"/>
        <v>1203769.0539200003</v>
      </c>
      <c r="T193" s="370">
        <f t="shared" si="72"/>
        <v>813223.2403696829</v>
      </c>
    </row>
    <row r="194" spans="2:20" x14ac:dyDescent="0.25">
      <c r="B194" s="375">
        <f t="shared" si="73"/>
        <v>2033</v>
      </c>
      <c r="C194" s="401">
        <f>MAX(TREND(C184:C185,$B184:$B185,$B194),0)</f>
        <v>19418346.75</v>
      </c>
      <c r="D194" s="402">
        <f>MAX(TREND(D184:D185,$B184:$B185,$B194),0)</f>
        <v>17106090</v>
      </c>
      <c r="E194" s="401">
        <f>MAX(TREND(E184:E185,$B184:$B185,$B194),0)</f>
        <v>280155.75</v>
      </c>
      <c r="F194" s="813">
        <f>MAX(TREND(F184:F185,$B184:$B185,$B194),0)</f>
        <v>246283.75</v>
      </c>
      <c r="G194" s="435">
        <f t="shared" si="66"/>
        <v>69.3</v>
      </c>
      <c r="H194" s="436">
        <f t="shared" si="67"/>
        <v>69.5</v>
      </c>
      <c r="I194" s="401">
        <f>MAX(TREND(I184:I185,$B184:$B185,$B194),0)</f>
        <v>0</v>
      </c>
      <c r="J194" s="813">
        <f>MAX(TREND(J184:J185,$B184:$B185,$B194),0)</f>
        <v>0</v>
      </c>
      <c r="K194" s="402">
        <f>TREND(K184:K185,$B184:$B185,$B194)</f>
        <v>1</v>
      </c>
      <c r="L194" s="816">
        <f>MIN(MAX(TREND(L184:L185,$B184:$B185,$B194),0),1)</f>
        <v>0.24</v>
      </c>
      <c r="M194" s="406">
        <f>MIN(MAX(TREND(M184:M185,$B184:$B185,$B194),0),1)</f>
        <v>0.24</v>
      </c>
      <c r="N194" s="828">
        <f>MAX(TREND(N184:N185,$B184:$B185,$B194),0)</f>
        <v>0</v>
      </c>
      <c r="O194" s="829">
        <f>MAX(TREND(O184:O185,$B184:$B185,$B194),0)</f>
        <v>0</v>
      </c>
      <c r="P194" s="399">
        <f t="shared" si="68"/>
        <v>365151.58595999994</v>
      </c>
      <c r="Q194" s="706">
        <f t="shared" si="69"/>
        <v>869778.49907999963</v>
      </c>
      <c r="R194" s="400">
        <f t="shared" si="70"/>
        <v>0</v>
      </c>
      <c r="S194" s="369">
        <f t="shared" si="71"/>
        <v>1234930.0850399996</v>
      </c>
      <c r="T194" s="370">
        <f t="shared" si="72"/>
        <v>802187.03505578858</v>
      </c>
    </row>
    <row r="195" spans="2:20" x14ac:dyDescent="0.25">
      <c r="B195" s="375">
        <f t="shared" si="73"/>
        <v>2034</v>
      </c>
      <c r="C195" s="401">
        <f>MAX(TREND(C184:C185,$B184:$B185,$B195),0)</f>
        <v>19657367</v>
      </c>
      <c r="D195" s="402">
        <f>MAX(TREND(D184:D185,$B184:$B185,$B195),0)</f>
        <v>17286765</v>
      </c>
      <c r="E195" s="401">
        <f>MAX(TREND(E184:E185,$B184:$B185,$B195),0)</f>
        <v>283678</v>
      </c>
      <c r="F195" s="813">
        <f>MAX(TREND(F184:F185,$B184:$B185,$B195),0)</f>
        <v>248930</v>
      </c>
      <c r="G195" s="435">
        <f t="shared" si="66"/>
        <v>69.3</v>
      </c>
      <c r="H195" s="436">
        <f t="shared" si="67"/>
        <v>69.400000000000006</v>
      </c>
      <c r="I195" s="401">
        <f>MAX(TREND(I184:I185,$B184:$B185,$B195),0)</f>
        <v>0</v>
      </c>
      <c r="J195" s="813">
        <f>MAX(TREND(J184:J185,$B184:$B185,$B195),0)</f>
        <v>0</v>
      </c>
      <c r="K195" s="402">
        <f>TREND(K184:K185,$B184:$B185,$B195)</f>
        <v>1</v>
      </c>
      <c r="L195" s="816">
        <f>MIN(MAX(TREND(L184:L185,$B184:$B185,$B195),0),1)</f>
        <v>0.24</v>
      </c>
      <c r="M195" s="406">
        <f>MIN(MAX(TREND(M184:M185,$B184:$B185,$B195),0),1)</f>
        <v>0.24</v>
      </c>
      <c r="N195" s="828">
        <f>MAX(TREND(N184:N185,$B184:$B185,$B195),0)</f>
        <v>0</v>
      </c>
      <c r="O195" s="829">
        <f>MAX(TREND(O184:O185,$B184:$B185,$B195),0)</f>
        <v>0</v>
      </c>
      <c r="P195" s="399">
        <f t="shared" si="68"/>
        <v>374365.46784000017</v>
      </c>
      <c r="Q195" s="706">
        <f t="shared" si="69"/>
        <v>891725.64832000004</v>
      </c>
      <c r="R195" s="400">
        <f t="shared" si="70"/>
        <v>0</v>
      </c>
      <c r="S195" s="369">
        <f t="shared" si="71"/>
        <v>1266091.1161600002</v>
      </c>
      <c r="T195" s="370">
        <f t="shared" si="72"/>
        <v>790796.77565306763</v>
      </c>
    </row>
    <row r="196" spans="2:20" x14ac:dyDescent="0.25">
      <c r="B196" s="375">
        <f t="shared" si="73"/>
        <v>2035</v>
      </c>
      <c r="C196" s="401">
        <f>MAX(TREND(C184:C185,$B184:$B185,$B196),0)</f>
        <v>19896387.25</v>
      </c>
      <c r="D196" s="402">
        <f>MAX(TREND(D184:D185,$B184:$B185,$B196),0)</f>
        <v>17467440</v>
      </c>
      <c r="E196" s="401">
        <f>MAX(TREND(E184:E185,$B184:$B185,$B196),0)</f>
        <v>287200.25</v>
      </c>
      <c r="F196" s="813">
        <f>MAX(TREND(F184:F185,$B184:$B185,$B196),0)</f>
        <v>251576.25</v>
      </c>
      <c r="G196" s="435">
        <f t="shared" si="66"/>
        <v>69.3</v>
      </c>
      <c r="H196" s="436">
        <f t="shared" si="67"/>
        <v>69.400000000000006</v>
      </c>
      <c r="I196" s="401">
        <f>MAX(TREND(I184:I185,$B184:$B185,$B196),0)</f>
        <v>0</v>
      </c>
      <c r="J196" s="813">
        <f>MAX(TREND(J184:J185,$B184:$B185,$B196),0)</f>
        <v>0</v>
      </c>
      <c r="K196" s="402">
        <f>TREND(K184:K185,$B184:$B185,$B196)</f>
        <v>1</v>
      </c>
      <c r="L196" s="816">
        <f>MIN(MAX(TREND(L184:L185,$B184:$B185,$B196),0),1)</f>
        <v>0.24</v>
      </c>
      <c r="M196" s="406">
        <f>MIN(MAX(TREND(M184:M185,$B184:$B185,$B196),0),1)</f>
        <v>0.24</v>
      </c>
      <c r="N196" s="828">
        <f>MAX(TREND(N184:N185,$B184:$B185,$B196),0)</f>
        <v>0</v>
      </c>
      <c r="O196" s="829">
        <f>MAX(TREND(O184:O185,$B184:$B185,$B196),0)</f>
        <v>0</v>
      </c>
      <c r="P196" s="399">
        <f t="shared" si="68"/>
        <v>383579.34971999982</v>
      </c>
      <c r="Q196" s="706">
        <f t="shared" si="69"/>
        <v>913672.79755999998</v>
      </c>
      <c r="R196" s="400">
        <f t="shared" si="70"/>
        <v>0</v>
      </c>
      <c r="S196" s="369">
        <f t="shared" si="71"/>
        <v>1297252.1472799997</v>
      </c>
      <c r="T196" s="370">
        <f t="shared" si="72"/>
        <v>779096.02283893456</v>
      </c>
    </row>
    <row r="197" spans="2:20" x14ac:dyDescent="0.25">
      <c r="B197" s="375">
        <f t="shared" si="73"/>
        <v>2036</v>
      </c>
      <c r="C197" s="401">
        <f>MAX(TREND(C184:C185,$B184:$B185,$B197),0)</f>
        <v>20135407.5</v>
      </c>
      <c r="D197" s="402">
        <f>MAX(TREND(D184:D185,$B184:$B185,$B197),0)</f>
        <v>17648115</v>
      </c>
      <c r="E197" s="401">
        <f>MAX(TREND(E184:E185,$B184:$B185,$B197),0)</f>
        <v>290722.5</v>
      </c>
      <c r="F197" s="813">
        <f>MAX(TREND(F184:F185,$B184:$B185,$B197),0)</f>
        <v>254222.5</v>
      </c>
      <c r="G197" s="435">
        <f t="shared" si="66"/>
        <v>69.3</v>
      </c>
      <c r="H197" s="436">
        <f t="shared" si="67"/>
        <v>69.400000000000006</v>
      </c>
      <c r="I197" s="401">
        <f>MAX(TREND(I184:I185,$B184:$B185,$B197),0)</f>
        <v>0</v>
      </c>
      <c r="J197" s="813">
        <f>MAX(TREND(J184:J185,$B184:$B185,$B197),0)</f>
        <v>0</v>
      </c>
      <c r="K197" s="402">
        <f>TREND(K184:K185,$B184:$B185,$B197)</f>
        <v>1</v>
      </c>
      <c r="L197" s="816">
        <f>MIN(MAX(TREND(L184:L185,$B184:$B185,$B197),0),1)</f>
        <v>0.24</v>
      </c>
      <c r="M197" s="406">
        <f>MIN(MAX(TREND(M184:M185,$B184:$B185,$B197),0),1)</f>
        <v>0.24</v>
      </c>
      <c r="N197" s="828">
        <f>MAX(TREND(N184:N185,$B184:$B185,$B197),0)</f>
        <v>0</v>
      </c>
      <c r="O197" s="829">
        <f>MAX(TREND(O184:O185,$B184:$B185,$B197),0)</f>
        <v>0</v>
      </c>
      <c r="P197" s="399">
        <f t="shared" si="68"/>
        <v>392793.23159999959</v>
      </c>
      <c r="Q197" s="706">
        <f t="shared" si="69"/>
        <v>935619.94679999969</v>
      </c>
      <c r="R197" s="400">
        <f t="shared" si="70"/>
        <v>0</v>
      </c>
      <c r="S197" s="369">
        <f t="shared" si="71"/>
        <v>1328413.1783999992</v>
      </c>
      <c r="T197" s="370">
        <f t="shared" si="72"/>
        <v>767125.51021811774</v>
      </c>
    </row>
    <row r="198" spans="2:20" x14ac:dyDescent="0.25">
      <c r="B198" s="375">
        <f t="shared" si="73"/>
        <v>2037</v>
      </c>
      <c r="C198" s="401">
        <f>MAX(TREND(C184:C185,$B184:$B185,$B198),0)</f>
        <v>20374427.75</v>
      </c>
      <c r="D198" s="402">
        <f>MAX(TREND(D184:D185,$B184:$B185,$B198),0)</f>
        <v>17828790</v>
      </c>
      <c r="E198" s="401">
        <f>MAX(TREND(E184:E185,$B184:$B185,$B198),0)</f>
        <v>294244.75</v>
      </c>
      <c r="F198" s="813">
        <f>MAX(TREND(F184:F185,$B184:$B185,$B198),0)</f>
        <v>256868.75</v>
      </c>
      <c r="G198" s="435">
        <f t="shared" si="66"/>
        <v>69.2</v>
      </c>
      <c r="H198" s="436">
        <f t="shared" si="67"/>
        <v>69.400000000000006</v>
      </c>
      <c r="I198" s="401">
        <f>MAX(TREND(I184:I185,$B184:$B185,$B198),0)</f>
        <v>0</v>
      </c>
      <c r="J198" s="813">
        <f>MAX(TREND(J184:J185,$B184:$B185,$B198),0)</f>
        <v>0</v>
      </c>
      <c r="K198" s="402">
        <f>TREND(K184:K185,$B184:$B185,$B198)</f>
        <v>1</v>
      </c>
      <c r="L198" s="816">
        <f>MIN(MAX(TREND(L184:L185,$B184:$B185,$B198),0),1)</f>
        <v>0.24</v>
      </c>
      <c r="M198" s="406">
        <f>MIN(MAX(TREND(M184:M185,$B184:$B185,$B198),0),1)</f>
        <v>0.24</v>
      </c>
      <c r="N198" s="828">
        <f>MAX(TREND(N184:N185,$B184:$B185,$B198),0)</f>
        <v>0</v>
      </c>
      <c r="O198" s="829">
        <f>MAX(TREND(O184:O185,$B184:$B185,$B198),0)</f>
        <v>0</v>
      </c>
      <c r="P198" s="399">
        <f t="shared" si="68"/>
        <v>402007.11348000029</v>
      </c>
      <c r="Q198" s="706">
        <f t="shared" si="69"/>
        <v>957567.09603999997</v>
      </c>
      <c r="R198" s="400">
        <f t="shared" si="70"/>
        <v>0</v>
      </c>
      <c r="S198" s="369">
        <f t="shared" si="71"/>
        <v>1359574.2095200003</v>
      </c>
      <c r="T198" s="370">
        <f t="shared" si="72"/>
        <v>754923.29735091666</v>
      </c>
    </row>
    <row r="199" spans="2:20" x14ac:dyDescent="0.25">
      <c r="B199" s="375">
        <f t="shared" si="73"/>
        <v>2038</v>
      </c>
      <c r="C199" s="401">
        <f>MAX(TREND(C184:C185,$B184:$B185,$B199),0)</f>
        <v>20613448</v>
      </c>
      <c r="D199" s="402">
        <f>MAX(TREND(D184:D185,$B184:$B185,$B199),0)</f>
        <v>18009465</v>
      </c>
      <c r="E199" s="401">
        <f>MAX(TREND(E184:E185,$B184:$B185,$B199),0)</f>
        <v>297767</v>
      </c>
      <c r="F199" s="813">
        <f>MAX(TREND(F184:F185,$B184:$B185,$B199),0)</f>
        <v>259515</v>
      </c>
      <c r="G199" s="435">
        <f t="shared" si="66"/>
        <v>69.2</v>
      </c>
      <c r="H199" s="436">
        <f t="shared" si="67"/>
        <v>69.400000000000006</v>
      </c>
      <c r="I199" s="401">
        <f>MAX(TREND(I184:I185,$B184:$B185,$B199),0)</f>
        <v>0</v>
      </c>
      <c r="J199" s="813">
        <f>MAX(TREND(J184:J185,$B184:$B185,$B199),0)</f>
        <v>0</v>
      </c>
      <c r="K199" s="402">
        <f>TREND(K184:K185,$B184:$B185,$B199)</f>
        <v>1</v>
      </c>
      <c r="L199" s="816">
        <f>MIN(MAX(TREND(L184:L185,$B184:$B185,$B199),0),1)</f>
        <v>0.24</v>
      </c>
      <c r="M199" s="406">
        <f>MIN(MAX(TREND(M184:M185,$B184:$B185,$B199),0),1)</f>
        <v>0.24</v>
      </c>
      <c r="N199" s="828">
        <f>MAX(TREND(N184:N185,$B184:$B185,$B199),0)</f>
        <v>0</v>
      </c>
      <c r="O199" s="829">
        <f>MAX(TREND(O184:O185,$B184:$B185,$B199),0)</f>
        <v>0</v>
      </c>
      <c r="P199" s="399">
        <f t="shared" si="68"/>
        <v>411220.99535999994</v>
      </c>
      <c r="Q199" s="706">
        <f t="shared" si="69"/>
        <v>979514.24527999992</v>
      </c>
      <c r="R199" s="400">
        <f t="shared" si="70"/>
        <v>0</v>
      </c>
      <c r="S199" s="369">
        <f t="shared" si="71"/>
        <v>1390735.24064</v>
      </c>
      <c r="T199" s="370">
        <f t="shared" si="72"/>
        <v>742524.91519211151</v>
      </c>
    </row>
    <row r="200" spans="2:20" x14ac:dyDescent="0.25">
      <c r="B200" s="375">
        <f t="shared" si="73"/>
        <v>2039</v>
      </c>
      <c r="C200" s="401">
        <f>MAX(TREND(C184:C185,$B184:$B185,$B200),0)</f>
        <v>20852468.25</v>
      </c>
      <c r="D200" s="402">
        <f>MAX(TREND(D184:D185,$B184:$B185,$B200),0)</f>
        <v>18190140</v>
      </c>
      <c r="E200" s="401">
        <f>MAX(TREND(E184:E185,$B184:$B185,$B200),0)</f>
        <v>301289.25</v>
      </c>
      <c r="F200" s="813">
        <f>MAX(TREND(F184:F185,$B184:$B185,$B200),0)</f>
        <v>262161.25</v>
      </c>
      <c r="G200" s="435">
        <f t="shared" si="66"/>
        <v>69.2</v>
      </c>
      <c r="H200" s="436">
        <f t="shared" si="67"/>
        <v>69.400000000000006</v>
      </c>
      <c r="I200" s="401">
        <f>MAX(TREND(I184:I185,$B184:$B185,$B200),0)</f>
        <v>0</v>
      </c>
      <c r="J200" s="813">
        <f>MAX(TREND(J184:J185,$B184:$B185,$B200),0)</f>
        <v>0</v>
      </c>
      <c r="K200" s="402">
        <f>TREND(K184:K185,$B184:$B185,$B200)</f>
        <v>1</v>
      </c>
      <c r="L200" s="816">
        <f>MIN(MAX(TREND(L184:L185,$B184:$B185,$B200),0),1)</f>
        <v>0.24</v>
      </c>
      <c r="M200" s="406">
        <f>MIN(MAX(TREND(M184:M185,$B184:$B185,$B200),0),1)</f>
        <v>0.24</v>
      </c>
      <c r="N200" s="828">
        <f>MAX(TREND(N184:N185,$B184:$B185,$B200),0)</f>
        <v>0</v>
      </c>
      <c r="O200" s="829">
        <f>MAX(TREND(O184:O185,$B184:$B185,$B200),0)</f>
        <v>0</v>
      </c>
      <c r="P200" s="399">
        <f t="shared" si="68"/>
        <v>420434.87724000006</v>
      </c>
      <c r="Q200" s="706">
        <f t="shared" si="69"/>
        <v>1001461.3945200003</v>
      </c>
      <c r="R200" s="400">
        <f t="shared" si="70"/>
        <v>0</v>
      </c>
      <c r="S200" s="369">
        <f t="shared" si="71"/>
        <v>1421896.2717600004</v>
      </c>
      <c r="T200" s="370">
        <f t="shared" si="72"/>
        <v>729963.50429796218</v>
      </c>
    </row>
    <row r="201" spans="2:20" x14ac:dyDescent="0.25">
      <c r="B201" s="375">
        <f t="shared" si="73"/>
        <v>2040</v>
      </c>
      <c r="C201" s="401">
        <f>MAX(TREND(C184:C185,$B184:$B185,$B201),0)</f>
        <v>21091488.5</v>
      </c>
      <c r="D201" s="402">
        <f>MAX(TREND(D184:D185,$B184:$B185,$B201),0)</f>
        <v>18370815</v>
      </c>
      <c r="E201" s="401">
        <f>MAX(TREND(E184:E185,$B184:$B185,$B201),0)</f>
        <v>304811.5</v>
      </c>
      <c r="F201" s="813">
        <f>MAX(TREND(F184:F185,$B184:$B185,$B201),0)</f>
        <v>264807.5</v>
      </c>
      <c r="G201" s="435">
        <f t="shared" si="66"/>
        <v>69.2</v>
      </c>
      <c r="H201" s="436">
        <f t="shared" si="67"/>
        <v>69.400000000000006</v>
      </c>
      <c r="I201" s="401">
        <f>MAX(TREND(I184:I185,$B184:$B185,$B201),0)</f>
        <v>0</v>
      </c>
      <c r="J201" s="813">
        <f>MAX(TREND(J184:J185,$B184:$B185,$B201),0)</f>
        <v>0</v>
      </c>
      <c r="K201" s="402">
        <f>TREND(K184:K185,$B184:$B185,$B201)</f>
        <v>1</v>
      </c>
      <c r="L201" s="816">
        <f>MIN(MAX(TREND(L184:L185,$B184:$B185,$B201),0),1)</f>
        <v>0.24</v>
      </c>
      <c r="M201" s="406">
        <f>MIN(MAX(TREND(M184:M185,$B184:$B185,$B201),0),1)</f>
        <v>0.24</v>
      </c>
      <c r="N201" s="828">
        <f>MAX(TREND(N184:N185,$B184:$B185,$B201),0)</f>
        <v>0</v>
      </c>
      <c r="O201" s="829">
        <f>MAX(TREND(O184:O185,$B184:$B185,$B201),0)</f>
        <v>0</v>
      </c>
      <c r="P201" s="399">
        <f t="shared" si="68"/>
        <v>429648.75912000018</v>
      </c>
      <c r="Q201" s="706">
        <f t="shared" si="69"/>
        <v>1023408.54376</v>
      </c>
      <c r="R201" s="400">
        <f t="shared" si="70"/>
        <v>0</v>
      </c>
      <c r="S201" s="369">
        <f t="shared" si="71"/>
        <v>1453057.3028800003</v>
      </c>
      <c r="T201" s="370">
        <f t="shared" si="72"/>
        <v>717269.94614242739</v>
      </c>
    </row>
    <row r="202" spans="2:20" x14ac:dyDescent="0.25">
      <c r="B202" s="375">
        <f t="shared" si="73"/>
        <v>2041</v>
      </c>
      <c r="C202" s="401">
        <f>MAX(TREND(C184:C185,$B184:$B185,$B202),0)</f>
        <v>21330508.75</v>
      </c>
      <c r="D202" s="402">
        <f>MAX(TREND(D184:D185,$B184:$B185,$B202),0)</f>
        <v>18551490</v>
      </c>
      <c r="E202" s="401">
        <f>MAX(TREND(E184:E185,$B184:$B185,$B202),0)</f>
        <v>308333.75</v>
      </c>
      <c r="F202" s="813">
        <f>MAX(TREND(F184:F185,$B184:$B185,$B202),0)</f>
        <v>267453.75</v>
      </c>
      <c r="G202" s="435">
        <f t="shared" si="66"/>
        <v>69.2</v>
      </c>
      <c r="H202" s="436">
        <f t="shared" si="67"/>
        <v>69.400000000000006</v>
      </c>
      <c r="I202" s="401">
        <f>MAX(TREND(I184:I185,$B184:$B185,$B202),0)</f>
        <v>0</v>
      </c>
      <c r="J202" s="813">
        <f>MAX(TREND(J184:J185,$B184:$B185,$B202),0)</f>
        <v>0</v>
      </c>
      <c r="K202" s="402">
        <f>TREND(K184:K185,$B184:$B185,$B202)</f>
        <v>1</v>
      </c>
      <c r="L202" s="816">
        <f>MIN(MAX(TREND(L184:L185,$B184:$B185,$B202),0),1)</f>
        <v>0.24</v>
      </c>
      <c r="M202" s="406">
        <f>MIN(MAX(TREND(M184:M185,$B184:$B185,$B202),0),1)</f>
        <v>0.24</v>
      </c>
      <c r="N202" s="828">
        <f>MAX(TREND(N184:N185,$B184:$B185,$B202),0)</f>
        <v>0</v>
      </c>
      <c r="O202" s="829">
        <f>MAX(TREND(O184:O185,$B184:$B185,$B202),0)</f>
        <v>0</v>
      </c>
      <c r="P202" s="399">
        <f t="shared" si="68"/>
        <v>438862.64099999983</v>
      </c>
      <c r="Q202" s="706">
        <f t="shared" si="69"/>
        <v>1045355.693</v>
      </c>
      <c r="R202" s="400">
        <f t="shared" si="70"/>
        <v>0</v>
      </c>
      <c r="S202" s="369">
        <f t="shared" si="71"/>
        <v>1484218.3339999998</v>
      </c>
      <c r="T202" s="370">
        <f t="shared" si="72"/>
        <v>704472.98786823847</v>
      </c>
    </row>
    <row r="203" spans="2:20" x14ac:dyDescent="0.25">
      <c r="B203" s="375">
        <f t="shared" si="73"/>
        <v>2042</v>
      </c>
      <c r="C203" s="401">
        <f>MAX(TREND(C184:C185,$B184:$B185,$B203),0)</f>
        <v>21569529</v>
      </c>
      <c r="D203" s="402">
        <f>MAX(TREND(D184:D185,$B184:$B185,$B203),0)</f>
        <v>18732165</v>
      </c>
      <c r="E203" s="401">
        <f>MAX(TREND(E184:E185,$B184:$B185,$B203),0)</f>
        <v>311856</v>
      </c>
      <c r="F203" s="813">
        <f>MAX(TREND(F184:F185,$B184:$B185,$B203),0)</f>
        <v>270100</v>
      </c>
      <c r="G203" s="435">
        <f t="shared" si="66"/>
        <v>69.2</v>
      </c>
      <c r="H203" s="436">
        <f t="shared" si="67"/>
        <v>69.400000000000006</v>
      </c>
      <c r="I203" s="401">
        <f>MAX(TREND(I184:I185,$B184:$B185,$B203),0)</f>
        <v>0</v>
      </c>
      <c r="J203" s="813">
        <f>MAX(TREND(J184:J185,$B184:$B185,$B203),0)</f>
        <v>0</v>
      </c>
      <c r="K203" s="402">
        <f>TREND(K184:K185,$B184:$B185,$B203)</f>
        <v>1</v>
      </c>
      <c r="L203" s="816">
        <f>MIN(MAX(TREND(L184:L185,$B184:$B185,$B203),0),1)</f>
        <v>0.24</v>
      </c>
      <c r="M203" s="406">
        <f>MIN(MAX(TREND(M184:M185,$B184:$B185,$B203),0),1)</f>
        <v>0.24</v>
      </c>
      <c r="N203" s="828">
        <f>MAX(TREND(N184:N185,$B184:$B185,$B203),0)</f>
        <v>0</v>
      </c>
      <c r="O203" s="829">
        <f>MAX(TREND(O184:O185,$B184:$B185,$B203),0)</f>
        <v>0</v>
      </c>
      <c r="P203" s="399">
        <f t="shared" si="68"/>
        <v>448076.52288000006</v>
      </c>
      <c r="Q203" s="706">
        <f t="shared" si="69"/>
        <v>1067302.8422400004</v>
      </c>
      <c r="R203" s="400">
        <f t="shared" si="70"/>
        <v>0</v>
      </c>
      <c r="S203" s="369">
        <f t="shared" si="71"/>
        <v>1515379.3651200004</v>
      </c>
      <c r="T203" s="370">
        <f t="shared" si="72"/>
        <v>691599.36078356975</v>
      </c>
    </row>
    <row r="204" spans="2:20" x14ac:dyDescent="0.25">
      <c r="B204" s="375">
        <f t="shared" si="73"/>
        <v>2043</v>
      </c>
      <c r="C204" s="401">
        <f>MAX(TREND(C184:C185,$B184:$B185,$B204),0)</f>
        <v>21808549.25</v>
      </c>
      <c r="D204" s="402">
        <f>MAX(TREND(D184:D185,$B184:$B185,$B204),0)</f>
        <v>18912840</v>
      </c>
      <c r="E204" s="401">
        <f>MAX(TREND(E184:E185,$B184:$B185,$B204),0)</f>
        <v>315378.25</v>
      </c>
      <c r="F204" s="813">
        <f>MAX(TREND(F184:F185,$B184:$B185,$B204),0)</f>
        <v>272746.25</v>
      </c>
      <c r="G204" s="435">
        <f t="shared" si="66"/>
        <v>69.2</v>
      </c>
      <c r="H204" s="436">
        <f t="shared" si="67"/>
        <v>69.3</v>
      </c>
      <c r="I204" s="401">
        <f>MAX(TREND(I184:I185,$B184:$B185,$B204),0)</f>
        <v>0</v>
      </c>
      <c r="J204" s="813">
        <f>MAX(TREND(J184:J185,$B184:$B185,$B204),0)</f>
        <v>0</v>
      </c>
      <c r="K204" s="402">
        <f>TREND(K184:K185,$B184:$B185,$B204)</f>
        <v>1</v>
      </c>
      <c r="L204" s="816">
        <f>MIN(MAX(TREND(L184:L185,$B184:$B185,$B204),0),1)</f>
        <v>0.24</v>
      </c>
      <c r="M204" s="406">
        <f>MIN(MAX(TREND(M184:M185,$B184:$B185,$B204),0),1)</f>
        <v>0.24</v>
      </c>
      <c r="N204" s="828">
        <f>MAX(TREND(N184:N185,$B184:$B185,$B204),0)</f>
        <v>0</v>
      </c>
      <c r="O204" s="829">
        <f>MAX(TREND(O184:O185,$B184:$B185,$B204),0)</f>
        <v>0</v>
      </c>
      <c r="P204" s="399">
        <f t="shared" si="68"/>
        <v>457290.40476000024</v>
      </c>
      <c r="Q204" s="706">
        <f t="shared" si="69"/>
        <v>1089249.9914799996</v>
      </c>
      <c r="R204" s="400">
        <f t="shared" si="70"/>
        <v>0</v>
      </c>
      <c r="S204" s="369">
        <f t="shared" si="71"/>
        <v>1546540.3962399999</v>
      </c>
      <c r="T204" s="370">
        <f t="shared" si="72"/>
        <v>678673.89290087461</v>
      </c>
    </row>
    <row r="205" spans="2:20" x14ac:dyDescent="0.25">
      <c r="B205" s="375">
        <f t="shared" si="73"/>
        <v>2044</v>
      </c>
      <c r="C205" s="401">
        <f>MAX(TREND(C184:C185,$B184:$B185,$B205),0)</f>
        <v>22047569.5</v>
      </c>
      <c r="D205" s="402">
        <f>MAX(TREND(D184:D185,$B184:$B185,$B205),0)</f>
        <v>19093515</v>
      </c>
      <c r="E205" s="401">
        <f>MAX(TREND(E184:E185,$B184:$B185,$B205),0)</f>
        <v>318900.5</v>
      </c>
      <c r="F205" s="813">
        <f>MAX(TREND(F184:F185,$B184:$B185,$B205),0)</f>
        <v>275392.5</v>
      </c>
      <c r="G205" s="435">
        <f t="shared" si="66"/>
        <v>69.099999999999994</v>
      </c>
      <c r="H205" s="436">
        <f t="shared" si="67"/>
        <v>69.3</v>
      </c>
      <c r="I205" s="401">
        <f>MAX(TREND(I184:I185,$B184:$B185,$B205),0)</f>
        <v>0</v>
      </c>
      <c r="J205" s="813">
        <f>MAX(TREND(J184:J185,$B184:$B185,$B205),0)</f>
        <v>0</v>
      </c>
      <c r="K205" s="402">
        <f>TREND(K184:K185,$B184:$B185,$B205)</f>
        <v>1</v>
      </c>
      <c r="L205" s="816">
        <f>MIN(MAX(TREND(L184:L185,$B184:$B185,$B205),0),1)</f>
        <v>0.24</v>
      </c>
      <c r="M205" s="406">
        <f>MIN(MAX(TREND(M184:M185,$B184:$B185,$B205),0),1)</f>
        <v>0.24</v>
      </c>
      <c r="N205" s="828">
        <f>MAX(TREND(N184:N185,$B184:$B185,$B205),0)</f>
        <v>0</v>
      </c>
      <c r="O205" s="829">
        <f>MAX(TREND(O184:O185,$B184:$B185,$B205),0)</f>
        <v>0</v>
      </c>
      <c r="P205" s="399">
        <f t="shared" si="68"/>
        <v>466504.28664000006</v>
      </c>
      <c r="Q205" s="706">
        <f t="shared" si="69"/>
        <v>1111197.14072</v>
      </c>
      <c r="R205" s="400">
        <f t="shared" si="70"/>
        <v>0</v>
      </c>
      <c r="S205" s="369">
        <f t="shared" si="71"/>
        <v>1577701.4273600001</v>
      </c>
      <c r="T205" s="370">
        <f t="shared" si="72"/>
        <v>665719.61580089678</v>
      </c>
    </row>
    <row r="206" spans="2:20" x14ac:dyDescent="0.25">
      <c r="B206" s="375">
        <f t="shared" si="73"/>
        <v>2045</v>
      </c>
      <c r="C206" s="401">
        <f>MAX(TREND(C184:C185,$B184:$B185,$B206),0)</f>
        <v>22286589.75</v>
      </c>
      <c r="D206" s="402">
        <f>MAX(TREND(D184:D185,$B184:$B185,$B206),0)</f>
        <v>19274190</v>
      </c>
      <c r="E206" s="401">
        <f>MAX(TREND(E184:E185,$B184:$B185,$B206),0)</f>
        <v>322422.75</v>
      </c>
      <c r="F206" s="813">
        <f>MAX(TREND(F184:F185,$B184:$B185,$B206),0)</f>
        <v>278038.75</v>
      </c>
      <c r="G206" s="435">
        <f t="shared" si="66"/>
        <v>69.099999999999994</v>
      </c>
      <c r="H206" s="436">
        <f t="shared" si="67"/>
        <v>69.3</v>
      </c>
      <c r="I206" s="401">
        <f>MAX(TREND(I184:I185,$B184:$B185,$B206),0)</f>
        <v>0</v>
      </c>
      <c r="J206" s="813">
        <f>MAX(TREND(J184:J185,$B184:$B185,$B206),0)</f>
        <v>0</v>
      </c>
      <c r="K206" s="402">
        <f>TREND(K184:K185,$B184:$B185,$B206)</f>
        <v>1</v>
      </c>
      <c r="L206" s="816">
        <f>MIN(MAX(TREND(L184:L185,$B184:$B185,$B206),0),1)</f>
        <v>0.24</v>
      </c>
      <c r="M206" s="406">
        <f>MIN(MAX(TREND(M184:M185,$B184:$B185,$B206),0),1)</f>
        <v>0.24</v>
      </c>
      <c r="N206" s="828">
        <f>MAX(TREND(N184:N185,$B184:$B185,$B206),0)</f>
        <v>0</v>
      </c>
      <c r="O206" s="829">
        <f>MAX(TREND(O184:O185,$B184:$B185,$B206),0)</f>
        <v>0</v>
      </c>
      <c r="P206" s="399">
        <f t="shared" si="68"/>
        <v>475718.16851999983</v>
      </c>
      <c r="Q206" s="706">
        <f t="shared" si="69"/>
        <v>1133144.2899600002</v>
      </c>
      <c r="R206" s="400">
        <f t="shared" si="70"/>
        <v>0</v>
      </c>
      <c r="S206" s="369">
        <f t="shared" si="71"/>
        <v>1608862.45848</v>
      </c>
      <c r="T206" s="370">
        <f t="shared" si="72"/>
        <v>652757.86609189212</v>
      </c>
    </row>
    <row r="207" spans="2:20" x14ac:dyDescent="0.25">
      <c r="B207" s="385"/>
      <c r="C207" s="386"/>
      <c r="D207" s="386"/>
      <c r="E207" s="386"/>
      <c r="F207" s="386"/>
      <c r="G207" s="388"/>
      <c r="H207" s="388"/>
      <c r="I207" s="388"/>
      <c r="J207" s="388"/>
      <c r="K207" s="388"/>
      <c r="L207" s="388"/>
      <c r="M207" s="388"/>
      <c r="N207" s="388"/>
      <c r="O207" s="388"/>
      <c r="P207" s="388"/>
      <c r="Q207" s="388"/>
      <c r="R207" s="388"/>
      <c r="S207" s="388"/>
      <c r="T207" s="389"/>
    </row>
    <row r="208" spans="2:20" x14ac:dyDescent="0.25">
      <c r="B208" s="407" t="s">
        <v>56</v>
      </c>
      <c r="C208" s="413"/>
      <c r="D208" s="414"/>
      <c r="E208" s="414"/>
      <c r="F208" s="414"/>
      <c r="G208" s="414"/>
      <c r="H208" s="414"/>
      <c r="I208" s="414"/>
      <c r="J208" s="414"/>
      <c r="K208" s="414"/>
      <c r="L208" s="414"/>
      <c r="M208" s="414"/>
      <c r="N208" s="414"/>
      <c r="O208" s="414"/>
      <c r="P208" s="414"/>
      <c r="Q208" s="415"/>
      <c r="R208" s="415"/>
      <c r="S208" s="414"/>
      <c r="T208" s="409">
        <f>SUM(T187:T206)</f>
        <v>15375328.423026307</v>
      </c>
    </row>
    <row r="209" spans="2:20" x14ac:dyDescent="0.25">
      <c r="B209" s="2"/>
      <c r="C209" s="418"/>
      <c r="D209" s="2"/>
      <c r="E209" s="2"/>
      <c r="F209" s="2"/>
      <c r="G209" s="2"/>
      <c r="H209" s="2"/>
      <c r="I209" s="2"/>
      <c r="J209" s="2"/>
      <c r="K209" s="2"/>
      <c r="L209" s="2"/>
      <c r="M209" s="2"/>
      <c r="N209" s="2"/>
      <c r="O209" s="2"/>
      <c r="P209" s="2"/>
      <c r="Q209" s="2"/>
      <c r="R209" s="2"/>
      <c r="S209" s="2"/>
      <c r="T209" s="2"/>
    </row>
    <row r="210" spans="2:20" x14ac:dyDescent="0.25">
      <c r="T210" s="3"/>
    </row>
    <row r="211" spans="2:20" x14ac:dyDescent="0.25">
      <c r="T211" s="3"/>
    </row>
    <row r="212" spans="2:20" x14ac:dyDescent="0.25">
      <c r="T212" s="3"/>
    </row>
    <row r="213" spans="2:20" x14ac:dyDescent="0.25">
      <c r="T213" s="3"/>
    </row>
    <row r="214" spans="2:20" x14ac:dyDescent="0.25">
      <c r="T214" s="3"/>
    </row>
    <row r="215" spans="2:20" x14ac:dyDescent="0.25">
      <c r="T215" s="3"/>
    </row>
    <row r="216" spans="2:20" x14ac:dyDescent="0.25">
      <c r="T216" s="3"/>
    </row>
    <row r="217" spans="2:20" x14ac:dyDescent="0.25">
      <c r="T217" s="3"/>
    </row>
    <row r="218" spans="2:20" x14ac:dyDescent="0.25">
      <c r="T218" s="3"/>
    </row>
    <row r="219" spans="2:20" x14ac:dyDescent="0.25">
      <c r="T219" s="3"/>
    </row>
    <row r="220" spans="2:20" x14ac:dyDescent="0.25">
      <c r="T220" s="3"/>
    </row>
    <row r="221" spans="2:20" x14ac:dyDescent="0.25">
      <c r="T221" s="3"/>
    </row>
    <row r="222" spans="2:20" x14ac:dyDescent="0.25">
      <c r="T222" s="3"/>
    </row>
    <row r="223" spans="2:20" x14ac:dyDescent="0.25">
      <c r="T223" s="3"/>
    </row>
    <row r="224" spans="2:20" x14ac:dyDescent="0.25">
      <c r="T224" s="3"/>
    </row>
    <row r="225" spans="20:20" x14ac:dyDescent="0.25">
      <c r="T225" s="3"/>
    </row>
    <row r="226" spans="20:20" x14ac:dyDescent="0.25">
      <c r="T226" s="3"/>
    </row>
    <row r="227" spans="20:20" x14ac:dyDescent="0.25">
      <c r="T227" s="3"/>
    </row>
    <row r="228" spans="20:20" x14ac:dyDescent="0.25">
      <c r="T228" s="3"/>
    </row>
    <row r="229" spans="20:20" x14ac:dyDescent="0.25">
      <c r="T229" s="3"/>
    </row>
    <row r="230" spans="20:20" x14ac:dyDescent="0.25">
      <c r="T230" s="3"/>
    </row>
    <row r="231" spans="20:20" x14ac:dyDescent="0.25">
      <c r="T231" s="3"/>
    </row>
    <row r="232" spans="20:20" x14ac:dyDescent="0.25">
      <c r="T232" s="3"/>
    </row>
  </sheetData>
  <mergeCells count="24">
    <mergeCell ref="Z83:Z85"/>
    <mergeCell ref="AA83:AA85"/>
    <mergeCell ref="AB83:AB85"/>
    <mergeCell ref="AC83:AC85"/>
    <mergeCell ref="Y114:Y116"/>
    <mergeCell ref="Z114:Z116"/>
    <mergeCell ref="AA114:AA116"/>
    <mergeCell ref="AB114:AB116"/>
    <mergeCell ref="AC114:AC116"/>
    <mergeCell ref="Z21:Z23"/>
    <mergeCell ref="AA21:AA23"/>
    <mergeCell ref="AB21:AB23"/>
    <mergeCell ref="AC21:AC23"/>
    <mergeCell ref="Y52:Y54"/>
    <mergeCell ref="Z52:Z54"/>
    <mergeCell ref="AA52:AA54"/>
    <mergeCell ref="AB52:AB54"/>
    <mergeCell ref="AC52:AC54"/>
    <mergeCell ref="X21:X23"/>
    <mergeCell ref="X52:X54"/>
    <mergeCell ref="X83:X85"/>
    <mergeCell ref="X114:X116"/>
    <mergeCell ref="Y21:Y23"/>
    <mergeCell ref="Y83:Y85"/>
  </mergeCells>
  <printOptions horizontalCentered="1"/>
  <pageMargins left="0.25" right="0.25" top="0.75" bottom="0.75" header="0.5" footer="0.5"/>
  <pageSetup scale="55" orientation="landscape" r:id="rId1"/>
  <headerFooter alignWithMargins="0">
    <oddFooter>&amp;L&amp;8Transportation Economics
Caltrans DOTP&amp;C&amp;8Cal-B/C &amp;A&amp;R&amp;8Page &amp;P
&amp;D</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9879A7D33A6BF45A8C1C5CD8A6D04AB" ma:contentTypeVersion="4" ma:contentTypeDescription="Create a new document." ma:contentTypeScope="" ma:versionID="891d7f9a69a4276e19ed46777bdf3559">
  <xsd:schema xmlns:xsd="http://www.w3.org/2001/XMLSchema" xmlns:xs="http://www.w3.org/2001/XMLSchema" xmlns:p="http://schemas.microsoft.com/office/2006/metadata/properties" xmlns:ns2="d58405a0-ed7a-4395-a758-57a9102ce822" targetNamespace="http://schemas.microsoft.com/office/2006/metadata/properties" ma:root="true" ma:fieldsID="3d325bc201abc9ff5f265f6af04854c3" ns2:_="">
    <xsd:import namespace="d58405a0-ed7a-4395-a758-57a9102ce82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05a0-ed7a-4395-a758-57a9102ce8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1C46D01-B8AF-4C9B-AE28-27CA58886CBC}">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76EF82D-DA57-461B-A165-3EABCDD9F69E}">
  <ds:schemaRefs>
    <ds:schemaRef ds:uri="http://schemas.microsoft.com/sharepoint/v3/contenttype/forms"/>
  </ds:schemaRefs>
</ds:datastoreItem>
</file>

<file path=customXml/itemProps3.xml><?xml version="1.0" encoding="utf-8"?>
<ds:datastoreItem xmlns:ds="http://schemas.openxmlformats.org/officeDocument/2006/customXml" ds:itemID="{5370C7EA-61EF-4DF1-905F-C488A36592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8405a0-ed7a-4395-a758-57a9102ce8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310</vt:i4>
      </vt:variant>
    </vt:vector>
  </HeadingPairs>
  <TitlesOfParts>
    <vt:vector size="324" baseType="lpstr">
      <vt:lpstr>Title</vt:lpstr>
      <vt:lpstr>Instructions</vt:lpstr>
      <vt:lpstr>1) Project Information</vt:lpstr>
      <vt:lpstr>2) Model Inputs</vt:lpstr>
      <vt:lpstr>3) Results</vt:lpstr>
      <vt:lpstr>Travel Time</vt:lpstr>
      <vt:lpstr>Consumer Surplus</vt:lpstr>
      <vt:lpstr>Reliability</vt:lpstr>
      <vt:lpstr>Vehicle Operating Costs</vt:lpstr>
      <vt:lpstr>Accident Costs</vt:lpstr>
      <vt:lpstr>Emissions</vt:lpstr>
      <vt:lpstr>Final Calculations</vt:lpstr>
      <vt:lpstr>Model Group Inputs</vt:lpstr>
      <vt:lpstr>PARAMETERS</vt:lpstr>
      <vt:lpstr>_Block_Accident</vt:lpstr>
      <vt:lpstr>_Block_AccidentColumn</vt:lpstr>
      <vt:lpstr>_Block_CD1</vt:lpstr>
      <vt:lpstr>_Block_CD2</vt:lpstr>
      <vt:lpstr>_Block_CD3</vt:lpstr>
      <vt:lpstr>_Block_CD4</vt:lpstr>
      <vt:lpstr>_Block_Emissions</vt:lpstr>
      <vt:lpstr>_Block_EmissionsColumn</vt:lpstr>
      <vt:lpstr>_Block_PV1</vt:lpstr>
      <vt:lpstr>_Block_PV2</vt:lpstr>
      <vt:lpstr>_Block_PV3</vt:lpstr>
      <vt:lpstr>_Block_PV4</vt:lpstr>
      <vt:lpstr>_Block_Reliability</vt:lpstr>
      <vt:lpstr>_Block_ReliabilityColumn</vt:lpstr>
      <vt:lpstr>_Block_TravelTime</vt:lpstr>
      <vt:lpstr>_Block_TravelTimeColumn</vt:lpstr>
      <vt:lpstr>_Block_VOC</vt:lpstr>
      <vt:lpstr>_Block_VOCColumn</vt:lpstr>
      <vt:lpstr>_CS</vt:lpstr>
      <vt:lpstr>_ReliabilitySegments</vt:lpstr>
      <vt:lpstr>_SafetySegments</vt:lpstr>
      <vt:lpstr>_Segments</vt:lpstr>
      <vt:lpstr>_Years</vt:lpstr>
      <vt:lpstr>_YearsModel</vt:lpstr>
      <vt:lpstr>Accidents</vt:lpstr>
      <vt:lpstr>AlphaSTD</vt:lpstr>
      <vt:lpstr>AlphaTTI</vt:lpstr>
      <vt:lpstr>AM</vt:lpstr>
      <vt:lpstr>AnnSickDays</vt:lpstr>
      <vt:lpstr>AnnualFactor</vt:lpstr>
      <vt:lpstr>ASM</vt:lpstr>
      <vt:lpstr>AuxLane</vt:lpstr>
      <vt:lpstr>AvgAccCost</vt:lpstr>
      <vt:lpstr>AvgAccCostA</vt:lpstr>
      <vt:lpstr>AvgAccCostR</vt:lpstr>
      <vt:lpstr>AvgAccCostS</vt:lpstr>
      <vt:lpstr>AvgAccCostU</vt:lpstr>
      <vt:lpstr>AVL</vt:lpstr>
      <vt:lpstr>AVLCapSaving</vt:lpstr>
      <vt:lpstr>AvlOMsaving</vt:lpstr>
      <vt:lpstr>AVLTTsaving</vt:lpstr>
      <vt:lpstr>BetaSTD</vt:lpstr>
      <vt:lpstr>BetaTTI</vt:lpstr>
      <vt:lpstr>BRT</vt:lpstr>
      <vt:lpstr>BrtTTsaving</vt:lpstr>
      <vt:lpstr>Bus</vt:lpstr>
      <vt:lpstr>BusAccCost</vt:lpstr>
      <vt:lpstr>Bypass</vt:lpstr>
      <vt:lpstr>CLASS1MRS</vt:lpstr>
      <vt:lpstr>CLASS2MRS</vt:lpstr>
      <vt:lpstr>CLASS3MRS</vt:lpstr>
      <vt:lpstr>CLASS4MRS</vt:lpstr>
      <vt:lpstr>ClearCont1</vt:lpstr>
      <vt:lpstr>ClearCont2</vt:lpstr>
      <vt:lpstr>ClearCont3</vt:lpstr>
      <vt:lpstr>ClearCont4</vt:lpstr>
      <vt:lpstr>CO2Uprater</vt:lpstr>
      <vt:lpstr>CycDistPerTrip</vt:lpstr>
      <vt:lpstr>CycleDays</vt:lpstr>
      <vt:lpstr>CycSpeed</vt:lpstr>
      <vt:lpstr>CycTripPurpose</vt:lpstr>
      <vt:lpstr>DepRateConv</vt:lpstr>
      <vt:lpstr>DepRateExp</vt:lpstr>
      <vt:lpstr>DepRateFwy</vt:lpstr>
      <vt:lpstr>DiscRate</vt:lpstr>
      <vt:lpstr>DivCycAutoNB</vt:lpstr>
      <vt:lpstr>DivIndTrips</vt:lpstr>
      <vt:lpstr>DivPedAutoNB</vt:lpstr>
      <vt:lpstr>EmAuto1</vt:lpstr>
      <vt:lpstr>EmAuto20</vt:lpstr>
      <vt:lpstr>EmBus1</vt:lpstr>
      <vt:lpstr>EmBus20</vt:lpstr>
      <vt:lpstr>EmCost</vt:lpstr>
      <vt:lpstr>EmFreightTrain</vt:lpstr>
      <vt:lpstr>Emissions</vt:lpstr>
      <vt:lpstr>EmLRT</vt:lpstr>
      <vt:lpstr>EmPassTrain</vt:lpstr>
      <vt:lpstr>EmTruck1</vt:lpstr>
      <vt:lpstr>EmTruck20</vt:lpstr>
      <vt:lpstr>ExciseTaxDieselFed</vt:lpstr>
      <vt:lpstr>ExciseTaxDieselState</vt:lpstr>
      <vt:lpstr>ExciseTaxGasFed</vt:lpstr>
      <vt:lpstr>ExciseTaxGasState</vt:lpstr>
      <vt:lpstr>FatValue</vt:lpstr>
      <vt:lpstr>FreeConn</vt:lpstr>
      <vt:lpstr>FreightRailAccCost</vt:lpstr>
      <vt:lpstr>FringeTruck</vt:lpstr>
      <vt:lpstr>FuelAuto</vt:lpstr>
      <vt:lpstr>FuelCon</vt:lpstr>
      <vt:lpstr>FuelConPavAdj</vt:lpstr>
      <vt:lpstr>FuelFreightRail</vt:lpstr>
      <vt:lpstr>FuelPriceAuto</vt:lpstr>
      <vt:lpstr>FuelPriceTruck</vt:lpstr>
      <vt:lpstr>FuelTruck</vt:lpstr>
      <vt:lpstr>GenAlphaB</vt:lpstr>
      <vt:lpstr>GenAlphaNB</vt:lpstr>
      <vt:lpstr>GenBetaB</vt:lpstr>
      <vt:lpstr>GenBetaNB</vt:lpstr>
      <vt:lpstr>GenHwy</vt:lpstr>
      <vt:lpstr>GenLaneCapB</vt:lpstr>
      <vt:lpstr>GenLaneCapNB</vt:lpstr>
      <vt:lpstr>HOT</vt:lpstr>
      <vt:lpstr>HOTConv</vt:lpstr>
      <vt:lpstr>HOV</vt:lpstr>
      <vt:lpstr>HOV2to3</vt:lpstr>
      <vt:lpstr>HOVAlpha</vt:lpstr>
      <vt:lpstr>HOVBeta</vt:lpstr>
      <vt:lpstr>HOVConn</vt:lpstr>
      <vt:lpstr>HOVDrop</vt:lpstr>
      <vt:lpstr>HOVLaneCap</vt:lpstr>
      <vt:lpstr>Hwy</vt:lpstr>
      <vt:lpstr>HwyFatCost</vt:lpstr>
      <vt:lpstr>HwyFatCostA</vt:lpstr>
      <vt:lpstr>HwyFatCostR</vt:lpstr>
      <vt:lpstr>HwyFatCostS</vt:lpstr>
      <vt:lpstr>HwyFatCostU</vt:lpstr>
      <vt:lpstr>HwyInjCost</vt:lpstr>
      <vt:lpstr>HwyInjCostA</vt:lpstr>
      <vt:lpstr>HwyInjCostR</vt:lpstr>
      <vt:lpstr>HwyInjCostS</vt:lpstr>
      <vt:lpstr>HwyInjCostU</vt:lpstr>
      <vt:lpstr>HwyPDOCost</vt:lpstr>
      <vt:lpstr>HwyPDOCostA</vt:lpstr>
      <vt:lpstr>HwyPDOCostR</vt:lpstr>
      <vt:lpstr>HwyPDOCostS</vt:lpstr>
      <vt:lpstr>HwyPDOCostU</vt:lpstr>
      <vt:lpstr>HwyRail</vt:lpstr>
      <vt:lpstr>HwyTransitModelGroup</vt:lpstr>
      <vt:lpstr>IdleFreightRail</vt:lpstr>
      <vt:lpstr>IdleSpeed</vt:lpstr>
      <vt:lpstr>IM</vt:lpstr>
      <vt:lpstr>Induced</vt:lpstr>
      <vt:lpstr>InjAValue</vt:lpstr>
      <vt:lpstr>InjBValue</vt:lpstr>
      <vt:lpstr>InjCValue</vt:lpstr>
      <vt:lpstr>Intersect</vt:lpstr>
      <vt:lpstr>JQValCyc</vt:lpstr>
      <vt:lpstr>JQValPed</vt:lpstr>
      <vt:lpstr>LifeCycleAcc</vt:lpstr>
      <vt:lpstr>LifeCycleBene</vt:lpstr>
      <vt:lpstr>LifeCycleCO2</vt:lpstr>
      <vt:lpstr>LifeCycleCO2Tons</vt:lpstr>
      <vt:lpstr>LifeCycleCost</vt:lpstr>
      <vt:lpstr>LifeCycleCOTons</vt:lpstr>
      <vt:lpstr>LifeCycleEm</vt:lpstr>
      <vt:lpstr>LifeCycleFatAv</vt:lpstr>
      <vt:lpstr>LifeCycleInjAv</vt:lpstr>
      <vt:lpstr>LifeCycleNOxTons</vt:lpstr>
      <vt:lpstr>LifeCyclePDOAv</vt:lpstr>
      <vt:lpstr>LifeCyclePM10Tons</vt:lpstr>
      <vt:lpstr>LifeCyclePM2.5Tons</vt:lpstr>
      <vt:lpstr>LifeCycleSOxTons</vt:lpstr>
      <vt:lpstr>LifeCycleTT</vt:lpstr>
      <vt:lpstr>LifeCycleTTHrs</vt:lpstr>
      <vt:lpstr>LifeCycleVOC</vt:lpstr>
      <vt:lpstr>LifeCycleVOCTons</vt:lpstr>
      <vt:lpstr>LRT</vt:lpstr>
      <vt:lpstr>LRTAccCost</vt:lpstr>
      <vt:lpstr>MaxVC</vt:lpstr>
      <vt:lpstr>ModelBlock</vt:lpstr>
      <vt:lpstr>ModelData1B</vt:lpstr>
      <vt:lpstr>ModelData1NB</vt:lpstr>
      <vt:lpstr>ModelData20B</vt:lpstr>
      <vt:lpstr>ModelData20NB</vt:lpstr>
      <vt:lpstr>ModelGroup</vt:lpstr>
      <vt:lpstr>Modes</vt:lpstr>
      <vt:lpstr>ModeShare1</vt:lpstr>
      <vt:lpstr>ModeShare20</vt:lpstr>
      <vt:lpstr>MortRateCyc</vt:lpstr>
      <vt:lpstr>MortRatePed</vt:lpstr>
      <vt:lpstr>NetPresentValue</vt:lpstr>
      <vt:lpstr>NoInjValue</vt:lpstr>
      <vt:lpstr>NonFuelAuto</vt:lpstr>
      <vt:lpstr>NonFuelPavAdj</vt:lpstr>
      <vt:lpstr>NonFuelTruck</vt:lpstr>
      <vt:lpstr>NonFwyAccRate</vt:lpstr>
      <vt:lpstr>NoTransit1</vt:lpstr>
      <vt:lpstr>NoTransit20</vt:lpstr>
      <vt:lpstr>OffRamp</vt:lpstr>
      <vt:lpstr>OnRamp</vt:lpstr>
      <vt:lpstr>PassAccReduce</vt:lpstr>
      <vt:lpstr>Passing</vt:lpstr>
      <vt:lpstr>PassRail</vt:lpstr>
      <vt:lpstr>PassRailAccCost</vt:lpstr>
      <vt:lpstr>PaveDet</vt:lpstr>
      <vt:lpstr>Pavement</vt:lpstr>
      <vt:lpstr>Payback</vt:lpstr>
      <vt:lpstr>Pdo3Yr</vt:lpstr>
      <vt:lpstr>PedDistPerTrip</vt:lpstr>
      <vt:lpstr>PedSpeed</vt:lpstr>
      <vt:lpstr>PedTripPurpose</vt:lpstr>
      <vt:lpstr>PerCycAge</vt:lpstr>
      <vt:lpstr>PerCycRiskRed</vt:lpstr>
      <vt:lpstr>PerIndHOV</vt:lpstr>
      <vt:lpstr>PerPeakADT</vt:lpstr>
      <vt:lpstr>PerPeakAvgHr</vt:lpstr>
      <vt:lpstr>PerPeakTable</vt:lpstr>
      <vt:lpstr>PerPedAge</vt:lpstr>
      <vt:lpstr>PerPedRiskRed</vt:lpstr>
      <vt:lpstr>PerSickDaysLeave</vt:lpstr>
      <vt:lpstr>PerSickDaysRed</vt:lpstr>
      <vt:lpstr>'1) Project Information'!Print_Area</vt:lpstr>
      <vt:lpstr>'2) Model Inputs'!Print_Area</vt:lpstr>
      <vt:lpstr>'3) Results'!Print_Area</vt:lpstr>
      <vt:lpstr>'Accident Costs'!Print_Area</vt:lpstr>
      <vt:lpstr>'Consumer Surplus'!Print_Area</vt:lpstr>
      <vt:lpstr>Emissions!Print_Area</vt:lpstr>
      <vt:lpstr>'Final Calculations'!Print_Area</vt:lpstr>
      <vt:lpstr>Instructions!Print_Area</vt:lpstr>
      <vt:lpstr>PARAMETERS!Print_Area</vt:lpstr>
      <vt:lpstr>Title!Print_Area</vt:lpstr>
      <vt:lpstr>'Travel Time'!Print_Area</vt:lpstr>
      <vt:lpstr>'Vehicle Operating Costs'!Print_Area</vt:lpstr>
      <vt:lpstr>Emissions!Print_Titles</vt:lpstr>
      <vt:lpstr>PARAMETERS!Print_Titles</vt:lpstr>
      <vt:lpstr>'Travel Time'!Print_Titles</vt:lpstr>
      <vt:lpstr>ProjLoc</vt:lpstr>
      <vt:lpstr>ProjName</vt:lpstr>
      <vt:lpstr>ProjTypeList</vt:lpstr>
      <vt:lpstr>Queuing</vt:lpstr>
      <vt:lpstr>RailFatCost</vt:lpstr>
      <vt:lpstr>RailGradeFatRate</vt:lpstr>
      <vt:lpstr>RailGradeInjRate</vt:lpstr>
      <vt:lpstr>RailInjCost</vt:lpstr>
      <vt:lpstr>Rel1AVOB</vt:lpstr>
      <vt:lpstr>Rel1AVONB</vt:lpstr>
      <vt:lpstr>Rel1AvSpdBE</vt:lpstr>
      <vt:lpstr>Rel1AvSpdBS</vt:lpstr>
      <vt:lpstr>Rel1AvSpdNBE</vt:lpstr>
      <vt:lpstr>Rel1AvSpdNBS</vt:lpstr>
      <vt:lpstr>Rel1Dur</vt:lpstr>
      <vt:lpstr>Rel1FFSB</vt:lpstr>
      <vt:lpstr>Rel1FFSNB</vt:lpstr>
      <vt:lpstr>Rel1ImpactedB</vt:lpstr>
      <vt:lpstr>Rel1ImpactedNB</vt:lpstr>
      <vt:lpstr>Rel1PAutoAdj</vt:lpstr>
      <vt:lpstr>Rel1PTruckAdj</vt:lpstr>
      <vt:lpstr>Rel1TruckBE</vt:lpstr>
      <vt:lpstr>Rel1TruckBS</vt:lpstr>
      <vt:lpstr>Rel1TruckNBE</vt:lpstr>
      <vt:lpstr>Rel1TruckNBS</vt:lpstr>
      <vt:lpstr>Rel1VolBE</vt:lpstr>
      <vt:lpstr>Rel1VolBS</vt:lpstr>
      <vt:lpstr>Rel1VolNBE</vt:lpstr>
      <vt:lpstr>Rel1VolNBS</vt:lpstr>
      <vt:lpstr>RelAdjFactors</vt:lpstr>
      <vt:lpstr>Reliability</vt:lpstr>
      <vt:lpstr>ReliabilityBlock</vt:lpstr>
      <vt:lpstr>ReliabilityData1B</vt:lpstr>
      <vt:lpstr>ReliabilityData1NB</vt:lpstr>
      <vt:lpstr>ReliabilityData20B</vt:lpstr>
      <vt:lpstr>ReliabilityData20NB</vt:lpstr>
      <vt:lpstr>ReliabilityGroup</vt:lpstr>
      <vt:lpstr>ReliabilityModelGroup</vt:lpstr>
      <vt:lpstr>ReliabilityNames</vt:lpstr>
      <vt:lpstr>RelTransitModelGroup</vt:lpstr>
      <vt:lpstr>RelYearFirst</vt:lpstr>
      <vt:lpstr>RelYearLast</vt:lpstr>
      <vt:lpstr>ReturnOnInvest</vt:lpstr>
      <vt:lpstr>RM</vt:lpstr>
      <vt:lpstr>RTCycNB</vt:lpstr>
      <vt:lpstr>RTPedNB</vt:lpstr>
      <vt:lpstr>SafetyBlock</vt:lpstr>
      <vt:lpstr>SafetyData1B</vt:lpstr>
      <vt:lpstr>SafetyData1NB</vt:lpstr>
      <vt:lpstr>SafetyData20B</vt:lpstr>
      <vt:lpstr>SafetyData20NB</vt:lpstr>
      <vt:lpstr>SafetyGroup</vt:lpstr>
      <vt:lpstr>SafetyModelGroup</vt:lpstr>
      <vt:lpstr>SafetyYearFirst</vt:lpstr>
      <vt:lpstr>SafetyYearLast</vt:lpstr>
      <vt:lpstr>SalesTaxDieselState</vt:lpstr>
      <vt:lpstr>SalesTaxGasState</vt:lpstr>
      <vt:lpstr>SalesTaxLocal</vt:lpstr>
      <vt:lpstr>SchDays</vt:lpstr>
      <vt:lpstr>SigPriority</vt:lpstr>
      <vt:lpstr>SigTTsaving</vt:lpstr>
      <vt:lpstr>SpeedPavAdj</vt:lpstr>
      <vt:lpstr>SpeedWeaveAdj</vt:lpstr>
      <vt:lpstr>StateFatRate</vt:lpstr>
      <vt:lpstr>StateInjRate</vt:lpstr>
      <vt:lpstr>StatePDORate</vt:lpstr>
      <vt:lpstr>TI</vt:lpstr>
      <vt:lpstr>TMSAdj</vt:lpstr>
      <vt:lpstr>TMSLookup</vt:lpstr>
      <vt:lpstr>TruckLane</vt:lpstr>
      <vt:lpstr>TTReliabilityGroup</vt:lpstr>
      <vt:lpstr>TTUprater</vt:lpstr>
      <vt:lpstr>UserAdjInputs</vt:lpstr>
      <vt:lpstr>ValRelAuto</vt:lpstr>
      <vt:lpstr>ValRelTruck</vt:lpstr>
      <vt:lpstr>ValTimeAT</vt:lpstr>
      <vt:lpstr>ValTimeAuto</vt:lpstr>
      <vt:lpstr>ValTimeChild</vt:lpstr>
      <vt:lpstr>ValTimeIMFactor</vt:lpstr>
      <vt:lpstr>ValTimeOVFactor</vt:lpstr>
      <vt:lpstr>ValTimeTransit</vt:lpstr>
      <vt:lpstr>ValTimeTruck</vt:lpstr>
      <vt:lpstr>ValueUpdate</vt:lpstr>
      <vt:lpstr>VehOcc</vt:lpstr>
      <vt:lpstr>VehOp</vt:lpstr>
      <vt:lpstr>VehSpeed</vt:lpstr>
      <vt:lpstr>WageStatewide</vt:lpstr>
      <vt:lpstr>WageTruck</vt:lpstr>
      <vt:lpstr>WalkDays</vt:lpstr>
      <vt:lpstr>YearCurrent</vt:lpstr>
      <vt:lpstr>YearFirst</vt:lpstr>
      <vt:lpstr>YearLast</vt:lpstr>
      <vt:lpstr>YearOpen</vt:lpstr>
      <vt:lpstr>YearStart</vt:lpstr>
    </vt:vector>
  </TitlesOfParts>
  <Manager/>
  <Company>HDR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California Life-Cycle Benefit/Cost Analysis Model</dc:title>
  <dc:subject>Cal-B/C Version 8.1</dc:subject>
  <dc:creator>HDR Engineering</dc:creator>
  <cp:keywords/>
  <dc:description>Accessibility Assistance: Caltrans makes every attempt to ensure our documents are accessible. Due to variances between assistive technologies, there may be portions of this document which are not accessible. Where documents cannot be made accessible, we are committed to providing alternative access to the content. Should you need additional assistance, please contact us at (916) 654-2852 (and/or a division contact) or visit https://dot.ca.gov/request-ada-compliant-documents.</dc:description>
  <cp:lastModifiedBy>Gabriel Gutierrez</cp:lastModifiedBy>
  <cp:revision/>
  <cp:lastPrinted>2022-11-28T22:18:23Z</cp:lastPrinted>
  <dcterms:created xsi:type="dcterms:W3CDTF">2016-05-12T19:00:04Z</dcterms:created>
  <dcterms:modified xsi:type="dcterms:W3CDTF">2022-11-28T22:57:14Z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0x01010009879A7D33A6BF45A8C1C5CD8A6D04AB</vt:lpwstr>
  </property>
</Properties>
</file>